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20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Žádanky'!$A$4:$I$4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Žádanky'!$A$4:$I$4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CaseMix!$A$1:$M$39</definedName>
  </definedNames>
  <calcPr calcId="145621"/>
</workbook>
</file>

<file path=xl/calcChain.xml><?xml version="1.0" encoding="utf-8"?>
<calcChain xmlns="http://schemas.openxmlformats.org/spreadsheetml/2006/main">
  <c r="V116" i="371" l="1"/>
  <c r="U116" i="371"/>
  <c r="T116" i="371"/>
  <c r="S116" i="371"/>
  <c r="R116" i="371"/>
  <c r="Q116" i="371"/>
  <c r="T115" i="371"/>
  <c r="V115" i="371" s="1"/>
  <c r="S115" i="371"/>
  <c r="R115" i="371"/>
  <c r="Q115" i="371"/>
  <c r="V114" i="371"/>
  <c r="U114" i="371"/>
  <c r="T114" i="371"/>
  <c r="S114" i="371"/>
  <c r="R114" i="371"/>
  <c r="Q114" i="371"/>
  <c r="T113" i="371"/>
  <c r="V113" i="371" s="1"/>
  <c r="S113" i="371"/>
  <c r="R113" i="371"/>
  <c r="Q113" i="371"/>
  <c r="T112" i="371"/>
  <c r="V112" i="371" s="1"/>
  <c r="S112" i="371"/>
  <c r="R112" i="371"/>
  <c r="Q112" i="371"/>
  <c r="T111" i="371"/>
  <c r="V111" i="371" s="1"/>
  <c r="S111" i="371"/>
  <c r="R111" i="371"/>
  <c r="Q111" i="371"/>
  <c r="V110" i="371"/>
  <c r="U110" i="371"/>
  <c r="T110" i="371"/>
  <c r="S110" i="371"/>
  <c r="R110" i="371"/>
  <c r="Q110" i="371"/>
  <c r="T109" i="371"/>
  <c r="V109" i="371" s="1"/>
  <c r="S109" i="371"/>
  <c r="R109" i="371"/>
  <c r="Q109" i="371"/>
  <c r="V108" i="371"/>
  <c r="U108" i="371"/>
  <c r="T108" i="371"/>
  <c r="S108" i="371"/>
  <c r="R108" i="371"/>
  <c r="Q108" i="371"/>
  <c r="V107" i="371"/>
  <c r="U107" i="371"/>
  <c r="T107" i="371"/>
  <c r="S107" i="371"/>
  <c r="R107" i="371"/>
  <c r="Q107" i="371"/>
  <c r="V106" i="371"/>
  <c r="U106" i="371"/>
  <c r="T106" i="371"/>
  <c r="S106" i="371"/>
  <c r="R106" i="371"/>
  <c r="Q106" i="371"/>
  <c r="T105" i="371"/>
  <c r="V105" i="371" s="1"/>
  <c r="S105" i="371"/>
  <c r="R105" i="371"/>
  <c r="Q105" i="371"/>
  <c r="V104" i="371"/>
  <c r="U104" i="371"/>
  <c r="T104" i="371"/>
  <c r="S104" i="371"/>
  <c r="R104" i="371"/>
  <c r="Q104" i="371"/>
  <c r="T103" i="371"/>
  <c r="V103" i="371" s="1"/>
  <c r="S103" i="371"/>
  <c r="R103" i="371"/>
  <c r="Q103" i="371"/>
  <c r="V102" i="371"/>
  <c r="U102" i="371"/>
  <c r="T102" i="371"/>
  <c r="S102" i="371"/>
  <c r="R102" i="371"/>
  <c r="Q102" i="371"/>
  <c r="T101" i="371"/>
  <c r="V101" i="371" s="1"/>
  <c r="S101" i="371"/>
  <c r="R101" i="371"/>
  <c r="Q101" i="371"/>
  <c r="V100" i="371"/>
  <c r="U100" i="371"/>
  <c r="T100" i="371"/>
  <c r="S100" i="371"/>
  <c r="R100" i="371"/>
  <c r="Q100" i="371"/>
  <c r="V99" i="371"/>
  <c r="U99" i="371"/>
  <c r="T99" i="371"/>
  <c r="S99" i="371"/>
  <c r="R99" i="371"/>
  <c r="Q99" i="371"/>
  <c r="V98" i="371"/>
  <c r="U98" i="371"/>
  <c r="T98" i="371"/>
  <c r="S98" i="371"/>
  <c r="R98" i="371"/>
  <c r="Q98" i="371"/>
  <c r="V97" i="371"/>
  <c r="U97" i="371"/>
  <c r="T97" i="371"/>
  <c r="S97" i="371"/>
  <c r="R97" i="371"/>
  <c r="Q97" i="371"/>
  <c r="V96" i="371"/>
  <c r="U96" i="371"/>
  <c r="T96" i="371"/>
  <c r="S96" i="371"/>
  <c r="R96" i="371"/>
  <c r="Q96" i="371"/>
  <c r="T95" i="371"/>
  <c r="V95" i="371" s="1"/>
  <c r="S95" i="371"/>
  <c r="R95" i="371"/>
  <c r="Q95" i="371"/>
  <c r="V94" i="371"/>
  <c r="U94" i="371"/>
  <c r="T94" i="371"/>
  <c r="S94" i="371"/>
  <c r="R94" i="371"/>
  <c r="Q94" i="371"/>
  <c r="T93" i="371"/>
  <c r="V93" i="371" s="1"/>
  <c r="S93" i="371"/>
  <c r="R93" i="371"/>
  <c r="Q93" i="371"/>
  <c r="V92" i="371"/>
  <c r="U92" i="371"/>
  <c r="T92" i="371"/>
  <c r="S92" i="371"/>
  <c r="R92" i="371"/>
  <c r="Q92" i="371"/>
  <c r="T91" i="371"/>
  <c r="V91" i="371" s="1"/>
  <c r="S91" i="371"/>
  <c r="R91" i="371"/>
  <c r="Q91" i="371"/>
  <c r="V90" i="371"/>
  <c r="U90" i="371"/>
  <c r="T90" i="371"/>
  <c r="S90" i="371"/>
  <c r="R90" i="371"/>
  <c r="Q90" i="371"/>
  <c r="T89" i="371"/>
  <c r="V89" i="371" s="1"/>
  <c r="S89" i="371"/>
  <c r="R89" i="371"/>
  <c r="Q89" i="371"/>
  <c r="V88" i="371"/>
  <c r="U88" i="371"/>
  <c r="T88" i="371"/>
  <c r="S88" i="371"/>
  <c r="R88" i="371"/>
  <c r="Q88" i="371"/>
  <c r="V87" i="371"/>
  <c r="U87" i="371"/>
  <c r="T87" i="371"/>
  <c r="S87" i="371"/>
  <c r="R87" i="371"/>
  <c r="Q87" i="371"/>
  <c r="V86" i="371"/>
  <c r="U86" i="371"/>
  <c r="T86" i="371"/>
  <c r="S86" i="371"/>
  <c r="R86" i="371"/>
  <c r="Q86" i="371"/>
  <c r="T85" i="371"/>
  <c r="V85" i="371" s="1"/>
  <c r="S85" i="371"/>
  <c r="R85" i="371"/>
  <c r="Q85" i="371"/>
  <c r="V84" i="371"/>
  <c r="U84" i="371"/>
  <c r="T84" i="371"/>
  <c r="S84" i="371"/>
  <c r="R84" i="371"/>
  <c r="Q84" i="371"/>
  <c r="T83" i="371"/>
  <c r="V83" i="371" s="1"/>
  <c r="S83" i="371"/>
  <c r="R83" i="371"/>
  <c r="Q83" i="371"/>
  <c r="V82" i="371"/>
  <c r="U82" i="371"/>
  <c r="T82" i="371"/>
  <c r="S82" i="371"/>
  <c r="R82" i="371"/>
  <c r="Q82" i="371"/>
  <c r="V81" i="371"/>
  <c r="U81" i="371"/>
  <c r="T81" i="371"/>
  <c r="S81" i="371"/>
  <c r="R81" i="371"/>
  <c r="Q81" i="371"/>
  <c r="V80" i="371"/>
  <c r="U80" i="371"/>
  <c r="T80" i="371"/>
  <c r="S80" i="371"/>
  <c r="R80" i="371"/>
  <c r="Q80" i="371"/>
  <c r="V79" i="371"/>
  <c r="U79" i="371"/>
  <c r="T79" i="371"/>
  <c r="S79" i="371"/>
  <c r="R79" i="371"/>
  <c r="Q79" i="371"/>
  <c r="V78" i="371"/>
  <c r="U78" i="371"/>
  <c r="T78" i="371"/>
  <c r="S78" i="371"/>
  <c r="R78" i="371"/>
  <c r="Q78" i="371"/>
  <c r="V77" i="371"/>
  <c r="U77" i="371"/>
  <c r="T77" i="371"/>
  <c r="S77" i="371"/>
  <c r="R77" i="371"/>
  <c r="Q77" i="371"/>
  <c r="V76" i="371"/>
  <c r="U76" i="371"/>
  <c r="T76" i="371"/>
  <c r="S76" i="371"/>
  <c r="R76" i="371"/>
  <c r="Q76" i="371"/>
  <c r="T75" i="371"/>
  <c r="V75" i="371" s="1"/>
  <c r="S75" i="371"/>
  <c r="R75" i="371"/>
  <c r="Q75" i="371"/>
  <c r="V74" i="371"/>
  <c r="U74" i="371"/>
  <c r="T74" i="371"/>
  <c r="S74" i="371"/>
  <c r="R74" i="371"/>
  <c r="Q74" i="371"/>
  <c r="T73" i="371"/>
  <c r="V73" i="371" s="1"/>
  <c r="S73" i="371"/>
  <c r="R73" i="371"/>
  <c r="Q73" i="371"/>
  <c r="V72" i="371"/>
  <c r="U72" i="371"/>
  <c r="T72" i="371"/>
  <c r="S72" i="371"/>
  <c r="R72" i="371"/>
  <c r="Q72" i="371"/>
  <c r="T71" i="371"/>
  <c r="V71" i="371" s="1"/>
  <c r="S71" i="371"/>
  <c r="R71" i="371"/>
  <c r="Q71" i="371"/>
  <c r="V70" i="371"/>
  <c r="U70" i="371"/>
  <c r="T70" i="371"/>
  <c r="S70" i="371"/>
  <c r="R70" i="371"/>
  <c r="Q70" i="371"/>
  <c r="V69" i="371"/>
  <c r="U69" i="371"/>
  <c r="T69" i="371"/>
  <c r="S69" i="371"/>
  <c r="R69" i="371"/>
  <c r="Q69" i="371"/>
  <c r="V68" i="371"/>
  <c r="U68" i="371"/>
  <c r="T68" i="371"/>
  <c r="S68" i="371"/>
  <c r="R68" i="371"/>
  <c r="Q68" i="371"/>
  <c r="T67" i="371"/>
  <c r="V67" i="371" s="1"/>
  <c r="S67" i="371"/>
  <c r="R67" i="371"/>
  <c r="Q67" i="371"/>
  <c r="V66" i="371"/>
  <c r="U66" i="371"/>
  <c r="T66" i="371"/>
  <c r="S66" i="371"/>
  <c r="R66" i="371"/>
  <c r="Q66" i="371"/>
  <c r="V65" i="371"/>
  <c r="U65" i="371"/>
  <c r="T65" i="371"/>
  <c r="S65" i="371"/>
  <c r="R65" i="371"/>
  <c r="Q65" i="371"/>
  <c r="V64" i="371"/>
  <c r="U64" i="371"/>
  <c r="T64" i="371"/>
  <c r="S64" i="371"/>
  <c r="R64" i="371"/>
  <c r="Q64" i="371"/>
  <c r="V63" i="371"/>
  <c r="U63" i="371"/>
  <c r="T63" i="371"/>
  <c r="S63" i="371"/>
  <c r="R63" i="371"/>
  <c r="Q63" i="371"/>
  <c r="V62" i="371"/>
  <c r="U62" i="371"/>
  <c r="T62" i="371"/>
  <c r="S62" i="371"/>
  <c r="R62" i="371"/>
  <c r="Q62" i="371"/>
  <c r="T61" i="371"/>
  <c r="V61" i="371" s="1"/>
  <c r="S61" i="371"/>
  <c r="R61" i="371"/>
  <c r="Q61" i="371"/>
  <c r="V60" i="371"/>
  <c r="U60" i="371"/>
  <c r="T60" i="371"/>
  <c r="S60" i="371"/>
  <c r="R60" i="371"/>
  <c r="Q60" i="371"/>
  <c r="V59" i="371"/>
  <c r="U59" i="371"/>
  <c r="T59" i="371"/>
  <c r="S59" i="371"/>
  <c r="R59" i="371"/>
  <c r="Q59" i="371"/>
  <c r="V58" i="371"/>
  <c r="U58" i="371"/>
  <c r="T58" i="371"/>
  <c r="S58" i="371"/>
  <c r="R58" i="371"/>
  <c r="Q58" i="371"/>
  <c r="V57" i="371"/>
  <c r="U57" i="371"/>
  <c r="T57" i="371"/>
  <c r="S57" i="371"/>
  <c r="R57" i="371"/>
  <c r="Q57" i="371"/>
  <c r="V56" i="371"/>
  <c r="U56" i="371"/>
  <c r="T56" i="371"/>
  <c r="S56" i="371"/>
  <c r="R56" i="371"/>
  <c r="Q56" i="371"/>
  <c r="T55" i="371"/>
  <c r="V55" i="371" s="1"/>
  <c r="S55" i="371"/>
  <c r="R55" i="371"/>
  <c r="Q55" i="371"/>
  <c r="V54" i="371"/>
  <c r="U54" i="371"/>
  <c r="T54" i="371"/>
  <c r="S54" i="371"/>
  <c r="R54" i="371"/>
  <c r="Q54" i="371"/>
  <c r="T53" i="371"/>
  <c r="V53" i="371" s="1"/>
  <c r="S53" i="371"/>
  <c r="R53" i="371"/>
  <c r="Q53" i="371"/>
  <c r="V52" i="371"/>
  <c r="U52" i="371"/>
  <c r="T52" i="371"/>
  <c r="S52" i="371"/>
  <c r="R52" i="371"/>
  <c r="Q52" i="371"/>
  <c r="T51" i="371"/>
  <c r="V51" i="371" s="1"/>
  <c r="S51" i="371"/>
  <c r="R51" i="371"/>
  <c r="Q51" i="371"/>
  <c r="V50" i="371"/>
  <c r="U50" i="371"/>
  <c r="T50" i="371"/>
  <c r="S50" i="371"/>
  <c r="R50" i="371"/>
  <c r="Q50" i="371"/>
  <c r="T49" i="371"/>
  <c r="V49" i="371" s="1"/>
  <c r="S49" i="371"/>
  <c r="R49" i="371"/>
  <c r="Q49" i="371"/>
  <c r="V48" i="371"/>
  <c r="U48" i="371"/>
  <c r="T48" i="371"/>
  <c r="S48" i="371"/>
  <c r="R48" i="371"/>
  <c r="Q48" i="371"/>
  <c r="V47" i="371"/>
  <c r="U47" i="371"/>
  <c r="T47" i="371"/>
  <c r="S47" i="371"/>
  <c r="R47" i="371"/>
  <c r="Q47" i="371"/>
  <c r="V46" i="371"/>
  <c r="U46" i="371"/>
  <c r="T46" i="371"/>
  <c r="S46" i="371"/>
  <c r="R46" i="371"/>
  <c r="Q46" i="371"/>
  <c r="T45" i="371"/>
  <c r="V45" i="371" s="1"/>
  <c r="S45" i="371"/>
  <c r="R45" i="371"/>
  <c r="Q45" i="371"/>
  <c r="V44" i="371"/>
  <c r="U44" i="371"/>
  <c r="T44" i="371"/>
  <c r="S44" i="371"/>
  <c r="R44" i="371"/>
  <c r="Q44" i="371"/>
  <c r="T43" i="371"/>
  <c r="V43" i="371" s="1"/>
  <c r="S43" i="371"/>
  <c r="R43" i="371"/>
  <c r="Q43" i="371"/>
  <c r="V42" i="371"/>
  <c r="U42" i="371"/>
  <c r="T42" i="371"/>
  <c r="S42" i="371"/>
  <c r="R42" i="371"/>
  <c r="Q42" i="371"/>
  <c r="T41" i="371"/>
  <c r="V41" i="371" s="1"/>
  <c r="S41" i="371"/>
  <c r="R41" i="371"/>
  <c r="Q41" i="371"/>
  <c r="V40" i="371"/>
  <c r="U40" i="371"/>
  <c r="T40" i="371"/>
  <c r="S40" i="371"/>
  <c r="R40" i="371"/>
  <c r="Q40" i="371"/>
  <c r="T39" i="371"/>
  <c r="V39" i="371" s="1"/>
  <c r="S39" i="371"/>
  <c r="R39" i="371"/>
  <c r="Q39" i="371"/>
  <c r="V38" i="371"/>
  <c r="U38" i="371"/>
  <c r="T38" i="371"/>
  <c r="S38" i="371"/>
  <c r="R38" i="371"/>
  <c r="Q38" i="371"/>
  <c r="T37" i="371"/>
  <c r="V37" i="371" s="1"/>
  <c r="S37" i="371"/>
  <c r="R37" i="371"/>
  <c r="Q37" i="371"/>
  <c r="V36" i="371"/>
  <c r="U36" i="371"/>
  <c r="T36" i="371"/>
  <c r="S36" i="371"/>
  <c r="R36" i="371"/>
  <c r="Q36" i="371"/>
  <c r="T35" i="371"/>
  <c r="V35" i="371" s="1"/>
  <c r="S35" i="371"/>
  <c r="R35" i="371"/>
  <c r="Q35" i="371"/>
  <c r="V34" i="371"/>
  <c r="U34" i="371"/>
  <c r="T34" i="371"/>
  <c r="S34" i="371"/>
  <c r="R34" i="371"/>
  <c r="Q34" i="371"/>
  <c r="T33" i="371"/>
  <c r="V33" i="371" s="1"/>
  <c r="S33" i="371"/>
  <c r="R33" i="371"/>
  <c r="Q33" i="371"/>
  <c r="V32" i="371"/>
  <c r="U32" i="371"/>
  <c r="T32" i="371"/>
  <c r="S32" i="371"/>
  <c r="R32" i="371"/>
  <c r="Q32" i="371"/>
  <c r="V31" i="371"/>
  <c r="U31" i="371"/>
  <c r="T31" i="371"/>
  <c r="S31" i="371"/>
  <c r="R31" i="371"/>
  <c r="Q31" i="371"/>
  <c r="V30" i="371"/>
  <c r="U30" i="371"/>
  <c r="T30" i="371"/>
  <c r="S30" i="371"/>
  <c r="R30" i="371"/>
  <c r="Q30" i="371"/>
  <c r="T29" i="371"/>
  <c r="V29" i="371" s="1"/>
  <c r="S29" i="371"/>
  <c r="R29" i="371"/>
  <c r="Q29" i="371"/>
  <c r="V28" i="371"/>
  <c r="U28" i="371"/>
  <c r="T28" i="371"/>
  <c r="S28" i="371"/>
  <c r="R28" i="371"/>
  <c r="Q28" i="371"/>
  <c r="T27" i="371"/>
  <c r="V27" i="371" s="1"/>
  <c r="S27" i="371"/>
  <c r="R27" i="371"/>
  <c r="Q27" i="371"/>
  <c r="V26" i="371"/>
  <c r="U26" i="371"/>
  <c r="T26" i="371"/>
  <c r="S26" i="371"/>
  <c r="R26" i="371"/>
  <c r="Q26" i="371"/>
  <c r="T25" i="371"/>
  <c r="V25" i="371" s="1"/>
  <c r="S25" i="371"/>
  <c r="R25" i="371"/>
  <c r="Q25" i="371"/>
  <c r="V24" i="371"/>
  <c r="U24" i="371"/>
  <c r="T24" i="371"/>
  <c r="S24" i="371"/>
  <c r="R24" i="371"/>
  <c r="Q24" i="371"/>
  <c r="V23" i="371"/>
  <c r="U23" i="371"/>
  <c r="T23" i="371"/>
  <c r="S23" i="371"/>
  <c r="R23" i="371"/>
  <c r="Q23" i="371"/>
  <c r="V22" i="371"/>
  <c r="U22" i="371"/>
  <c r="T22" i="371"/>
  <c r="S22" i="371"/>
  <c r="R22" i="371"/>
  <c r="Q22" i="371"/>
  <c r="T21" i="371"/>
  <c r="V21" i="371" s="1"/>
  <c r="S21" i="371"/>
  <c r="R21" i="371"/>
  <c r="Q21" i="371"/>
  <c r="V20" i="371"/>
  <c r="U20" i="371"/>
  <c r="T20" i="37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V17" i="371"/>
  <c r="U17" i="371"/>
  <c r="T17" i="371"/>
  <c r="S17" i="371"/>
  <c r="R17" i="371"/>
  <c r="Q17" i="371"/>
  <c r="V16" i="371"/>
  <c r="U16" i="371"/>
  <c r="T16" i="371"/>
  <c r="S16" i="371"/>
  <c r="R16" i="371"/>
  <c r="Q16" i="371"/>
  <c r="T15" i="371"/>
  <c r="V15" i="371" s="1"/>
  <c r="S15" i="371"/>
  <c r="R15" i="371"/>
  <c r="Q15" i="371"/>
  <c r="V14" i="371"/>
  <c r="T14" i="371"/>
  <c r="U14" i="371" s="1"/>
  <c r="S14" i="371"/>
  <c r="R14" i="371"/>
  <c r="Q14" i="371"/>
  <c r="T13" i="371"/>
  <c r="V13" i="371" s="1"/>
  <c r="S13" i="371"/>
  <c r="R13" i="371"/>
  <c r="Q13" i="371"/>
  <c r="T12" i="371"/>
  <c r="U12" i="371" s="1"/>
  <c r="S12" i="371"/>
  <c r="R12" i="371"/>
  <c r="Q12" i="371"/>
  <c r="V11" i="371"/>
  <c r="U11" i="371"/>
  <c r="T11" i="371"/>
  <c r="S11" i="371"/>
  <c r="R11" i="371"/>
  <c r="Q11" i="371"/>
  <c r="T10" i="371"/>
  <c r="V10" i="371" s="1"/>
  <c r="S10" i="371"/>
  <c r="R10" i="371"/>
  <c r="Q10" i="371"/>
  <c r="V9" i="371"/>
  <c r="U9" i="371"/>
  <c r="T9" i="371"/>
  <c r="S9" i="371"/>
  <c r="R9" i="371"/>
  <c r="Q9" i="371"/>
  <c r="T8" i="371"/>
  <c r="V8" i="371" s="1"/>
  <c r="S8" i="371"/>
  <c r="R8" i="371"/>
  <c r="Q8" i="371"/>
  <c r="V7" i="371"/>
  <c r="T7" i="371"/>
  <c r="U7" i="371" s="1"/>
  <c r="S7" i="371"/>
  <c r="R7" i="371"/>
  <c r="Q7" i="371"/>
  <c r="T6" i="371"/>
  <c r="V6" i="371" s="1"/>
  <c r="S6" i="371"/>
  <c r="R6" i="371"/>
  <c r="Q6" i="371"/>
  <c r="V5" i="371"/>
  <c r="U5" i="371"/>
  <c r="T5" i="371"/>
  <c r="S5" i="371"/>
  <c r="R5" i="371"/>
  <c r="Q5" i="371"/>
  <c r="U6" i="371" l="1"/>
  <c r="V12" i="371"/>
  <c r="U13" i="371"/>
  <c r="U15" i="371"/>
  <c r="U21" i="371"/>
  <c r="U25" i="371"/>
  <c r="U27" i="371"/>
  <c r="U29" i="371"/>
  <c r="U33" i="371"/>
  <c r="U35" i="371"/>
  <c r="U37" i="371"/>
  <c r="U39" i="371"/>
  <c r="U41" i="371"/>
  <c r="U43" i="371"/>
  <c r="U45" i="371"/>
  <c r="U49" i="371"/>
  <c r="U51" i="371"/>
  <c r="U53" i="371"/>
  <c r="U55" i="371"/>
  <c r="U61" i="371"/>
  <c r="U67" i="371"/>
  <c r="U71" i="371"/>
  <c r="U73" i="371"/>
  <c r="U75" i="371"/>
  <c r="U83" i="371"/>
  <c r="U85" i="371"/>
  <c r="U89" i="371"/>
  <c r="U91" i="371"/>
  <c r="U93" i="371"/>
  <c r="U95" i="371"/>
  <c r="U101" i="371"/>
  <c r="U103" i="371"/>
  <c r="U105" i="371"/>
  <c r="U109" i="371"/>
  <c r="U111" i="371"/>
  <c r="U113" i="371"/>
  <c r="U115" i="371"/>
  <c r="U8" i="371"/>
  <c r="U10" i="371"/>
  <c r="U112" i="371"/>
  <c r="AG26" i="419"/>
  <c r="AG25" i="419"/>
  <c r="C11" i="340" l="1"/>
  <c r="A20" i="383" l="1"/>
  <c r="A11" i="383"/>
  <c r="C15" i="414"/>
  <c r="D15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J24" i="370" l="1"/>
  <c r="J23" i="370"/>
  <c r="J22" i="370"/>
  <c r="J21" i="370"/>
  <c r="J20" i="370"/>
  <c r="J19" i="370"/>
  <c r="J18" i="370"/>
  <c r="A27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5" i="414" l="1"/>
  <c r="A24" i="414"/>
  <c r="A23" i="414"/>
  <c r="A22" i="414" l="1"/>
  <c r="A21" i="414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7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6" i="414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D4" i="414"/>
  <c r="C18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4" i="414" s="1"/>
  <c r="E24" i="414" s="1"/>
  <c r="I39" i="370"/>
  <c r="I26" i="370"/>
  <c r="E12" i="339"/>
  <c r="M39" i="370"/>
  <c r="E26" i="370"/>
  <c r="D23" i="414" s="1"/>
  <c r="E23" i="414" s="1"/>
  <c r="L39" i="370"/>
  <c r="C12" i="339"/>
  <c r="E13" i="370"/>
  <c r="D22" i="414" s="1"/>
  <c r="E22" i="414" s="1"/>
  <c r="L13" i="370"/>
  <c r="B12" i="339"/>
  <c r="F12" i="339" s="1"/>
  <c r="I13" i="370"/>
  <c r="D25" i="414" s="1"/>
  <c r="E25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Q3" i="347" s="1"/>
  <c r="M3" i="387"/>
  <c r="K3" i="387" s="1"/>
  <c r="L3" i="387"/>
  <c r="J3" i="387"/>
  <c r="I3" i="387"/>
  <c r="G3" i="387"/>
  <c r="H3" i="387" s="1"/>
  <c r="F3" i="387"/>
  <c r="N3" i="220"/>
  <c r="L3" i="220" s="1"/>
  <c r="D21" i="414"/>
  <c r="C21" i="414"/>
  <c r="U3" i="347" l="1"/>
  <c r="F3" i="372"/>
  <c r="N3" i="372"/>
  <c r="C27" i="414"/>
  <c r="E27" i="414" s="1"/>
  <c r="F13" i="339"/>
  <c r="E13" i="339"/>
  <c r="E15" i="339" s="1"/>
  <c r="J3" i="372"/>
  <c r="H12" i="339"/>
  <c r="G12" i="339"/>
  <c r="K3" i="390"/>
  <c r="A4" i="383"/>
  <c r="A34" i="383"/>
  <c r="A33" i="383"/>
  <c r="A32" i="383"/>
  <c r="A31" i="383"/>
  <c r="A30" i="383"/>
  <c r="A29" i="383"/>
  <c r="A28" i="383"/>
  <c r="A27" i="383"/>
  <c r="A26" i="383"/>
  <c r="A25" i="383"/>
  <c r="A22" i="383"/>
  <c r="A21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7" i="414"/>
  <c r="H13" i="339" l="1"/>
  <c r="F15" i="339"/>
  <c r="D26" i="414"/>
  <c r="E26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<sst xmlns="http://schemas.openxmlformats.org/spreadsheetml/2006/main" count="23504" uniqueCount="5477">
  <si>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</si>
  <si>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</si>
  <si>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</si>
  <si>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</si>
  <si>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</si>
  <si>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</si>
  <si>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</si>
  <si>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</si>
  <si>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</si>
  <si>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</si>
  <si>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</si>
  <si>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</si>
  <si>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</si>
  <si>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</si>
  <si>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</si>
  <si>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</si>
  <si>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</si>
  <si>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</si>
  <si>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</si>
  <si>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</si>
  <si>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</si>
  <si>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</si>
  <si>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</si>
  <si>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</si>
  <si>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</si>
  <si>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</si>
  <si>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</si>
  <si>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</si>
  <si>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</si>
  <si>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</si>
  <si>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</si>
  <si>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</si>
  <si>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</si>
  <si>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</si>
  <si>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</si>
  <si>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</si>
  <si>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</si>
  <si>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</si>
  <si>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</si>
  <si>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</si>
  <si>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</si>
  <si>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</si>
  <si>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</si>
  <si>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</si>
  <si>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</si>
  <si>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</si>
  <si>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</si>
  <si>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</si>
  <si>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</si>
  <si>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</si>
  <si>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</si>
  <si>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</si>
  <si>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</si>
  <si>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</si>
  <si>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</si>
  <si>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</si>
  <si>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</si>
  <si>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</si>
  <si>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</si>
  <si>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</si>
  <si>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</si>
  <si>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</si>
  <si>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</si>
  <si>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</si>
  <si>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</si>
  <si>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</si>
  <si>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</si>
  <si>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</si>
  <si>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</si>
  <si>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</si>
  <si>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</si>
  <si>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</si>
  <si>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</si>
  <si>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</si>
  <si>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</si>
  <si>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</si>
  <si>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</si>
  <si>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</si>
  <si>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</si>
  <si>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</si>
  <si>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</si>
  <si>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</si>
  <si>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</si>
  <si>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</si>
  <si>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</si>
  <si>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</si>
  <si>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</si>
  <si>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</si>
  <si>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</si>
  <si>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</si>
  <si>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</si>
  <si>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</si>
  <si>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</si>
  <si>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</si>
  <si>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</si>
  <si>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</si>
  <si>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</si>
  <si>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</si>
  <si>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</si>
  <si>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</si>
  <si>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</si>
  <si>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</si>
  <si>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</si>
  <si>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</si>
  <si>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</si>
  <si>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</si>
  <si>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</si>
  <si>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</si>
  <si>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</si>
  <si>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</si>
  <si>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</si>
  <si>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</si>
  <si>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</si>
  <si>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</si>
  <si>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</si>
  <si>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</si>
  <si>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</si>
  <si>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</si>
  <si>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</si>
  <si>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</si>
  <si>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</si>
  <si>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</si>
  <si>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</si>
  <si>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</si>
  <si>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</si>
  <si>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</si>
  <si>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</si>
  <si>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</si>
  <si>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</si>
  <si>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</si>
  <si>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</si>
  <si>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</si>
  <si>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</si>
  <si>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</si>
  <si>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</si>
  <si>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</si>
  <si>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</si>
  <si>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</si>
  <si>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</si>
  <si>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</si>
  <si>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</si>
  <si>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</si>
  <si>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</si>
  <si>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</si>
  <si>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</si>
  <si>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</si>
  <si>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</si>
  <si>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</si>
  <si>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</si>
  <si>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</si>
  <si>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</si>
  <si>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</si>
  <si>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</si>
  <si>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</si>
  <si>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</si>
  <si>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</si>
  <si>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</si>
  <si>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</si>
  <si>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</si>
  <si>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</si>
  <si>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</si>
  <si>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</si>
  <si>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</si>
  <si>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</si>
  <si>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</si>
  <si>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</si>
  <si>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</si>
  <si>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</si>
  <si>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</si>
  <si>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</si>
  <si>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</si>
  <si>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</si>
  <si>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</si>
  <si>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</si>
  <si>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</si>
  <si>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</si>
  <si>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</si>
  <si>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</si>
  <si>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</si>
  <si>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</si>
  <si>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</si>
  <si>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</si>
  <si>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</si>
  <si>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</si>
  <si>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</si>
  <si>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</si>
  <si>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</si>
  <si>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</si>
  <si>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</si>
  <si>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</si>
  <si>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</si>
  <si>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</si>
  <si>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</si>
  <si>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</si>
  <si>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</si>
  <si>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</si>
  <si>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</si>
  <si>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</si>
  <si>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</si>
  <si>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</si>
  <si>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</si>
  <si>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</si>
  <si>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</si>
  <si>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</si>
  <si>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</si>
  <si>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</si>
  <si>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</si>
  <si>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</si>
  <si>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</si>
  <si>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</si>
  <si>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</si>
  <si>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</si>
  <si>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</si>
  <si>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</si>
  <si>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</si>
  <si>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</si>
  <si>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</si>
  <si>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</si>
  <si>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</si>
  <si>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</si>
  <si>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</si>
  <si>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</si>
  <si>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</si>
  <si>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</si>
  <si>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</si>
  <si>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</si>
  <si>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</si>
  <si>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</si>
  <si>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</si>
  <si>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</si>
  <si>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</si>
  <si>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</si>
  <si>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</si>
  <si>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</si>
  <si>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</si>
  <si>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</si>
  <si>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</si>
  <si>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</si>
  <si>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</si>
  <si>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</si>
  <si>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</si>
  <si>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</si>
  <si>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</si>
  <si>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</si>
  <si>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</si>
  <si>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</si>
  <si>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</si>
  <si>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</si>
  <si>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</si>
  <si>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</si>
  <si>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</si>
  <si>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</si>
  <si>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</si>
  <si>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</si>
  <si>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</si>
  <si>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</si>
  <si>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</si>
  <si>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</si>
  <si>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</si>
  <si>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</si>
  <si>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</si>
  <si>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</si>
  <si>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</si>
  <si>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</si>
  <si>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</si>
  <si>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</si>
  <si>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</si>
  <si>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</si>
  <si>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</si>
  <si>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</si>
  <si>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</si>
  <si>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</si>
  <si>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</si>
  <si>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</si>
  <si>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</si>
  <si>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</si>
  <si>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</si>
  <si>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</si>
  <si>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</si>
  <si>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</si>
  <si>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</si>
  <si>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</si>
  <si>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</si>
  <si>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</si>
  <si>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</si>
  <si>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</si>
  <si>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</si>
  <si>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</si>
  <si>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</si>
  <si>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</si>
  <si>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</si>
  <si>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</si>
  <si>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</si>
  <si>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</si>
  <si>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</si>
  <si>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</si>
  <si>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</si>
  <si>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</si>
  <si>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</si>
  <si>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</si>
  <si>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</si>
  <si>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</si>
  <si>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</si>
  <si>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</si>
  <si>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</si>
  <si>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</si>
  <si>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</si>
  <si>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</si>
  <si>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</si>
  <si>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</si>
  <si>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</si>
  <si>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</si>
  <si>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</si>
  <si>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</si>
  <si>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</si>
  <si>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</si>
  <si>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</si>
  <si>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</si>
  <si>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</si>
  <si>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</si>
  <si>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</si>
  <si>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Traumatologické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</si>
  <si>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</si>
  <si>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</si>
  <si>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</si>
  <si>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</si>
  <si>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</si>
  <si>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</si>
  <si>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</si>
  <si>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</si>
  <si>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</si>
  <si>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</si>
  <si>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</si>
  <si>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</si>
  <si>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</si>
  <si>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</si>
  <si>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</si>
  <si>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</si>
  <si>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</si>
  <si>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</si>
  <si>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</si>
  <si>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</si>
  <si>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</si>
  <si>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50115003     implant.umělé těl.náhr.-TEP (sk.Z_518)</t>
  </si>
  <si>
    <t>50115004     implant.umělé těl.náhr.-kovové (s.Z_506)</t>
  </si>
  <si>
    <t>50115011     implant.umělé těl.náhr.-ostat.nákl.PZT(s.Z_515)</t>
  </si>
  <si>
    <t>50115020     diagnostika laboratorní-LEK (sk.Z_501)</t>
  </si>
  <si>
    <t>50115040     laboratorní materiál (sk.Z_505)</t>
  </si>
  <si>
    <t>50115050     obvazový materiál (sk.Z_502)</t>
  </si>
  <si>
    <t>50115051     nadstandard ZUM (hrazeno pac.) (sk.Z_520)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</si>
  <si>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</si>
  <si>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</si>
  <si>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</si>
  <si>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</si>
  <si>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</si>
  <si>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</si>
  <si>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</si>
  <si>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</si>
  <si>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</si>
  <si>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</si>
  <si>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</si>
  <si>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</si>
  <si>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</si>
  <si>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</si>
  <si>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</si>
  <si>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</si>
  <si>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</si>
  <si>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</si>
  <si>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</si>
  <si>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</si>
  <si>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</si>
  <si>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</si>
  <si>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</si>
  <si>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</si>
  <si>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</si>
  <si>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</si>
  <si>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</si>
  <si>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</si>
  <si>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</si>
  <si>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</si>
  <si>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</si>
  <si>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</si>
  <si>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</si>
  <si>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</si>
  <si>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</si>
  <si>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</si>
  <si>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</si>
  <si>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</si>
  <si>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</si>
  <si>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</si>
  <si>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</si>
  <si>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</si>
  <si>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</si>
  <si>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</si>
  <si>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</si>
  <si>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</si>
  <si>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</si>
  <si>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</si>
  <si>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</si>
  <si>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</si>
  <si>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51102029     opravy - vodní hospodářství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</si>
  <si>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</si>
  <si>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</si>
  <si>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</si>
  <si>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</si>
  <si>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</si>
  <si>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</si>
  <si>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</si>
  <si>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</si>
  <si>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</si>
  <si>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</si>
  <si>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</si>
  <si>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</si>
  <si>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</si>
  <si>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</si>
  <si>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</si>
  <si>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</si>
  <si>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</si>
  <si>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</si>
  <si>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</si>
  <si>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</si>
  <si>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</si>
  <si>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</si>
  <si>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</si>
  <si>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</si>
  <si>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51874003     znalecké posudky, odměny z klinických hodnocení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</si>
  <si>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</si>
  <si>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</si>
  <si>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</si>
  <si>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</si>
  <si>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</si>
  <si>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</si>
  <si>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</si>
  <si>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</si>
  <si>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</si>
  <si>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</si>
  <si>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</si>
  <si>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</si>
  <si>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</si>
  <si>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</si>
  <si>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</si>
  <si>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</si>
  <si>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</si>
  <si>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</si>
  <si>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</si>
  <si>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</si>
  <si>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</si>
  <si>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</si>
  <si>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</si>
  <si>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</si>
  <si>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</si>
  <si>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</si>
  <si>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</si>
  <si>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</si>
  <si>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</si>
  <si>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</si>
  <si>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</si>
  <si>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</si>
  <si>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</si>
  <si>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</si>
  <si>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</si>
  <si>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</si>
  <si>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</si>
  <si>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</si>
  <si>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</si>
  <si>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</si>
  <si>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</si>
  <si>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</si>
  <si>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</si>
  <si>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</si>
  <si>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</si>
  <si>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</si>
  <si>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</si>
  <si>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</si>
  <si>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55802003     DDHM - kacelářská technika (sk.V_37)</t>
  </si>
  <si>
    <t>55804     DDHM - výpočetní technika</t>
  </si>
  <si>
    <t>55804080     DDHM - výpočetní technika (vecné dary)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</si>
  <si>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</si>
  <si>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</si>
  <si>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</si>
  <si>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</si>
  <si>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</si>
  <si>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</si>
  <si>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</si>
  <si>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</si>
  <si>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</si>
  <si>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</si>
  <si>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</si>
  <si>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</si>
  <si>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</si>
  <si>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</si>
  <si>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60210361     zdr.služby - nadstandard.zdrav.péče-tuzemci (vyhl.411/11)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</si>
  <si>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</si>
  <si>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</si>
  <si>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</si>
  <si>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</si>
  <si>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</si>
  <si>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</si>
  <si>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</si>
  <si>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</si>
  <si>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</si>
  <si>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</si>
  <si>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</si>
  <si>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</si>
  <si>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</si>
  <si>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</si>
  <si>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</si>
  <si>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</si>
  <si>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</si>
  <si>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</si>
  <si>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</si>
  <si>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</si>
  <si>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</si>
  <si>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</si>
  <si>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</si>
  <si>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</si>
  <si>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</si>
  <si>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</si>
  <si>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</si>
  <si>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64804229     čerp. FRM - opravy vod.hodpod.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</si>
  <si>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</si>
  <si>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</si>
  <si>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</si>
  <si>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</si>
  <si>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64924439     klinické hodnocení - tuzemci (81xx)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</si>
  <si>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</si>
  <si>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</si>
  <si>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</si>
  <si>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</si>
  <si>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</si>
  <si>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</si>
  <si>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</si>
  <si>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</si>
  <si>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</si>
  <si>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</si>
  <si>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</si>
  <si>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</si>
  <si>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</si>
  <si>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</si>
  <si>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</si>
  <si>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</si>
  <si>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</si>
  <si>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</si>
  <si>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</si>
  <si>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</si>
  <si>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</si>
  <si>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</si>
  <si>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</si>
  <si>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</si>
  <si>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</si>
  <si>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</si>
  <si>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</si>
  <si>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</si>
  <si>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</si>
  <si>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</si>
  <si>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</si>
  <si>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31</t>
  </si>
  <si>
    <t>Traumatologické oddělení</t>
  </si>
  <si>
    <t/>
  </si>
  <si>
    <t>50113007     léky - krev.deriváty ZUL (LEK)</t>
  </si>
  <si>
    <t>50113011     léky - hemofilici ZUL (TO)</t>
  </si>
  <si>
    <t>Traumatologické oddělení Celkem</t>
  </si>
  <si>
    <t>SumaKL</t>
  </si>
  <si>
    <t>3111</t>
  </si>
  <si>
    <t>lůžkové oddělení 27</t>
  </si>
  <si>
    <t>lůžkové oddělení 27 Celkem</t>
  </si>
  <si>
    <t>SumaNS</t>
  </si>
  <si>
    <t>mezeraNS</t>
  </si>
  <si>
    <t>3121</t>
  </si>
  <si>
    <t>ambulance</t>
  </si>
  <si>
    <t>ambulance Celkem</t>
  </si>
  <si>
    <t>3131</t>
  </si>
  <si>
    <t>JIP 27</t>
  </si>
  <si>
    <t>JIP 27 Celkem</t>
  </si>
  <si>
    <t>3164</t>
  </si>
  <si>
    <t>pracoviště COS</t>
  </si>
  <si>
    <t>pracoviště COS Celkem</t>
  </si>
  <si>
    <t>50113001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</si>
  <si>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</si>
  <si>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</si>
  <si>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</si>
  <si>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</si>
  <si>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</si>
  <si>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</si>
  <si>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</si>
  <si>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</si>
  <si>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</si>
  <si>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</si>
  <si>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</si>
  <si>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</si>
  <si>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</si>
  <si>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</si>
  <si>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</si>
  <si>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</si>
  <si>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</si>
  <si>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</si>
  <si>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</si>
  <si>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</si>
  <si>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</si>
  <si>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</si>
  <si>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</si>
  <si>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</si>
  <si>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</si>
  <si>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</si>
  <si>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</si>
  <si>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</si>
  <si>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</si>
  <si>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</si>
  <si>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</si>
  <si>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</si>
  <si>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</si>
  <si>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102133</t>
  </si>
  <si>
    <t>2133</t>
  </si>
  <si>
    <t>FUROSEMID BIOTIKA</t>
  </si>
  <si>
    <t>INJ 5X2ML/20MG</t>
  </si>
  <si>
    <t>102478</t>
  </si>
  <si>
    <t>2478</t>
  </si>
  <si>
    <t>DIAZEPAM SLOVAKOFARMA</t>
  </si>
  <si>
    <t>TBL 20X10MG</t>
  </si>
  <si>
    <t>109847</t>
  </si>
  <si>
    <t>9847</t>
  </si>
  <si>
    <t>TORECAN</t>
  </si>
  <si>
    <t>SUP 6X6.5MG</t>
  </si>
  <si>
    <t>111671</t>
  </si>
  <si>
    <t>11671</t>
  </si>
  <si>
    <t>PLASMALYTE ROZTOK</t>
  </si>
  <si>
    <t>INF SOL 10X1000ML</t>
  </si>
  <si>
    <t>117992</t>
  </si>
  <si>
    <t>17992</t>
  </si>
  <si>
    <t>MAGNESII LACTICI 0.5 TBL.MVM</t>
  </si>
  <si>
    <t>PORTBLNOB100X0.5GM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</si>
  <si>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</si>
  <si>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</si>
  <si>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</si>
  <si>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</si>
  <si>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</si>
  <si>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</si>
  <si>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</si>
  <si>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130434</t>
  </si>
  <si>
    <t>30434</t>
  </si>
  <si>
    <t>VEROSPIRON</t>
  </si>
  <si>
    <t>TBL 100X25MG</t>
  </si>
  <si>
    <t>147193</t>
  </si>
  <si>
    <t>47193</t>
  </si>
  <si>
    <t>HUMULIN R 100 M.J./ML</t>
  </si>
  <si>
    <t>INJ 1X10ML/1KU</t>
  </si>
  <si>
    <t>155823</t>
  </si>
  <si>
    <t>55823</t>
  </si>
  <si>
    <t>NOVALGIN</t>
  </si>
  <si>
    <t>TBL OBD 20X500MG</t>
  </si>
  <si>
    <t>156993</t>
  </si>
  <si>
    <t>56993</t>
  </si>
  <si>
    <t>CODEIN SLOVAKOFARMA 30MG</t>
  </si>
  <si>
    <t>TBL 10X30MG-BLISTR</t>
  </si>
  <si>
    <t>158041</t>
  </si>
  <si>
    <t>58041</t>
  </si>
  <si>
    <t>BETALOC ZOK 200 MG</t>
  </si>
  <si>
    <t>POR TBL PRO 30X200MG</t>
  </si>
  <si>
    <t>158425</t>
  </si>
  <si>
    <t>58425</t>
  </si>
  <si>
    <t>DOLMINA 50</t>
  </si>
  <si>
    <t>TBL OBD 30X50MG</t>
  </si>
  <si>
    <t>162320</t>
  </si>
  <si>
    <t>62320</t>
  </si>
  <si>
    <t>BETADINE</t>
  </si>
  <si>
    <t>UNG 1X20GM</t>
  </si>
  <si>
    <t>166555</t>
  </si>
  <si>
    <t>66555</t>
  </si>
  <si>
    <t>MAGNOSOLV</t>
  </si>
  <si>
    <t>GRA 30X6.1GM(SACKY)</t>
  </si>
  <si>
    <t>188219</t>
  </si>
  <si>
    <t>88219</t>
  </si>
  <si>
    <t>LEXAURIN</t>
  </si>
  <si>
    <t>TBL 30X3MG</t>
  </si>
  <si>
    <t>188630</t>
  </si>
  <si>
    <t>88630</t>
  </si>
  <si>
    <t>TBL.MAGNESII LACTICI 0.5 GLO</t>
  </si>
  <si>
    <t>TBL 100X500MG</t>
  </si>
  <si>
    <t>191484</t>
  </si>
  <si>
    <t>91484</t>
  </si>
  <si>
    <t>CARDIKET RETARD 40</t>
  </si>
  <si>
    <t>TBL RET 50X40MG</t>
  </si>
  <si>
    <t>191836</t>
  </si>
  <si>
    <t>91836</t>
  </si>
  <si>
    <t>INJ 5X1ML/6.5MG</t>
  </si>
  <si>
    <t>192853</t>
  </si>
  <si>
    <t>LOPERON CPS</t>
  </si>
  <si>
    <t>POR CPS DUR 20X2MG</t>
  </si>
  <si>
    <t>193104</t>
  </si>
  <si>
    <t>93104</t>
  </si>
  <si>
    <t>DEGAN</t>
  </si>
  <si>
    <t>TBL 40X10MG</t>
  </si>
  <si>
    <t>194248</t>
  </si>
  <si>
    <t>94248</t>
  </si>
  <si>
    <t>ZOLPIDEM-RATIOPHARM 10 MG</t>
  </si>
  <si>
    <t>POR TBL FLM 10X10MG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</si>
  <si>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</si>
  <si>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</si>
  <si>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</si>
  <si>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</si>
  <si>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</si>
  <si>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</si>
  <si>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</si>
  <si>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</si>
  <si>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395997</t>
  </si>
  <si>
    <t>DZ SOFTASEPT N BEZBARVÝ 250 ml</t>
  </si>
  <si>
    <t>841572</t>
  </si>
  <si>
    <t>MENALIND Ubrousky 50ks náhradní náplň</t>
  </si>
  <si>
    <t>842230</t>
  </si>
  <si>
    <t>Vazelina bílá kosmetic.Valinka  50ml</t>
  </si>
  <si>
    <t>844145</t>
  </si>
  <si>
    <t>56350</t>
  </si>
  <si>
    <t>SPECIES UROLOGICAE PLANTA</t>
  </si>
  <si>
    <t>SPC 20X1.5GM(SÁČKY)</t>
  </si>
  <si>
    <t>845008</t>
  </si>
  <si>
    <t>107806</t>
  </si>
  <si>
    <t>AESCIN-TEVA</t>
  </si>
  <si>
    <t>POR TBL FLM 30X20MG</t>
  </si>
  <si>
    <t>845758</t>
  </si>
  <si>
    <t>280</t>
  </si>
  <si>
    <t>PYRIDOXIN LÉČIVA TBL</t>
  </si>
  <si>
    <t xml:space="preserve">POR TBL NOB 20X20MG 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</si>
  <si>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</si>
  <si>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</si>
  <si>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</si>
  <si>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</si>
  <si>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</si>
  <si>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</si>
  <si>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</si>
  <si>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848866</t>
  </si>
  <si>
    <t>119654</t>
  </si>
  <si>
    <t>SORBIFER DURULES</t>
  </si>
  <si>
    <t>POR TBL FLM 100X100MG</t>
  </si>
  <si>
    <t>849254</t>
  </si>
  <si>
    <t>155780</t>
  </si>
  <si>
    <t>GODASAL 100</t>
  </si>
  <si>
    <t>POR TBL NOB 20</t>
  </si>
  <si>
    <t>849831</t>
  </si>
  <si>
    <t>162008</t>
  </si>
  <si>
    <t>PRESTARIUM NEO COMBI 10 MG/2,5 MG</t>
  </si>
  <si>
    <t>POR TBL FLM 30</t>
  </si>
  <si>
    <t>849941</t>
  </si>
  <si>
    <t>162142</t>
  </si>
  <si>
    <t>PARALEN 500</t>
  </si>
  <si>
    <t>POR TBL NOB 24X500MG</t>
  </si>
  <si>
    <t>905097</t>
  </si>
  <si>
    <t>23987</t>
  </si>
  <si>
    <t>DZ OCTENISEPT 250 ml</t>
  </si>
  <si>
    <t>DPH 15%</t>
  </si>
  <si>
    <t>930065</t>
  </si>
  <si>
    <t>DZ PRONTOSAN ROZTOK 350ml</t>
  </si>
  <si>
    <t>987465</t>
  </si>
  <si>
    <t>Menalind vlhké ošetř.ubrousky 50ks náhradní náplň</t>
  </si>
  <si>
    <t>988466</t>
  </si>
  <si>
    <t>192729</t>
  </si>
  <si>
    <t>NO-SPA</t>
  </si>
  <si>
    <t>POR TBL NOB 24X40MG</t>
  </si>
  <si>
    <t>102818</t>
  </si>
  <si>
    <t>2818</t>
  </si>
  <si>
    <t>ENDIARON</t>
  </si>
  <si>
    <t>TBL OBD 20X250MG</t>
  </si>
  <si>
    <t>111242</t>
  </si>
  <si>
    <t>11242</t>
  </si>
  <si>
    <t>GERATAM 1200</t>
  </si>
  <si>
    <t>TBL OBD 60X1200MG</t>
  </si>
  <si>
    <t>116594</t>
  </si>
  <si>
    <t>16594</t>
  </si>
  <si>
    <t>MALTOFER TABLETY</t>
  </si>
  <si>
    <t>POR TBL MND30X100MG</t>
  </si>
  <si>
    <t>117173</t>
  </si>
  <si>
    <t>17173</t>
  </si>
  <si>
    <t>OLYNTH 0.1%</t>
  </si>
  <si>
    <t>NAS SPR SOL 1X10ML</t>
  </si>
  <si>
    <t>117983</t>
  </si>
  <si>
    <t>17983</t>
  </si>
  <si>
    <t>OXYPHYLLIN</t>
  </si>
  <si>
    <t>TBL 50X100MG</t>
  </si>
  <si>
    <t>154094</t>
  </si>
  <si>
    <t>54094</t>
  </si>
  <si>
    <t>TRITTICO AC 75</t>
  </si>
  <si>
    <t>TBL RET 30X75MG</t>
  </si>
  <si>
    <t>194918</t>
  </si>
  <si>
    <t>94918</t>
  </si>
  <si>
    <t>AMBROBENE</t>
  </si>
  <si>
    <t>TBL 20X30MG</t>
  </si>
  <si>
    <t>394130</t>
  </si>
  <si>
    <t>B-komplex Zentiva 30drg</t>
  </si>
  <si>
    <t>846824</t>
  </si>
  <si>
    <t>124087</t>
  </si>
  <si>
    <t>PRESTANCE 5 MG/5 MG</t>
  </si>
  <si>
    <t>POR TBL NOB 30</t>
  </si>
  <si>
    <t>846980</t>
  </si>
  <si>
    <t>124129</t>
  </si>
  <si>
    <t>PRESTANCE 10 MG/10 MG</t>
  </si>
  <si>
    <t>849276</t>
  </si>
  <si>
    <t>155875</t>
  </si>
  <si>
    <t>TRENTAL</t>
  </si>
  <si>
    <t>INF SOL 5X5ML/100MG</t>
  </si>
  <si>
    <t>841544</t>
  </si>
  <si>
    <t>KL ETHER 130G</t>
  </si>
  <si>
    <t>113803</t>
  </si>
  <si>
    <t>13803</t>
  </si>
  <si>
    <t>PANTHENOL SPRAY</t>
  </si>
  <si>
    <t>DRM SPR SUS 1X130GM</t>
  </si>
  <si>
    <t>102963</t>
  </si>
  <si>
    <t>2963</t>
  </si>
  <si>
    <t>PREDNISON 20 LECIVA</t>
  </si>
  <si>
    <t>TBL 20X20MG(BLISTR)</t>
  </si>
  <si>
    <t>900321</t>
  </si>
  <si>
    <t>KL PRIPRAVEK</t>
  </si>
  <si>
    <t>100641</t>
  </si>
  <si>
    <t>641</t>
  </si>
  <si>
    <t>VITAMIN B12 LECIVA 300RG</t>
  </si>
  <si>
    <t>INJ 5X1ML/300RG</t>
  </si>
  <si>
    <t>102123</t>
  </si>
  <si>
    <t>2123</t>
  </si>
  <si>
    <t>PAMBA</t>
  </si>
  <si>
    <t>TBL 10X250MG</t>
  </si>
  <si>
    <t>117011</t>
  </si>
  <si>
    <t>17011</t>
  </si>
  <si>
    <t>DICYNONE 250</t>
  </si>
  <si>
    <t>INJ SOL 4X2ML/250MG</t>
  </si>
  <si>
    <t>166506</t>
  </si>
  <si>
    <t>66506</t>
  </si>
  <si>
    <t>ENAP-H</t>
  </si>
  <si>
    <t>TBL 30</t>
  </si>
  <si>
    <t>167547</t>
  </si>
  <si>
    <t>67547</t>
  </si>
  <si>
    <t>ALMIRAL</t>
  </si>
  <si>
    <t>INJ 10X3ML/75MG</t>
  </si>
  <si>
    <t>169671</t>
  </si>
  <si>
    <t>69671</t>
  </si>
  <si>
    <t>INJECTIO PROCAIN.CHLOR.0.2% ARD</t>
  </si>
  <si>
    <t>INJ 1X500ML 0.2%</t>
  </si>
  <si>
    <t>394619</t>
  </si>
  <si>
    <t>Menalind Professional masážní gel 200ml</t>
  </si>
  <si>
    <t>102668</t>
  </si>
  <si>
    <t>2668</t>
  </si>
  <si>
    <t>OPHTHALMO-HYDROCORTISON LECIVA</t>
  </si>
  <si>
    <t>UNG OPH 1X5GM 0.5%</t>
  </si>
  <si>
    <t>104178</t>
  </si>
  <si>
    <t>4178</t>
  </si>
  <si>
    <t>TRIAMCINOLON E LECIVA</t>
  </si>
  <si>
    <t>108499</t>
  </si>
  <si>
    <t>8499</t>
  </si>
  <si>
    <t>DIPIDOLOR</t>
  </si>
  <si>
    <t>INJ 5X2ML 7.5MG/ML</t>
  </si>
  <si>
    <t>850039</t>
  </si>
  <si>
    <t>122119</t>
  </si>
  <si>
    <t>APO-FAMOTIDINE 20 MG</t>
  </si>
  <si>
    <t>POR TBL FLM 100X20MG</t>
  </si>
  <si>
    <t>175285</t>
  </si>
  <si>
    <t>75285</t>
  </si>
  <si>
    <t>ERYFLUID</t>
  </si>
  <si>
    <t>SOL 1X100ML</t>
  </si>
  <si>
    <t>191032</t>
  </si>
  <si>
    <t>91032</t>
  </si>
  <si>
    <t>SECATOXIN /R/ FORTE</t>
  </si>
  <si>
    <t>GTT 25ML 25MG/10ML</t>
  </si>
  <si>
    <t>394072</t>
  </si>
  <si>
    <t>1000</t>
  </si>
  <si>
    <t>KL KAPSLE</t>
  </si>
  <si>
    <t>900881</t>
  </si>
  <si>
    <t>KL BALS.VISNEVSKI 100G</t>
  </si>
  <si>
    <t>175025</t>
  </si>
  <si>
    <t>75025</t>
  </si>
  <si>
    <t>THIAMIN LECIVA</t>
  </si>
  <si>
    <t>TBL 20X50MG(BLISTR)</t>
  </si>
  <si>
    <t>844148</t>
  </si>
  <si>
    <t>104694</t>
  </si>
  <si>
    <t>MUCOSOLVAN PRO DOSPĚLÉ</t>
  </si>
  <si>
    <t>POR SIR 1X100ML</t>
  </si>
  <si>
    <t>850729</t>
  </si>
  <si>
    <t>157875</t>
  </si>
  <si>
    <t>PARACETAMOL KABI 10MG/ML</t>
  </si>
  <si>
    <t>INF SOL 10X100ML/1000MG</t>
  </si>
  <si>
    <t>900520</t>
  </si>
  <si>
    <t>KL SOL.ACIDI BORICI 3%,100G</t>
  </si>
  <si>
    <t>FAGRON, KULICH</t>
  </si>
  <si>
    <t>900007</t>
  </si>
  <si>
    <t>KL SOL.HYD.PEROX.3% 100G</t>
  </si>
  <si>
    <t>848992</t>
  </si>
  <si>
    <t>119658</t>
  </si>
  <si>
    <t>FEBICHOL</t>
  </si>
  <si>
    <t>POR CPS MOL50X100MG</t>
  </si>
  <si>
    <t>176188</t>
  </si>
  <si>
    <t>76188</t>
  </si>
  <si>
    <t>CELASKON</t>
  </si>
  <si>
    <t>TBL 40X100MG</t>
  </si>
  <si>
    <t>121856</t>
  </si>
  <si>
    <t>21856</t>
  </si>
  <si>
    <t>CORYOL 3.125</t>
  </si>
  <si>
    <t>PORTBLNOB30X3.125MG</t>
  </si>
  <si>
    <t>100347</t>
  </si>
  <si>
    <t>347</t>
  </si>
  <si>
    <t>VITAMIN A SLOVAKOFARMA</t>
  </si>
  <si>
    <t>CPS 50X30KU</t>
  </si>
  <si>
    <t>101674</t>
  </si>
  <si>
    <t>1674</t>
  </si>
  <si>
    <t>JOX SPR 30ML</t>
  </si>
  <si>
    <t>900513</t>
  </si>
  <si>
    <t>KL ETHANOL.C.BENZINO 75G</t>
  </si>
  <si>
    <t>850093</t>
  </si>
  <si>
    <t>125121</t>
  </si>
  <si>
    <t>APO-DICLO SR 100</t>
  </si>
  <si>
    <t>POR TBL RET 30X100MG</t>
  </si>
  <si>
    <t>850027</t>
  </si>
  <si>
    <t>125122</t>
  </si>
  <si>
    <t>POR TBL RET 100X100MG</t>
  </si>
  <si>
    <t>107678</t>
  </si>
  <si>
    <t>KALIUMCHLORID 7.45% BRAUN</t>
  </si>
  <si>
    <t>INF CNC SOL 20X20ML</t>
  </si>
  <si>
    <t>988088</t>
  </si>
  <si>
    <t>Walmark Laktobacily FORTE s fruktooligosach.60+60</t>
  </si>
  <si>
    <t>P</t>
  </si>
  <si>
    <t>112892</t>
  </si>
  <si>
    <t>12892</t>
  </si>
  <si>
    <t>AULIN</t>
  </si>
  <si>
    <t>TBL 30X100MG</t>
  </si>
  <si>
    <t>117121</t>
  </si>
  <si>
    <t>17121</t>
  </si>
  <si>
    <t>LANZUL</t>
  </si>
  <si>
    <t>CPS 28X30MG</t>
  </si>
  <si>
    <t>154316</t>
  </si>
  <si>
    <t>54316</t>
  </si>
  <si>
    <t>FRAXIPARIN MULTI</t>
  </si>
  <si>
    <t>INJ 10X5ML/47.5KU</t>
  </si>
  <si>
    <t>159671</t>
  </si>
  <si>
    <t>59671</t>
  </si>
  <si>
    <t>TRALGIT SR 100</t>
  </si>
  <si>
    <t>POR TBL RET10X100MG</t>
  </si>
  <si>
    <t>176708</t>
  </si>
  <si>
    <t>76708</t>
  </si>
  <si>
    <t>ACCUZIDE</t>
  </si>
  <si>
    <t>TBL OBD 30</t>
  </si>
  <si>
    <t>193016</t>
  </si>
  <si>
    <t>93016</t>
  </si>
  <si>
    <t>SORTIS 20MG</t>
  </si>
  <si>
    <t>TBL OBD 30X20MG</t>
  </si>
  <si>
    <t>844554</t>
  </si>
  <si>
    <t>114065</t>
  </si>
  <si>
    <t>LOZAP 50 ZENTIVA</t>
  </si>
  <si>
    <t>POR TBL FLM 30X50MG</t>
  </si>
  <si>
    <t>112891</t>
  </si>
  <si>
    <t>12891</t>
  </si>
  <si>
    <t>TBL 15X100MG</t>
  </si>
  <si>
    <t>117425</t>
  </si>
  <si>
    <t>17425</t>
  </si>
  <si>
    <t>CITALEC 10 ZENTIVA</t>
  </si>
  <si>
    <t>POR TBL FLM30X10MG</t>
  </si>
  <si>
    <t>149531</t>
  </si>
  <si>
    <t>49531</t>
  </si>
  <si>
    <t>CONTROLOC I.V.</t>
  </si>
  <si>
    <t>INJ PLV SOL 1X40MG</t>
  </si>
  <si>
    <t>194113</t>
  </si>
  <si>
    <t>94113</t>
  </si>
  <si>
    <t>WARFARIN</t>
  </si>
  <si>
    <t>TBL 100X3MG</t>
  </si>
  <si>
    <t>844377</t>
  </si>
  <si>
    <t>102684</t>
  </si>
  <si>
    <t>BETAHISTIN ACTAVIS 16 MG</t>
  </si>
  <si>
    <t>POR TBL NOB 60X16MG</t>
  </si>
  <si>
    <t>109710</t>
  </si>
  <si>
    <t>9710</t>
  </si>
  <si>
    <t>SOLU-MEDROL</t>
  </si>
  <si>
    <t>INJ SIC 1X125MG+2ML</t>
  </si>
  <si>
    <t>849065</t>
  </si>
  <si>
    <t>107595</t>
  </si>
  <si>
    <t>PENESTER</t>
  </si>
  <si>
    <t>POR TBL FLM 90X5MG BLIP</t>
  </si>
  <si>
    <t>50113013</t>
  </si>
  <si>
    <t>102427</t>
  </si>
  <si>
    <t>2427</t>
  </si>
  <si>
    <t>ENTIZOL</t>
  </si>
  <si>
    <t>TBL 20X250MG</t>
  </si>
  <si>
    <t>104013</t>
  </si>
  <si>
    <t>4013</t>
  </si>
  <si>
    <t>DOXYBENE 200 MG TABLETY</t>
  </si>
  <si>
    <t>POR TBL NOB10X200MG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</si>
  <si>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</si>
  <si>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</si>
  <si>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</si>
  <si>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</si>
  <si>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</si>
  <si>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</si>
  <si>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</si>
  <si>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</si>
  <si>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117149</t>
  </si>
  <si>
    <t>17149</t>
  </si>
  <si>
    <t>UNASYN</t>
  </si>
  <si>
    <t>POR TBL FLM12X375MG</t>
  </si>
  <si>
    <t>117810</t>
  </si>
  <si>
    <t>17810</t>
  </si>
  <si>
    <t>TAZOCIN 4.5 G</t>
  </si>
  <si>
    <t>INJ PLV SOL12X4.5GM</t>
  </si>
  <si>
    <t>183417</t>
  </si>
  <si>
    <t>83417</t>
  </si>
  <si>
    <t>MERONEM</t>
  </si>
  <si>
    <t>INJ SIC 10X1GM</t>
  </si>
  <si>
    <t>192290</t>
  </si>
  <si>
    <t>92290</t>
  </si>
  <si>
    <t>EDICIN 1GM</t>
  </si>
  <si>
    <t>INJ.SICC.1X1GM</t>
  </si>
  <si>
    <t>192359</t>
  </si>
  <si>
    <t>92359</t>
  </si>
  <si>
    <t>PROSTAPHLIN 1000MG</t>
  </si>
  <si>
    <t>INJ SIC 1X1000MG</t>
  </si>
  <si>
    <t>849567</t>
  </si>
  <si>
    <t>125249</t>
  </si>
  <si>
    <t>CIPROFLOXACIN KABI 400 MG/200 ML INFUZNÍ ROZTOK</t>
  </si>
  <si>
    <t>INF SOL 10X400MG/200ML</t>
  </si>
  <si>
    <t>103902</t>
  </si>
  <si>
    <t>3902</t>
  </si>
  <si>
    <t>ZYVOXID</t>
  </si>
  <si>
    <t>POR TBL FLM10X600MG</t>
  </si>
  <si>
    <t>25746</t>
  </si>
  <si>
    <t>INVANZ 1 G</t>
  </si>
  <si>
    <t>INF PLV SOL 1X1GM</t>
  </si>
  <si>
    <t>105951</t>
  </si>
  <si>
    <t>5951</t>
  </si>
  <si>
    <t>AMOKSIKLAV 1G</t>
  </si>
  <si>
    <t>TBL OBD 14X1GM</t>
  </si>
  <si>
    <t>108807</t>
  </si>
  <si>
    <t>8807</t>
  </si>
  <si>
    <t>DALACIN C PHOSPHATE</t>
  </si>
  <si>
    <t>INJ 1X4ML 600MG</t>
  </si>
  <si>
    <t>116600</t>
  </si>
  <si>
    <t>16600</t>
  </si>
  <si>
    <t>INJ PLV SOL 1X1.5GM</t>
  </si>
  <si>
    <t>153202</t>
  </si>
  <si>
    <t>53202</t>
  </si>
  <si>
    <t>CIPHIN 500</t>
  </si>
  <si>
    <t>TBL OBD 10X500MG</t>
  </si>
  <si>
    <t>158092</t>
  </si>
  <si>
    <t>58092</t>
  </si>
  <si>
    <t>CEFAZOLIN SANDOZ 1 G</t>
  </si>
  <si>
    <t>172972</t>
  </si>
  <si>
    <t>72972</t>
  </si>
  <si>
    <t>AMOKSIKLAV 1.2GM</t>
  </si>
  <si>
    <t>INJ SIC 5X1.2GM</t>
  </si>
  <si>
    <t>185525</t>
  </si>
  <si>
    <t>85525</t>
  </si>
  <si>
    <t>AMOKSIKLAV</t>
  </si>
  <si>
    <t>TBL OBD 21X625MG</t>
  </si>
  <si>
    <t>844576</t>
  </si>
  <si>
    <t>100339</t>
  </si>
  <si>
    <t>DALACIN C 300 MG</t>
  </si>
  <si>
    <t>POR CPS DUR 16X300MG</t>
  </si>
  <si>
    <t>50113014</t>
  </si>
  <si>
    <t>101069</t>
  </si>
  <si>
    <t>1069</t>
  </si>
  <si>
    <t>FUNGICIDIN LECIVA</t>
  </si>
  <si>
    <t>UNG 1X10GM</t>
  </si>
  <si>
    <t>50113008</t>
  </si>
  <si>
    <t>0088336</t>
  </si>
  <si>
    <t>Haemate P 500 I.U.</t>
  </si>
  <si>
    <t>155824</t>
  </si>
  <si>
    <t>55824</t>
  </si>
  <si>
    <t>INJ 5X5ML/2500MG</t>
  </si>
  <si>
    <t>156926</t>
  </si>
  <si>
    <t>56926</t>
  </si>
  <si>
    <t>AQUA PRO INJECTIONE BRAUN</t>
  </si>
  <si>
    <t>INJ SOL 20X10ML-PLA</t>
  </si>
  <si>
    <t>920117</t>
  </si>
  <si>
    <t>KL SOL.FORMALDEHYDI 10% 1000 g</t>
  </si>
  <si>
    <t>UN 2209</t>
  </si>
  <si>
    <t>189869</t>
  </si>
  <si>
    <t>89869</t>
  </si>
  <si>
    <t>DIPROPHOS</t>
  </si>
  <si>
    <t>INJ 5X1ML</t>
  </si>
  <si>
    <t>116324</t>
  </si>
  <si>
    <t>16324</t>
  </si>
  <si>
    <t>BRAUNOVIDON GAZA S MASTI</t>
  </si>
  <si>
    <t>DRM LIG IPR 1X7.5X10CM</t>
  </si>
  <si>
    <t>900438</t>
  </si>
  <si>
    <t>KL SOL.FORMALDEHYDI 10%,500G</t>
  </si>
  <si>
    <t>920200</t>
  </si>
  <si>
    <t>DZ BRAUNOL 1 L</t>
  </si>
  <si>
    <t>102439</t>
  </si>
  <si>
    <t>2439</t>
  </si>
  <si>
    <t>MARCAINE 0.5%</t>
  </si>
  <si>
    <t>INJ SOL5X20ML/100MG</t>
  </si>
  <si>
    <t>921251</t>
  </si>
  <si>
    <t>KL SOL.NOVIKOV 20G</t>
  </si>
  <si>
    <t>500979</t>
  </si>
  <si>
    <t>KL MS HYDROG.PEROX. 3% 500g</t>
  </si>
  <si>
    <t>100802</t>
  </si>
  <si>
    <t>802</t>
  </si>
  <si>
    <t>OPHTHALMO-SEPTONEX</t>
  </si>
  <si>
    <t>GTT OPH 1X10ML</t>
  </si>
  <si>
    <t>100835</t>
  </si>
  <si>
    <t>835</t>
  </si>
  <si>
    <t>CALCIUM PANTHOTEN. SLOVAKOFARMA</t>
  </si>
  <si>
    <t>UNG 1X30GM</t>
  </si>
  <si>
    <t>101125</t>
  </si>
  <si>
    <t>1125</t>
  </si>
  <si>
    <t>MORPHIN BIOTIKA 1%</t>
  </si>
  <si>
    <t>INJ 10X1ML/10MG</t>
  </si>
  <si>
    <t>102477</t>
  </si>
  <si>
    <t>2477</t>
  </si>
  <si>
    <t>TBL 20X5MG</t>
  </si>
  <si>
    <t>102538</t>
  </si>
  <si>
    <t>2538</t>
  </si>
  <si>
    <t>HALOPERIDOL</t>
  </si>
  <si>
    <t>INJ 5X1ML/5MG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</si>
  <si>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</si>
  <si>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</si>
  <si>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</si>
  <si>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</si>
  <si>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</si>
  <si>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</si>
  <si>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</si>
  <si>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107981</t>
  </si>
  <si>
    <t>7981</t>
  </si>
  <si>
    <t>INJ 10X2ML/1000MG</t>
  </si>
  <si>
    <t>117189</t>
  </si>
  <si>
    <t>17189</t>
  </si>
  <si>
    <t>KALIUM CHLORATUM BIOMEDICA</t>
  </si>
  <si>
    <t>POR TBLFLM100X500MG</t>
  </si>
  <si>
    <t>125366</t>
  </si>
  <si>
    <t>25366</t>
  </si>
  <si>
    <t>POR CPS ETD 90X20MG</t>
  </si>
  <si>
    <t>132917</t>
  </si>
  <si>
    <t>32917</t>
  </si>
  <si>
    <t>PREDUCTAL MR</t>
  </si>
  <si>
    <t>POR TBL RET 60X35MG</t>
  </si>
  <si>
    <t>148578</t>
  </si>
  <si>
    <t>48578</t>
  </si>
  <si>
    <t>TIAPRIDAL</t>
  </si>
  <si>
    <t>POR TBLNOB 50X100MG</t>
  </si>
  <si>
    <t>158037</t>
  </si>
  <si>
    <t>58037</t>
  </si>
  <si>
    <t>BETALOC ZOK 50MG</t>
  </si>
  <si>
    <t>TBL RET 30X50MG</t>
  </si>
  <si>
    <t>158827</t>
  </si>
  <si>
    <t>58827</t>
  </si>
  <si>
    <t>FORTRANS</t>
  </si>
  <si>
    <t>PLV 1X4(SACKY)</t>
  </si>
  <si>
    <t>176064</t>
  </si>
  <si>
    <t>76064</t>
  </si>
  <si>
    <t>ACIDUM FOLICUM LECIVA</t>
  </si>
  <si>
    <t>DRG 30X10MG</t>
  </si>
  <si>
    <t>176496</t>
  </si>
  <si>
    <t>76496</t>
  </si>
  <si>
    <t>BERODUAL</t>
  </si>
  <si>
    <t>INH LIQ 1X20ML</t>
  </si>
  <si>
    <t>182952</t>
  </si>
  <si>
    <t>82952</t>
  </si>
  <si>
    <t>QUAMATEL</t>
  </si>
  <si>
    <t>INJ SIC 5X20MG+SOLV</t>
  </si>
  <si>
    <t>183318</t>
  </si>
  <si>
    <t>83318</t>
  </si>
  <si>
    <t>DIGOXIN 0.125 LECIVA</t>
  </si>
  <si>
    <t>TBL 30X0.125MG</t>
  </si>
  <si>
    <t>188217</t>
  </si>
  <si>
    <t>88217</t>
  </si>
  <si>
    <t>TBL 30X1.5MG</t>
  </si>
  <si>
    <t>193105</t>
  </si>
  <si>
    <t>93105</t>
  </si>
  <si>
    <t>INJ 50X2ML/10MG</t>
  </si>
  <si>
    <t>199333</t>
  </si>
  <si>
    <t>99333</t>
  </si>
  <si>
    <t>FUROSEMID BIOTIKA FORTE</t>
  </si>
  <si>
    <t>INJ 10X10ML/125MG</t>
  </si>
  <si>
    <t>395210</t>
  </si>
  <si>
    <t>Aqua Touch Jelly 25x6ml</t>
  </si>
  <si>
    <t>395294</t>
  </si>
  <si>
    <t>180306</t>
  </si>
  <si>
    <t>TANTUM VERDE</t>
  </si>
  <si>
    <t>LIQ 1X240ML-PET TR</t>
  </si>
  <si>
    <t>843905</t>
  </si>
  <si>
    <t>103391</t>
  </si>
  <si>
    <t>MUCOSOLVAN</t>
  </si>
  <si>
    <t>POR GTT SOL+INH SOL 60ML</t>
  </si>
  <si>
    <t>844651</t>
  </si>
  <si>
    <t>101205</t>
  </si>
  <si>
    <t>PRESTARIUM NEO</t>
  </si>
  <si>
    <t>POR TBL FLM 30X5MG</t>
  </si>
  <si>
    <t>844831</t>
  </si>
  <si>
    <t>DIGOXIN ORION INJ</t>
  </si>
  <si>
    <t>INJ SOL 25X1ML/0.25MG</t>
  </si>
  <si>
    <t>846758</t>
  </si>
  <si>
    <t>103387</t>
  </si>
  <si>
    <t>ACC INJEKT</t>
  </si>
  <si>
    <t>INJ SOL 5X3ML/300MG</t>
  </si>
  <si>
    <t>848632</t>
  </si>
  <si>
    <t>125315</t>
  </si>
  <si>
    <t>INJ SOL 12X2ML/100MG</t>
  </si>
  <si>
    <t>987464</t>
  </si>
  <si>
    <t>Menalind Professional čistící pěna 400ml</t>
  </si>
  <si>
    <t>51384</t>
  </si>
  <si>
    <t>INF SOL 10X1000MLPLAH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</si>
  <si>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</si>
  <si>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</si>
  <si>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</si>
  <si>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</si>
  <si>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</si>
  <si>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</si>
  <si>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</si>
  <si>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</si>
  <si>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</si>
  <si>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</si>
  <si>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104304</t>
  </si>
  <si>
    <t>4304</t>
  </si>
  <si>
    <t>SULFASALAZIN K-EN</t>
  </si>
  <si>
    <t>111337</t>
  </si>
  <si>
    <t>11337</t>
  </si>
  <si>
    <t>GERATAM 3G</t>
  </si>
  <si>
    <t>INJ 4X15ML/3GM</t>
  </si>
  <si>
    <t>157364</t>
  </si>
  <si>
    <t>57364</t>
  </si>
  <si>
    <t>AGGRENOX</t>
  </si>
  <si>
    <t>CPS RET 60</t>
  </si>
  <si>
    <t>172564</t>
  </si>
  <si>
    <t>72564</t>
  </si>
  <si>
    <t>SEROPRAM</t>
  </si>
  <si>
    <t>INF 5X0.5ML/20MG</t>
  </si>
  <si>
    <t>185733</t>
  </si>
  <si>
    <t>85733</t>
  </si>
  <si>
    <t>ISOKET LOSUNG 0.1% PRO INFUS.</t>
  </si>
  <si>
    <t>INJ PRO INF 10X10ML</t>
  </si>
  <si>
    <t>194920</t>
  </si>
  <si>
    <t>94920</t>
  </si>
  <si>
    <t>AMBROBENE 7.5MG/ML</t>
  </si>
  <si>
    <t>110555</t>
  </si>
  <si>
    <t>10555</t>
  </si>
  <si>
    <t>INJ SOL 20X100ML-PE</t>
  </si>
  <si>
    <t>112319</t>
  </si>
  <si>
    <t>12319</t>
  </si>
  <si>
    <t>TRANSMETIL 500MG INJEKCE</t>
  </si>
  <si>
    <t>INJ SIC 5X500MG+5ML</t>
  </si>
  <si>
    <t>162597</t>
  </si>
  <si>
    <t>62597</t>
  </si>
  <si>
    <t>ENAP I.V.</t>
  </si>
  <si>
    <t>INJ 5X1ML/1.25MG</t>
  </si>
  <si>
    <t>177200</t>
  </si>
  <si>
    <t>SUXAMETHONIUM JODID VUAB 100 MG</t>
  </si>
  <si>
    <t>194852</t>
  </si>
  <si>
    <t>94852</t>
  </si>
  <si>
    <t>SOLUVIT N PRO INFUS.</t>
  </si>
  <si>
    <t>INJ SIC 10</t>
  </si>
  <si>
    <t>194916</t>
  </si>
  <si>
    <t>94916</t>
  </si>
  <si>
    <t>INJ 5X2ML/15MG</t>
  </si>
  <si>
    <t>152334</t>
  </si>
  <si>
    <t>52334</t>
  </si>
  <si>
    <t>FORTECORTIN 4</t>
  </si>
  <si>
    <t>POR TBL NOB 20X4MG</t>
  </si>
  <si>
    <t>846609</t>
  </si>
  <si>
    <t>112584</t>
  </si>
  <si>
    <t>NEBIVOLOL SANDOZ 5 MG</t>
  </si>
  <si>
    <t>POR TBL NOB 14X5MG</t>
  </si>
  <si>
    <t>159392</t>
  </si>
  <si>
    <t>59392</t>
  </si>
  <si>
    <t>BROMHEXIN - EGIS</t>
  </si>
  <si>
    <t>SOL 1X60ML/120MG</t>
  </si>
  <si>
    <t>199466</t>
  </si>
  <si>
    <t>BURONIL 25 MG</t>
  </si>
  <si>
    <t>POR TBL OBD 50X25MG</t>
  </si>
  <si>
    <t>846537</t>
  </si>
  <si>
    <t>103395</t>
  </si>
  <si>
    <t>CARDURA XL 4 MG</t>
  </si>
  <si>
    <t>POR TBL RET 30X4MG PA</t>
  </si>
  <si>
    <t>849317</t>
  </si>
  <si>
    <t>109821</t>
  </si>
  <si>
    <t>UNITROPIC 1%</t>
  </si>
  <si>
    <t>OPH GTT SOL 1X10ML</t>
  </si>
  <si>
    <t>114329</t>
  </si>
  <si>
    <t>14329</t>
  </si>
  <si>
    <t>ALPHA D3 0.25 MCG</t>
  </si>
  <si>
    <t>POR CPSMOL30X0.25RG</t>
  </si>
  <si>
    <t>166791</t>
  </si>
  <si>
    <t>66791</t>
  </si>
  <si>
    <t>DITROPAN</t>
  </si>
  <si>
    <t>TBL 30X5MG</t>
  </si>
  <si>
    <t>121733</t>
  </si>
  <si>
    <t>21733</t>
  </si>
  <si>
    <t>VERAL 25 MG</t>
  </si>
  <si>
    <t>POR TBL ENT 30X25MG</t>
  </si>
  <si>
    <t>103761</t>
  </si>
  <si>
    <t>3761</t>
  </si>
  <si>
    <t>CHIROCAINE 5 MG/ML</t>
  </si>
  <si>
    <t>INJ CNC SOL 10X10ML</t>
  </si>
  <si>
    <t>196484</t>
  </si>
  <si>
    <t>96484</t>
  </si>
  <si>
    <t>SURGAM</t>
  </si>
  <si>
    <t>TBL 20X300MG</t>
  </si>
  <si>
    <t>911930</t>
  </si>
  <si>
    <t>KL KAL.PERMANGANAS 5 G</t>
  </si>
  <si>
    <t>849975</t>
  </si>
  <si>
    <t>136004</t>
  </si>
  <si>
    <t>TAFLOTAN 15 MIKROGRAMŮ/ML OČNÍ KAPKY, ROZTOK, JEDN</t>
  </si>
  <si>
    <t>OPH GTT SOL 30X0.3ML</t>
  </si>
  <si>
    <t>120461</t>
  </si>
  <si>
    <t>20461</t>
  </si>
  <si>
    <t>AMBROSAN KAPKY</t>
  </si>
  <si>
    <t>POR GTT SOL 1X100ML</t>
  </si>
  <si>
    <t>500472</t>
  </si>
  <si>
    <t>180169</t>
  </si>
  <si>
    <t>TANTUM VERDE MINT</t>
  </si>
  <si>
    <t>ORM PAS 20X3MG</t>
  </si>
  <si>
    <t>142150</t>
  </si>
  <si>
    <t>DONEPEZIL MYLAN 5 MG POTAHOVANÉ TABLETY</t>
  </si>
  <si>
    <t>POR TBL FLM 28X5MG</t>
  </si>
  <si>
    <t>164739</t>
  </si>
  <si>
    <t>64739</t>
  </si>
  <si>
    <t>TANTUM LEMON</t>
  </si>
  <si>
    <t>200863</t>
  </si>
  <si>
    <t>OPH GTT SOL 1X10ML PLAST</t>
  </si>
  <si>
    <t>989039</t>
  </si>
  <si>
    <t>Menalind Profess.čist.pěna 400ml+čist.těl.ml.500ml</t>
  </si>
  <si>
    <t>113767</t>
  </si>
  <si>
    <t>13767</t>
  </si>
  <si>
    <t>CORDARONE</t>
  </si>
  <si>
    <t>POR TBL NOB30X200MG</t>
  </si>
  <si>
    <t>132061</t>
  </si>
  <si>
    <t>32061</t>
  </si>
  <si>
    <t>FRAXIPARINE</t>
  </si>
  <si>
    <t>INJ SOL 10X0.6ML</t>
  </si>
  <si>
    <t>142547</t>
  </si>
  <si>
    <t>42547</t>
  </si>
  <si>
    <t>LACTULOSE AL SIRUP</t>
  </si>
  <si>
    <t>POR SIR 1X500ML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</si>
  <si>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</si>
  <si>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</si>
  <si>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</si>
  <si>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</si>
  <si>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</si>
  <si>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</si>
  <si>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</si>
  <si>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POR TBL FLM 28X20MG</t>
  </si>
  <si>
    <t>158380</t>
  </si>
  <si>
    <t>58380</t>
  </si>
  <si>
    <t>VENTOLIN ROZTOK K INHALACI</t>
  </si>
  <si>
    <t>INH SOL1X20ML/120MG</t>
  </si>
  <si>
    <t>166029</t>
  </si>
  <si>
    <t>66029</t>
  </si>
  <si>
    <t>ZODAC</t>
  </si>
  <si>
    <t>TBL OBD 10X10MG</t>
  </si>
  <si>
    <t>184398</t>
  </si>
  <si>
    <t>84398</t>
  </si>
  <si>
    <t>NEURONTIN 100MG</t>
  </si>
  <si>
    <t>CPS 100X100MG</t>
  </si>
  <si>
    <t>184400</t>
  </si>
  <si>
    <t>84400</t>
  </si>
  <si>
    <t>NEURONTIN 300 MG</t>
  </si>
  <si>
    <t>POR CPS DUR 100X300MG</t>
  </si>
  <si>
    <t>190957</t>
  </si>
  <si>
    <t>90957</t>
  </si>
  <si>
    <t>XANAX</t>
  </si>
  <si>
    <t>TBL 30X0.25MG</t>
  </si>
  <si>
    <t>848765</t>
  </si>
  <si>
    <t>107938</t>
  </si>
  <si>
    <t>INJ SOL 6X3ML/150MG</t>
  </si>
  <si>
    <t>849561</t>
  </si>
  <si>
    <t>125060</t>
  </si>
  <si>
    <t>APO-AMLO 5</t>
  </si>
  <si>
    <t>POR TBL NOB 30X5MG</t>
  </si>
  <si>
    <t>126786</t>
  </si>
  <si>
    <t>26786</t>
  </si>
  <si>
    <t>NOVORAPID 100 U/ML</t>
  </si>
  <si>
    <t>INJ SOL 1X10ML</t>
  </si>
  <si>
    <t>130160</t>
  </si>
  <si>
    <t>30160</t>
  </si>
  <si>
    <t>MIDAZOLAM TORREX 1MG/ML</t>
  </si>
  <si>
    <t>INJ 10X2ML/2MG</t>
  </si>
  <si>
    <t>132059</t>
  </si>
  <si>
    <t>32059</t>
  </si>
  <si>
    <t>INJ SOL 10X0.4ML</t>
  </si>
  <si>
    <t>845370</t>
  </si>
  <si>
    <t>105845</t>
  </si>
  <si>
    <t>MIRTAZAPIN ORION 15 MG</t>
  </si>
  <si>
    <t>POR TBL DIS 90X15MG</t>
  </si>
  <si>
    <t>849266</t>
  </si>
  <si>
    <t>162444</t>
  </si>
  <si>
    <t xml:space="preserve">SUFENTANIL TORREX 5 MCG/ML </t>
  </si>
  <si>
    <t>INJ SOL 5X2ML/10RG</t>
  </si>
  <si>
    <t>50113006</t>
  </si>
  <si>
    <t>103414</t>
  </si>
  <si>
    <t>3414</t>
  </si>
  <si>
    <t>NUTRIFLEX PERI</t>
  </si>
  <si>
    <t>INF 5X2000ML</t>
  </si>
  <si>
    <t>110996</t>
  </si>
  <si>
    <t>10996</t>
  </si>
  <si>
    <t>NUTRIFLEX PLUS</t>
  </si>
  <si>
    <t>149409</t>
  </si>
  <si>
    <t>49409</t>
  </si>
  <si>
    <t>AMINOPLASMAL B.BRAUN 5% E</t>
  </si>
  <si>
    <t>INF SOL 10X500ML</t>
  </si>
  <si>
    <t>116337</t>
  </si>
  <si>
    <t>16337</t>
  </si>
  <si>
    <t>LIPOPLUS 20%</t>
  </si>
  <si>
    <t>INFEML10X250ML-SKLO</t>
  </si>
  <si>
    <t>988740</t>
  </si>
  <si>
    <t>Nutrison Advanced Diason 1000ml</t>
  </si>
  <si>
    <t>133322</t>
  </si>
  <si>
    <t>33322</t>
  </si>
  <si>
    <t>NUTRIDRINK S ČOKOL. PŘÍCHUTÍ</t>
  </si>
  <si>
    <t>POR SOL 1X200ML</t>
  </si>
  <si>
    <t>847098</t>
  </si>
  <si>
    <t>33705</t>
  </si>
  <si>
    <t>NUTRIDRINK S PŘÍCH. VANILKOVOU 200ml</t>
  </si>
  <si>
    <t>96414</t>
  </si>
  <si>
    <t>GENTAMICIN LEK 80 MG/2 ML</t>
  </si>
  <si>
    <t>INJ SOL 10X2ML/80MG</t>
  </si>
  <si>
    <t>120605</t>
  </si>
  <si>
    <t>20605</t>
  </si>
  <si>
    <t>COLOMYCIN INJEKCE 1000000 IU</t>
  </si>
  <si>
    <t>INJ PLV SOL 10X1MU</t>
  </si>
  <si>
    <t>103952</t>
  </si>
  <si>
    <t>3952</t>
  </si>
  <si>
    <t>AMIKIN</t>
  </si>
  <si>
    <t>INJ 1X2ML/500MG</t>
  </si>
  <si>
    <t>162496</t>
  </si>
  <si>
    <t>TAZIP 4 G/0,5 G</t>
  </si>
  <si>
    <t>INJ+INF PLV SOL 10X4,5GM</t>
  </si>
  <si>
    <t>147727</t>
  </si>
  <si>
    <t>47727</t>
  </si>
  <si>
    <t>ZINNAT 500 MG</t>
  </si>
  <si>
    <t>156801</t>
  </si>
  <si>
    <t>56801</t>
  </si>
  <si>
    <t>KLACID I.V.</t>
  </si>
  <si>
    <t>PLV INF 1X500MG</t>
  </si>
  <si>
    <t>176360</t>
  </si>
  <si>
    <t>76360</t>
  </si>
  <si>
    <t>ZINACEF AD INJ.</t>
  </si>
  <si>
    <t>INJ SIC 1X1.5GM</t>
  </si>
  <si>
    <t>166137</t>
  </si>
  <si>
    <t>66137</t>
  </si>
  <si>
    <t>OFLOXIN INF</t>
  </si>
  <si>
    <t>INF 1X100ML/200MG</t>
  </si>
  <si>
    <t>126127</t>
  </si>
  <si>
    <t>26127</t>
  </si>
  <si>
    <t>TYGACIL 50 MG</t>
  </si>
  <si>
    <t>INF PLV SOL 10X50MG/5ML</t>
  </si>
  <si>
    <t>129767</t>
  </si>
  <si>
    <t>IMIPENEM/CILASTATIN KABI 500 MG/500 MG</t>
  </si>
  <si>
    <t>INF PLV SOL 10LAH/20ML</t>
  </si>
  <si>
    <t>117170</t>
  </si>
  <si>
    <t>17170</t>
  </si>
  <si>
    <t>BELOGENT KRÉM</t>
  </si>
  <si>
    <t>CRM 1X30GM</t>
  </si>
  <si>
    <t>141515</t>
  </si>
  <si>
    <t>41515</t>
  </si>
  <si>
    <t>PIMAFUCORT</t>
  </si>
  <si>
    <t>CRM 1X15GM</t>
  </si>
  <si>
    <t>165989</t>
  </si>
  <si>
    <t>65989</t>
  </si>
  <si>
    <t>MYCOMAX « INF. INFUZ</t>
  </si>
  <si>
    <t>166036</t>
  </si>
  <si>
    <t>66036</t>
  </si>
  <si>
    <t>MYCOMAX 100</t>
  </si>
  <si>
    <t>CPS 28X100MG</t>
  </si>
  <si>
    <t>6480</t>
  </si>
  <si>
    <t>Ocplex 20ml 500 I.U. Phoenix</t>
  </si>
  <si>
    <t>Traumatologické oddělení, lůžkové oddělení 27</t>
  </si>
  <si>
    <t>Traumatologické oddělení, ambulance</t>
  </si>
  <si>
    <t>Traumatologické oddělení, JIP 27</t>
  </si>
  <si>
    <t>Lékárna - léčiva</t>
  </si>
  <si>
    <t>Lékárna - antibiotika</t>
  </si>
  <si>
    <t>Lékárna - antimykotika</t>
  </si>
  <si>
    <t>393 TO krevní deriváty IVLP (112 01 003)</t>
  </si>
  <si>
    <t>Lékárna - enterární výživa</t>
  </si>
  <si>
    <t>3131 - Traumatologické oddělení, JIP 27</t>
  </si>
  <si>
    <t>3111 - Traumatologické oddělení, lůžkové oddělení 27</t>
  </si>
  <si>
    <t>N06DA02 - Donepezil</t>
  </si>
  <si>
    <t>V06XX - Potraviny pro zvláštní lékařské účely (PZLÚ)</t>
  </si>
  <si>
    <t>M01AX17 - Nimesulid</t>
  </si>
  <si>
    <t>J01MA01 - Ofloxacin</t>
  </si>
  <si>
    <t>A02BC03 - Lansoprazol</t>
  </si>
  <si>
    <t>A02BC02 - Pantoprazol</t>
  </si>
  <si>
    <t>N05BA12 - Alprazolam</t>
  </si>
  <si>
    <t>A06AD11 - Laktulóza</t>
  </si>
  <si>
    <t>J01FA09 - Klarithromycin</t>
  </si>
  <si>
    <t>A10AB05 - Inzulin aspart</t>
  </si>
  <si>
    <t>J01XA01 - Vankomycin</t>
  </si>
  <si>
    <t>B01AA03 - Warfarin</t>
  </si>
  <si>
    <t>N02AX02 - Tramadol</t>
  </si>
  <si>
    <t>B01AB06 - Nadroparin</t>
  </si>
  <si>
    <t>N06AB04 - Citalopram</t>
  </si>
  <si>
    <t>C01BD01 - Amiodaron</t>
  </si>
  <si>
    <t>R03AC02 - Salbutamol</t>
  </si>
  <si>
    <t>C07AB05 - Betaxolol</t>
  </si>
  <si>
    <t>J01DH51 - Imipenem a enzymový inhibitor</t>
  </si>
  <si>
    <t>C08CA01 - Amlodipin</t>
  </si>
  <si>
    <t>J01FF01 - Klindamycin</t>
  </si>
  <si>
    <t>C09BA06 - Chinapril a diuretika</t>
  </si>
  <si>
    <t>J01MA02 - Ciprofloxacin</t>
  </si>
  <si>
    <t>C09CA01 - Losartan</t>
  </si>
  <si>
    <t>J02AC01 - Flukonazol</t>
  </si>
  <si>
    <t>C10AA05 - Atorvastatin</t>
  </si>
  <si>
    <t>N01AH03 - Sufentanyl</t>
  </si>
  <si>
    <t>G04CB01 - Finasterid</t>
  </si>
  <si>
    <t>N03AX12 - Gabapentin</t>
  </si>
  <si>
    <t>H02AB04 - Methylprednisolon</t>
  </si>
  <si>
    <t>N05CD08 - Midazolam</t>
  </si>
  <si>
    <t>J01AA12 - Tigecyklin</t>
  </si>
  <si>
    <t>N06AX11 - Mirtazapin</t>
  </si>
  <si>
    <t>J01CR01 - Ampicilin a enzymový inhibitor</t>
  </si>
  <si>
    <t>N07CA01 - Betahistin</t>
  </si>
  <si>
    <t>J01CR02 - Amoxicilin a enzymový inhibitor</t>
  </si>
  <si>
    <t>R06AE07 - Cetirizin</t>
  </si>
  <si>
    <t>J01DB04 - Cefazolin</t>
  </si>
  <si>
    <t>A02BA03 - Famotidin</t>
  </si>
  <si>
    <t>J01DC02 - Cefuroxim</t>
  </si>
  <si>
    <t>A02BC02</t>
  </si>
  <si>
    <t>A02BC03</t>
  </si>
  <si>
    <t>LANZUL 30 MG</t>
  </si>
  <si>
    <t>POR CPS DUR 28X30MG</t>
  </si>
  <si>
    <t>B01AA03</t>
  </si>
  <si>
    <t>WARFARIN ORION 3 MG</t>
  </si>
  <si>
    <t>POR TBL NOB 100X3MG</t>
  </si>
  <si>
    <t>B01AB06</t>
  </si>
  <si>
    <t>INJ SOL 10X5ML/47.5KU</t>
  </si>
  <si>
    <t>C09BA06</t>
  </si>
  <si>
    <t>ACCUZIDE 10</t>
  </si>
  <si>
    <t>C09CA01</t>
  </si>
  <si>
    <t>C10AA05</t>
  </si>
  <si>
    <t>SORTIS 20 MG</t>
  </si>
  <si>
    <t>G04CB01</t>
  </si>
  <si>
    <t>H02AB04</t>
  </si>
  <si>
    <t>SOLU-MEDROL 62,5 MG/ML</t>
  </si>
  <si>
    <t>INJ PSO LQF 125MG+2ML</t>
  </si>
  <si>
    <t>J01CR01</t>
  </si>
  <si>
    <t>J01CR02</t>
  </si>
  <si>
    <t>AMOKSIKLAV 1 G</t>
  </si>
  <si>
    <t>POR TBL FLM 14X1GM</t>
  </si>
  <si>
    <t>AMOKSIKLAV 1,2 G</t>
  </si>
  <si>
    <t>INJ PLV SOL 5X1.2GM</t>
  </si>
  <si>
    <t>AMOKSIKLAV 625 MG</t>
  </si>
  <si>
    <t>POR TBL FLM 21X625MG</t>
  </si>
  <si>
    <t>J01DB04</t>
  </si>
  <si>
    <t>INJ PLV SOL 10X1GM</t>
  </si>
  <si>
    <t>J01FF01</t>
  </si>
  <si>
    <t>DALACIN C</t>
  </si>
  <si>
    <t>INJ SOL 1X4ML/600MG</t>
  </si>
  <si>
    <t>J01MA02</t>
  </si>
  <si>
    <t>POR TBL FLM 10X500MG</t>
  </si>
  <si>
    <t>J01XA01</t>
  </si>
  <si>
    <t>EDICIN 1 G</t>
  </si>
  <si>
    <t>INJ PLV SOL 1X1GM</t>
  </si>
  <si>
    <t>M01AX17</t>
  </si>
  <si>
    <t>POR TBL NOB 15X100MG</t>
  </si>
  <si>
    <t>POR TBL NOB 30X100MG</t>
  </si>
  <si>
    <t>N02AX02</t>
  </si>
  <si>
    <t>POR TBL PRO 10X100MG</t>
  </si>
  <si>
    <t>N06AB04</t>
  </si>
  <si>
    <t>POR TBL FLM 30X10 MG</t>
  </si>
  <si>
    <t>N07CA01</t>
  </si>
  <si>
    <t>A02BA03</t>
  </si>
  <si>
    <t>POR TBL ENT 28X40MG I</t>
  </si>
  <si>
    <t>A06AD11</t>
  </si>
  <si>
    <t>A10AB05</t>
  </si>
  <si>
    <t>C01BD01</t>
  </si>
  <si>
    <t>POR TBL NOB 30X200MG</t>
  </si>
  <si>
    <t>C07AB05</t>
  </si>
  <si>
    <t>C08CA01</t>
  </si>
  <si>
    <t>J01AA12</t>
  </si>
  <si>
    <t>J01DC02</t>
  </si>
  <si>
    <t>ZINACEF 1,5 G</t>
  </si>
  <si>
    <t>J01DH51</t>
  </si>
  <si>
    <t>J01FA09</t>
  </si>
  <si>
    <t>INF PLV SOL 1X500MG</t>
  </si>
  <si>
    <t>J01MA01</t>
  </si>
  <si>
    <t>INF SOL 1X100ML/200MG</t>
  </si>
  <si>
    <t>J02AC01</t>
  </si>
  <si>
    <t>MYCOMAX INF</t>
  </si>
  <si>
    <t>INF SOL 100ML/200MG</t>
  </si>
  <si>
    <t>POR CPS DUR 28X100MG</t>
  </si>
  <si>
    <t>N01AH03</t>
  </si>
  <si>
    <t>SUFENTANIL TORREX 5 MCG/ML</t>
  </si>
  <si>
    <t>N03AX12</t>
  </si>
  <si>
    <t>NEURONTIN 100 MG</t>
  </si>
  <si>
    <t>POR CPS DUR 100X100MG</t>
  </si>
  <si>
    <t>N05BA12</t>
  </si>
  <si>
    <t>XANAX 0,25 MG</t>
  </si>
  <si>
    <t>POR TBL NOB 30X0.25MG</t>
  </si>
  <si>
    <t>N05CD08</t>
  </si>
  <si>
    <t>MIDAZOLAM TORREX 1 MG/ML</t>
  </si>
  <si>
    <t>INJ SOL 10X2ML/2MG</t>
  </si>
  <si>
    <t>N06AX11</t>
  </si>
  <si>
    <t>N06DA02</t>
  </si>
  <si>
    <t>R03AC02</t>
  </si>
  <si>
    <t>R06AE07</t>
  </si>
  <si>
    <t>V06XX</t>
  </si>
  <si>
    <t>NUTRIDRINK S PŘÍCHUTÍ ČOKOLÁDOVOU</t>
  </si>
  <si>
    <t>NUTRIDRINK S PŘÍCHUTÍ VANILKOVOU</t>
  </si>
  <si>
    <t>Přehled plnění pozitivního listu - spotřeba léčivých přípravků - orientační přehled</t>
  </si>
  <si>
    <t>HVLP</t>
  </si>
  <si>
    <t>IPLP</t>
  </si>
  <si>
    <t>PZT</t>
  </si>
  <si>
    <t>89301311</t>
  </si>
  <si>
    <t>Standardní lůžková péče Celkem</t>
  </si>
  <si>
    <t>89301312</t>
  </si>
  <si>
    <t>Všeobecná ambulance Celkem</t>
  </si>
  <si>
    <t>89301313</t>
  </si>
  <si>
    <t>Lůžkové oddělení intenzivní péče Celkem</t>
  </si>
  <si>
    <t>Bébarová Linda</t>
  </si>
  <si>
    <t>Čižmář Igor</t>
  </si>
  <si>
    <t>Čurlejová Eva</t>
  </si>
  <si>
    <t>Dospěl Ivo</t>
  </si>
  <si>
    <t>Dráč Pavel</t>
  </si>
  <si>
    <t>Freiwald Jaromír</t>
  </si>
  <si>
    <t>Homza Miroslav</t>
  </si>
  <si>
    <t>Knápek Michal</t>
  </si>
  <si>
    <t>Korpa Pavel</t>
  </si>
  <si>
    <t>Kovařík Jan</t>
  </si>
  <si>
    <t>Mysliveček Igor</t>
  </si>
  <si>
    <t>Palčák Ján</t>
  </si>
  <si>
    <t>Sedlák Pavel</t>
  </si>
  <si>
    <t>Skoumal Pavel</t>
  </si>
  <si>
    <t>Špiroch Petr</t>
  </si>
  <si>
    <t>Vinter Radim</t>
  </si>
  <si>
    <t>Zborovjan Peter</t>
  </si>
  <si>
    <t>Nadroparin</t>
  </si>
  <si>
    <t>Sultamicilin</t>
  </si>
  <si>
    <t>POR TBL FLM 12X375MG</t>
  </si>
  <si>
    <t>Ambroxol</t>
  </si>
  <si>
    <t>AMBROBENE 30 MG</t>
  </si>
  <si>
    <t>POR TBL NOB 20X30MG</t>
  </si>
  <si>
    <t>Amoxicilin a enzymový inhibitor</t>
  </si>
  <si>
    <t>Bromazepam</t>
  </si>
  <si>
    <t>LEXAURIN 1,5</t>
  </si>
  <si>
    <t>POR TBL NOB 30X1.5MG</t>
  </si>
  <si>
    <t>Cefuroxim</t>
  </si>
  <si>
    <t>47728</t>
  </si>
  <si>
    <t>POR TBL FLM 14X500MG</t>
  </si>
  <si>
    <t>Ciprofloxacin</t>
  </si>
  <si>
    <t>15658</t>
  </si>
  <si>
    <t>CIPLOX 500</t>
  </si>
  <si>
    <t>15659</t>
  </si>
  <si>
    <t>POR TBL FLM 50X500MG</t>
  </si>
  <si>
    <t>Diklofenak</t>
  </si>
  <si>
    <t>119672</t>
  </si>
  <si>
    <t>DICLOFENAC DUO PHARMASWISS 75 MG</t>
  </si>
  <si>
    <t>POR CPS RDR 30X75MG</t>
  </si>
  <si>
    <t>Chlorid draselný</t>
  </si>
  <si>
    <t>17188</t>
  </si>
  <si>
    <t>Jiná</t>
  </si>
  <si>
    <t>999999</t>
  </si>
  <si>
    <t>Jiný</t>
  </si>
  <si>
    <t>Jiná antibiotika pro lokální aplikaci</t>
  </si>
  <si>
    <t>1066</t>
  </si>
  <si>
    <t>FRAMYKOIN</t>
  </si>
  <si>
    <t>DRM UNG 1X10GM</t>
  </si>
  <si>
    <t>Klindamycin</t>
  </si>
  <si>
    <t>32060</t>
  </si>
  <si>
    <t>INJ SOL 2X0.6ML</t>
  </si>
  <si>
    <t>59810</t>
  </si>
  <si>
    <t>FRAXIPARINE FORTE</t>
  </si>
  <si>
    <t>INJ SOL 10X1ML</t>
  </si>
  <si>
    <t>Nimesulid</t>
  </si>
  <si>
    <t>12894</t>
  </si>
  <si>
    <t>POR GRA SUS 15SÁČ I</t>
  </si>
  <si>
    <t>Paracetamol</t>
  </si>
  <si>
    <t>59092</t>
  </si>
  <si>
    <t>POR TBL NOB 20X500MG</t>
  </si>
  <si>
    <t>Pentoxifylin</t>
  </si>
  <si>
    <t>53479</t>
  </si>
  <si>
    <t>TRENTAL 400</t>
  </si>
  <si>
    <t>POR TBL RET 20X400MG</t>
  </si>
  <si>
    <t>Piracetam</t>
  </si>
  <si>
    <t>11240</t>
  </si>
  <si>
    <t>GERATAM 1200 MG</t>
  </si>
  <si>
    <t>POR TBL FLM 20X1200MG</t>
  </si>
  <si>
    <t>Různé jiné kombinace železa</t>
  </si>
  <si>
    <t>97402</t>
  </si>
  <si>
    <t>POR TBL FLM 50X100MG</t>
  </si>
  <si>
    <t>Sodná sůl metamizolu</t>
  </si>
  <si>
    <t>NOVALGIN TABLETY</t>
  </si>
  <si>
    <t>POR TBL FLM 20X500MG</t>
  </si>
  <si>
    <t>Sulfamethoxazol a trimethoprim</t>
  </si>
  <si>
    <t>3377</t>
  </si>
  <si>
    <t>BISEPTOL 480</t>
  </si>
  <si>
    <t>POR TBL NOB 20X480MG</t>
  </si>
  <si>
    <t>Tramadol</t>
  </si>
  <si>
    <t>12687</t>
  </si>
  <si>
    <t>TRAMAL RETARD TABLETY 100 MG</t>
  </si>
  <si>
    <t>POR TBL PRO 30X100MG</t>
  </si>
  <si>
    <t>59672</t>
  </si>
  <si>
    <t>Kompresivní punčochy a návleky</t>
  </si>
  <si>
    <t>45387</t>
  </si>
  <si>
    <t>PUNČOCHY KOMPRESNÍ LÝTKOVÉ               II.K.T.</t>
  </si>
  <si>
    <t>MAXIS COMFORT  A-D</t>
  </si>
  <si>
    <t>PUNČOCHY KOMPRESNÍ LÝTKOVÉ II.K.T.</t>
  </si>
  <si>
    <t>MAXIS COMFORT A-D</t>
  </si>
  <si>
    <t>45389</t>
  </si>
  <si>
    <t>PUNČOCHY KOMPRESNÍ STEHENNÍ II.K.T.</t>
  </si>
  <si>
    <t>MAXIS COMFORT A-G</t>
  </si>
  <si>
    <t>Obvazový materiál</t>
  </si>
  <si>
    <t>882</t>
  </si>
  <si>
    <t>OBINADLO ELASTICKÉ IDEAL</t>
  </si>
  <si>
    <t>12CMX5M,PÁSKOVANÁ DO SUPERIORU,1KS</t>
  </si>
  <si>
    <t>Pomůcky  kompenzační pro tělesně postižené</t>
  </si>
  <si>
    <t>11974</t>
  </si>
  <si>
    <t>BERLE FRANCOUZSKÁ PŘEDLOKETNí SPECIÁLNÍ 222 KL-SC</t>
  </si>
  <si>
    <t>VYMĚKČENÉ DRŽADLO,BAREVNÁ,NASTAVITELNÁ 76-96CM, DO 130KG</t>
  </si>
  <si>
    <t>140360</t>
  </si>
  <si>
    <t>BERLE PODPAŽNÍ DURALOVÁ DPB 10</t>
  </si>
  <si>
    <t>VELIKOST STŘEDNÍ,DLOUHÁ A DĚTSKÁ,130 KG VYMĚKČENÁ RUKOJEŤ A PODPAŽNÍ NÁVLEK</t>
  </si>
  <si>
    <t>Pomůcky ortopedickoprotetické</t>
  </si>
  <si>
    <t>11487</t>
  </si>
  <si>
    <t>ORTÉZA KOLENNÍHO KLOUBU OR32</t>
  </si>
  <si>
    <t>LIMITOVANÝ ROZSAH POHYBU, PEVNÝ RÁM</t>
  </si>
  <si>
    <t>11647</t>
  </si>
  <si>
    <t>LÍMEC KRČNÍ PAN 1.01</t>
  </si>
  <si>
    <t>ANATOMICKY TVAROVANÝ,VELIKOSTI S,M,L,XL,XXL,NÍZKÝ 8CM,VYSOKÝ 10CM</t>
  </si>
  <si>
    <t>11649</t>
  </si>
  <si>
    <t>ORTÉZA RAMENNÍHO KLOUBU UNIFIX PAN 2.02</t>
  </si>
  <si>
    <t>UNIVERZÁLNÍ PRO PRAVÉ A LEVÉ RAMENO,VELIKOSTI S,M,L</t>
  </si>
  <si>
    <t>23581</t>
  </si>
  <si>
    <t>ORTÉZA HLEZENNÉHO KLOUBU LÉČEBNÁ S DLAHAMI-III.</t>
  </si>
  <si>
    <t>S,M,L,XL OR 6C</t>
  </si>
  <si>
    <t>DLAHA FIXAČNÍ LOKETNÍHO KLOUBU</t>
  </si>
  <si>
    <t>S VYMEZENÝM ROZSAHEM POHYBU</t>
  </si>
  <si>
    <t>62919</t>
  </si>
  <si>
    <t>ORTÉZA KOLENNÍ FIXAČNÍ S FLEXÍ 20.,PANOPFLEX PAN 7</t>
  </si>
  <si>
    <t>ZADNÍ ANATOMICKY TVAROVANÁ DLAHA A DVĚ BOČNÍ DLAHY VE 20.,VEL.XS,S,M,L,XL</t>
  </si>
  <si>
    <t>63749</t>
  </si>
  <si>
    <t>ZÁVĚS RAMENNÍ</t>
  </si>
  <si>
    <t>93530</t>
  </si>
  <si>
    <t>ORTÉZA ZÁDOVÁ LOMBAX DORSO 0845</t>
  </si>
  <si>
    <t>VYSOKÁ ZÁDOVÁ ORTÉZA (ROZSAH TH-LS),KOVOVÉ DLAHY A DOPÍNACÍ TAHY</t>
  </si>
  <si>
    <t>Doxycyklin</t>
  </si>
  <si>
    <t>POR TBL NOB 10X200MG</t>
  </si>
  <si>
    <t>Jiná kapiláry stabilizující látky</t>
  </si>
  <si>
    <t>202700</t>
  </si>
  <si>
    <t>POR TBL ENT 60X20MG</t>
  </si>
  <si>
    <t>32063</t>
  </si>
  <si>
    <t>INJ SOL 10X0.8ML</t>
  </si>
  <si>
    <t>Další osteosyntetický materiál</t>
  </si>
  <si>
    <t>72769</t>
  </si>
  <si>
    <t>3-D DLAHA FIXAČNÍ, VELIKOST XS, TITAN</t>
  </si>
  <si>
    <t>57-05192,1,0,5,7</t>
  </si>
  <si>
    <t>PUNČOCHY KOMPRESNÍ STEHENNÍ              II.K.T.</t>
  </si>
  <si>
    <t>MAXIS COMFORT  A-G</t>
  </si>
  <si>
    <t>883</t>
  </si>
  <si>
    <t>14CM5M,PÁSKOVANÁ DO SUPERIORU DÉLKA,1KS</t>
  </si>
  <si>
    <t>23883</t>
  </si>
  <si>
    <t>NÁSTAVEC NA WC PLASTOVÝ 508 A</t>
  </si>
  <si>
    <t>VÝŠKA 15CM</t>
  </si>
  <si>
    <t>93893</t>
  </si>
  <si>
    <t>CHODTÍKO ČTYŘKOLKA QUATRO MARATHON</t>
  </si>
  <si>
    <t>VÝŠKOVĚ STAVITELNÉ, SEDÁTKO, VČ. DOPLŇKŮ - KOŠÍK,  PODNOS, NOSNOST 130KG</t>
  </si>
  <si>
    <t>63742</t>
  </si>
  <si>
    <t>ORTÉZA LOKETNÍ</t>
  </si>
  <si>
    <t>NASTAVITELNÝ ROZSAH POHYBU 0. - 120.</t>
  </si>
  <si>
    <t>93224</t>
  </si>
  <si>
    <t>ORTÉZA ZÁPĚSTÍ A PALCE RUKY PAN 5.05</t>
  </si>
  <si>
    <t>PRAVÁ, LEVÁ, VEL. S,M,L,XL</t>
  </si>
  <si>
    <t>192247</t>
  </si>
  <si>
    <t>AMBROBENE 75 MG</t>
  </si>
  <si>
    <t>POR CPS PRO 20X75MG</t>
  </si>
  <si>
    <t>POR TBL ENT 30X20MG</t>
  </si>
  <si>
    <t>59673</t>
  </si>
  <si>
    <t>POR TBL PRO 50X100MG</t>
  </si>
  <si>
    <t>Metronidazol</t>
  </si>
  <si>
    <t>POR TBL NOB 20X250MG</t>
  </si>
  <si>
    <t>Tramadol, kombinace</t>
  </si>
  <si>
    <t>138839</t>
  </si>
  <si>
    <t>DORETA 37,5 MG/325 MG</t>
  </si>
  <si>
    <t>POR TBL FLM 10</t>
  </si>
  <si>
    <t>93897</t>
  </si>
  <si>
    <t>LÍMEC KRČNÍ TYP PHILADELPHIA PAN 1.02</t>
  </si>
  <si>
    <t>DVOUDÍLNÝ, STAVITELNÝ</t>
  </si>
  <si>
    <t>111934</t>
  </si>
  <si>
    <t>Losartan</t>
  </si>
  <si>
    <t>10604</t>
  </si>
  <si>
    <t>LORISTA 50</t>
  </si>
  <si>
    <t>POR TBL FLM 28X50MG</t>
  </si>
  <si>
    <t>Omeprazol</t>
  </si>
  <si>
    <t>122112</t>
  </si>
  <si>
    <t>APO-OME 20</t>
  </si>
  <si>
    <t>119653</t>
  </si>
  <si>
    <t>POR TBL FLM 60X100MG</t>
  </si>
  <si>
    <t>Theofylin</t>
  </si>
  <si>
    <t>44304</t>
  </si>
  <si>
    <t>EUPHYLLIN CR N 200</t>
  </si>
  <si>
    <t>POR CPS PRO 20X200MG</t>
  </si>
  <si>
    <t>Warfarin</t>
  </si>
  <si>
    <t>94114</t>
  </si>
  <si>
    <t>WARFARIN ORION 5 MG</t>
  </si>
  <si>
    <t>POR TBL NOB 100X5MG</t>
  </si>
  <si>
    <t>11657</t>
  </si>
  <si>
    <t>ORTÉZA LOKTE S LIMITACÍ PAN 4.02</t>
  </si>
  <si>
    <t>FLEXE A EXTENZE PO 10 ST. VELIKOST S,M,L, UNIV. PRO PRAVOU A LEVOU RUKU</t>
  </si>
  <si>
    <t>11660</t>
  </si>
  <si>
    <t>ORTÉZA ZÁPĚSTÍ DLOUHÁ PAN 5.02</t>
  </si>
  <si>
    <t>S DLAHOU, VELIKOST M,L,XL, PRAVÁ-LEVÁ</t>
  </si>
  <si>
    <t>3837</t>
  </si>
  <si>
    <t>POR TBL NOB 10X500MG</t>
  </si>
  <si>
    <t>200529</t>
  </si>
  <si>
    <t>AUGMENTIN 1 G</t>
  </si>
  <si>
    <t>POR TBL FLM 20X1GM</t>
  </si>
  <si>
    <t>Famotidin</t>
  </si>
  <si>
    <t>59595</t>
  </si>
  <si>
    <t>FAMOSAN 20 MG</t>
  </si>
  <si>
    <t>POR TBL FLM 50X20MG</t>
  </si>
  <si>
    <t>Flukonazol</t>
  </si>
  <si>
    <t>66035</t>
  </si>
  <si>
    <t>POR CPS DUR 70X100MG</t>
  </si>
  <si>
    <t>155872</t>
  </si>
  <si>
    <t>32086</t>
  </si>
  <si>
    <t>TRALGIT</t>
  </si>
  <si>
    <t>POR CPS DUR 20X50MG</t>
  </si>
  <si>
    <t>4306</t>
  </si>
  <si>
    <t>TRAMAL TOBOLKY 50 MG</t>
  </si>
  <si>
    <t>POR CPS DUR 20X50MG I</t>
  </si>
  <si>
    <t>Vitamin B1 v kombinaci s vitaminem B6 a/nebo B12</t>
  </si>
  <si>
    <t>42475</t>
  </si>
  <si>
    <t>MILGAMMA</t>
  </si>
  <si>
    <t>POR TBL OBD 20</t>
  </si>
  <si>
    <t>93834</t>
  </si>
  <si>
    <t>ORTÉZA ZÁPĚSTÍ EXOFORM</t>
  </si>
  <si>
    <t>S TVAROVATELNOU PALMÁRNÍ DLAHOU</t>
  </si>
  <si>
    <t>25364</t>
  </si>
  <si>
    <t>POR CPS ETD 14X20MG SKLO</t>
  </si>
  <si>
    <t>Rutosid, kombinace</t>
  </si>
  <si>
    <t>98194</t>
  </si>
  <si>
    <t>CYCLO 3 FORT</t>
  </si>
  <si>
    <t>POR CPS DUR 30</t>
  </si>
  <si>
    <t>78943</t>
  </si>
  <si>
    <t>BANDÁŽ EPIKONDYLÁRNÍ EPICOMED</t>
  </si>
  <si>
    <t>140727</t>
  </si>
  <si>
    <t>ORTÉZA RUKY KOREKČNÍ MEZIPRSTOVÁ</t>
  </si>
  <si>
    <t>PROVEDENÍ PRO PRAVOU A LEVOU RUKU, VELIKOST 1-3</t>
  </si>
  <si>
    <t>140725</t>
  </si>
  <si>
    <t>ORTÉZA PALCOVÁ S PRUŽNÝM TAHEM</t>
  </si>
  <si>
    <t>Pomůcky ortopedickoprotetické  individuálně zhotovované</t>
  </si>
  <si>
    <t>954</t>
  </si>
  <si>
    <t>ORTÉZA KONČETINOVÁ-STANDARDNÍ</t>
  </si>
  <si>
    <t>S KONSTRUK.ZÁKL.Z PEV.MAT.(PE,LAMINÁT,KOV) ZHOTOV.NA PODKL.SEJMUTÍ MĚR.PODKLADŮ</t>
  </si>
  <si>
    <t>86148</t>
  </si>
  <si>
    <t>AUGMENTIN 625 MG</t>
  </si>
  <si>
    <t>POR TBL FLM 21X625MG+SÁČ</t>
  </si>
  <si>
    <t>83459</t>
  </si>
  <si>
    <t>132671</t>
  </si>
  <si>
    <t>Bisoprolol</t>
  </si>
  <si>
    <t>47741</t>
  </si>
  <si>
    <t>RIVOCOR 10</t>
  </si>
  <si>
    <t>POR TBL FLM 30X10MG</t>
  </si>
  <si>
    <t>58142</t>
  </si>
  <si>
    <t>DICLOFENAC AL 50</t>
  </si>
  <si>
    <t>Felodipin</t>
  </si>
  <si>
    <t>94167</t>
  </si>
  <si>
    <t>PLENDIL ER 10 MG</t>
  </si>
  <si>
    <t>POR TBL PRO 30X10MG</t>
  </si>
  <si>
    <t>Hořčík (různé sole v kombinaci)</t>
  </si>
  <si>
    <t>POR GRA SOL 30</t>
  </si>
  <si>
    <t>Hydrogenované námelové alkaloidy</t>
  </si>
  <si>
    <t>SECATOXIN FORTE</t>
  </si>
  <si>
    <t>POR GTT SOL 1X25ML</t>
  </si>
  <si>
    <t>Hydrochlorothiazid a kalium šetřící diuretika</t>
  </si>
  <si>
    <t>47477</t>
  </si>
  <si>
    <t>LORADUR MITE</t>
  </si>
  <si>
    <t>47478</t>
  </si>
  <si>
    <t>POR TBL NOB 50</t>
  </si>
  <si>
    <t>Jodovaný povidon</t>
  </si>
  <si>
    <t>DRM UNG 1X20GM 10%</t>
  </si>
  <si>
    <t>Levofloxacin</t>
  </si>
  <si>
    <t>19372</t>
  </si>
  <si>
    <t>OFTAQUIX 5 MG/ML OČNÍ KAPKY</t>
  </si>
  <si>
    <t>OPH GTT SOL 1X5ML/25MG</t>
  </si>
  <si>
    <t>Meloxikam</t>
  </si>
  <si>
    <t>112561</t>
  </si>
  <si>
    <t>RECOXA 15</t>
  </si>
  <si>
    <t>POR TBL NOB 30X15MG</t>
  </si>
  <si>
    <t>13281</t>
  </si>
  <si>
    <t>POR TBL NOB 20X15MG</t>
  </si>
  <si>
    <t>Norfloxacin</t>
  </si>
  <si>
    <t>44087</t>
  </si>
  <si>
    <t>GYRABLOCK 400</t>
  </si>
  <si>
    <t>Organo-heparinoid</t>
  </si>
  <si>
    <t>HEPAROID LÉČIVA</t>
  </si>
  <si>
    <t>DRM CRM 1X30GM</t>
  </si>
  <si>
    <t>Ramipril</t>
  </si>
  <si>
    <t>15864</t>
  </si>
  <si>
    <t>TRITACE 10 MG</t>
  </si>
  <si>
    <t>POR TBL NOB 30X10MG</t>
  </si>
  <si>
    <t>Tamoxifen</t>
  </si>
  <si>
    <t>44056</t>
  </si>
  <si>
    <t>TAMOXIFEN 'EBEWE' 10 MG</t>
  </si>
  <si>
    <t>888</t>
  </si>
  <si>
    <t>OBINADLO ELASTICKÉ IDEALTEX</t>
  </si>
  <si>
    <t>8CMX5M,V NAPNUTÉM STAVU,DLOUHÝ TAH,1KS</t>
  </si>
  <si>
    <t>63733</t>
  </si>
  <si>
    <t>BERLE FRANCOUZSKÁ PŘEDLOKETNÍ - SUNRISE MEDICAL</t>
  </si>
  <si>
    <t>STAVITELNÁ VÝŠKA OBJEDNACÍ KÓD VÝROBCE 8303C</t>
  </si>
  <si>
    <t>23690</t>
  </si>
  <si>
    <t>BERLE FRANCOUZSKÁ PŘEDLOKETNÍ DURALOVÁ 121 A</t>
  </si>
  <si>
    <t>DVOJITĚ NASTAVITELNÁ 66-92CM,18-25CM,OPĚRKA PŘEDLOKTÍ UZAVŘENÁ SKLOPNÁ</t>
  </si>
  <si>
    <t>11668</t>
  </si>
  <si>
    <t>ORTÉZA KOLENNÍ S DVOUOSÝM KLOUBEM PAN 7.05</t>
  </si>
  <si>
    <t>ROZEPINATELNÁ,KRÁTKÁ, VEL. S,M,L,XL,XXL UNIV. P-L</t>
  </si>
  <si>
    <t>62987</t>
  </si>
  <si>
    <t>ORTÉZA HLEZNA FIXAČNÍ VAKUOVANÁ VACO-ANKLE</t>
  </si>
  <si>
    <t>78081</t>
  </si>
  <si>
    <t>ORTÉZA PALCE RUKY OR 10A</t>
  </si>
  <si>
    <t>S DLAHOU</t>
  </si>
  <si>
    <t>78695</t>
  </si>
  <si>
    <t>BANDÁŽ KOTNÍKU</t>
  </si>
  <si>
    <t>SILIKONOVÁ PELOTA</t>
  </si>
  <si>
    <t>81790</t>
  </si>
  <si>
    <t>KRYTÍ ANTIMIKROBIÁLNÍ MEPILEX AG</t>
  </si>
  <si>
    <t>10X10CM SE SILIKONOVOU VRSTVOU SAFETAC,5KS</t>
  </si>
  <si>
    <t>11662</t>
  </si>
  <si>
    <t>ORTÉZA PRSTŮ RUKY PAN 5.04</t>
  </si>
  <si>
    <t>S DLAHOU, VELIKOST S,M,L, UNIVERZÁLNÍ PRO PRAVOU A LEVOU RUKU</t>
  </si>
  <si>
    <t>140202</t>
  </si>
  <si>
    <t>DLAHA PRSTOVÁ OVAL-8</t>
  </si>
  <si>
    <t>VELIKOSTI 2 - 15, P1008-X</t>
  </si>
  <si>
    <t>62970</t>
  </si>
  <si>
    <t>BANDÁŽ ZÁPĚSTÍ ELASTICKÁ OR29</t>
  </si>
  <si>
    <t>78952</t>
  </si>
  <si>
    <t>ORTÉZA PRSTOVÁ - TYP 309</t>
  </si>
  <si>
    <t>94163</t>
  </si>
  <si>
    <t>CONCOR 10</t>
  </si>
  <si>
    <t>94164</t>
  </si>
  <si>
    <t>CONCOR 5</t>
  </si>
  <si>
    <t>LEXAURIN 3</t>
  </si>
  <si>
    <t>POR TBL NOB 30X3MG</t>
  </si>
  <si>
    <t>Diosmektit</t>
  </si>
  <si>
    <t>132574</t>
  </si>
  <si>
    <t>SMECTA</t>
  </si>
  <si>
    <t>POR PLV SUS 1X30</t>
  </si>
  <si>
    <t>Fentermin</t>
  </si>
  <si>
    <t>97374</t>
  </si>
  <si>
    <t>ADIPEX RETARD</t>
  </si>
  <si>
    <t>POR CPS RML 100X15MG</t>
  </si>
  <si>
    <t>Chinapril</t>
  </si>
  <si>
    <t>94959</t>
  </si>
  <si>
    <t>ACCUPRO 10</t>
  </si>
  <si>
    <t>Chinapril a diuretika</t>
  </si>
  <si>
    <t>Ketoprofen</t>
  </si>
  <si>
    <t>16287</t>
  </si>
  <si>
    <t>FASTUM GEL</t>
  </si>
  <si>
    <t>DRM GEL 1X100GM</t>
  </si>
  <si>
    <t>Klarithromycin</t>
  </si>
  <si>
    <t>53853</t>
  </si>
  <si>
    <t>KLACID 500</t>
  </si>
  <si>
    <t>Medazepam</t>
  </si>
  <si>
    <t>96175</t>
  </si>
  <si>
    <t>ANSILAN 10 MG TVRDÉ TOBOLKY</t>
  </si>
  <si>
    <t>POR CPS DUR 25X10MG</t>
  </si>
  <si>
    <t>112562</t>
  </si>
  <si>
    <t>POR TBL NOB 60X15MG</t>
  </si>
  <si>
    <t>12895</t>
  </si>
  <si>
    <t>POR GRA SUS 30SÁČ I</t>
  </si>
  <si>
    <t>17187</t>
  </si>
  <si>
    <t>NIMESIL</t>
  </si>
  <si>
    <t>POR GRA SUS 30X100MG</t>
  </si>
  <si>
    <t>Pitofenon a analgetika</t>
  </si>
  <si>
    <t>176954</t>
  </si>
  <si>
    <t>ALGIFEN NEO</t>
  </si>
  <si>
    <t>POR GTT SOL 1X50ML</t>
  </si>
  <si>
    <t>Prokinetika</t>
  </si>
  <si>
    <t>166774</t>
  </si>
  <si>
    <t>ITOPRID PMCS 50 MG</t>
  </si>
  <si>
    <t>POR TBL FLM 40X50MG I</t>
  </si>
  <si>
    <t>Rilmenidin</t>
  </si>
  <si>
    <t>84360</t>
  </si>
  <si>
    <t>TENAXUM</t>
  </si>
  <si>
    <t>POR TBL NOB 30X1MG</t>
  </si>
  <si>
    <t>Síran hořečnatý</t>
  </si>
  <si>
    <t>MAGNESIUM SULFURICUM BIOTIKA 10%</t>
  </si>
  <si>
    <t>INJ SOL 5X10ML 10%</t>
  </si>
  <si>
    <t>Spazmolytika, psycholeptika a analgetika v kombinaci</t>
  </si>
  <si>
    <t>91261</t>
  </si>
  <si>
    <t>SPASMOPAN</t>
  </si>
  <si>
    <t>RCT SUP 5</t>
  </si>
  <si>
    <t>Sulodexid</t>
  </si>
  <si>
    <t>96118</t>
  </si>
  <si>
    <t>VESSEL DUE F</t>
  </si>
  <si>
    <t>POR CPS MOL 50X250LSU</t>
  </si>
  <si>
    <t>Thiethylperazin</t>
  </si>
  <si>
    <t>RCT SUP 6X6.5MG</t>
  </si>
  <si>
    <t>84262</t>
  </si>
  <si>
    <t>TRALGIT GTT.</t>
  </si>
  <si>
    <t>POR GTT SOL 1X96ML</t>
  </si>
  <si>
    <t>Zolpidem</t>
  </si>
  <si>
    <t>16286</t>
  </si>
  <si>
    <t>STILNOX</t>
  </si>
  <si>
    <t>POR TBL FLM 20X10MG</t>
  </si>
  <si>
    <t>*3009</t>
  </si>
  <si>
    <t>19681</t>
  </si>
  <si>
    <t>GÁZA SKLÁDANÁ KOMPRESY NESTERILNÍ STERILUX ES</t>
  </si>
  <si>
    <t>10X10CM,8 VRSTEV,100KS</t>
  </si>
  <si>
    <t>15764</t>
  </si>
  <si>
    <t>BERLE PŘEDLOKETNÍ FRANCOUZSKÁ DURALOVÁ FD 93</t>
  </si>
  <si>
    <t>NOSNOST 150KG</t>
  </si>
  <si>
    <t>63776</t>
  </si>
  <si>
    <t>ORTÉZA HLEZENNÍ VACOPED; SOUPRAVA PRO PACIENTA</t>
  </si>
  <si>
    <t>VAKUOVÝ FIXAČNÍ SYSTÉM, NÁHRADA SÁDRY, VELIKOST S, M, L</t>
  </si>
  <si>
    <t>78941</t>
  </si>
  <si>
    <t>BANDÁŽ HLEZENNÍ LEVAMED</t>
  </si>
  <si>
    <t>15657</t>
  </si>
  <si>
    <t>POR TBL FLM 100X500MG</t>
  </si>
  <si>
    <t>40131</t>
  </si>
  <si>
    <t>VERAL NEO EMULGEL</t>
  </si>
  <si>
    <t>DRM GEL 1X100GM I</t>
  </si>
  <si>
    <t>176753</t>
  </si>
  <si>
    <t>DRM GEL 1X100GM II</t>
  </si>
  <si>
    <t>62316</t>
  </si>
  <si>
    <t>DRM SOL 1X120ML</t>
  </si>
  <si>
    <t>Kodein</t>
  </si>
  <si>
    <t>90</t>
  </si>
  <si>
    <t>CODEIN SLOVAKOFARMA 30 MG</t>
  </si>
  <si>
    <t>POR TBL NOB 10X30MG</t>
  </si>
  <si>
    <t>Vápník, kombinace s vitaminem D a/nebo jinými léčivy</t>
  </si>
  <si>
    <t>164887</t>
  </si>
  <si>
    <t>CALTRATE 600 MG/400 IU D3 POTAHOVANÁ TABLETA</t>
  </si>
  <si>
    <t>POR TBL FLM 60</t>
  </si>
  <si>
    <t>885</t>
  </si>
  <si>
    <t>10CMX5M,V NAPNUTÉM STAVU,DLOUHÝ TAH,1KS</t>
  </si>
  <si>
    <t>Hydrokortison-butyrát</t>
  </si>
  <si>
    <t>83212</t>
  </si>
  <si>
    <t>LOCOID CRELO 0,1%</t>
  </si>
  <si>
    <t>DRM EML 1X30GM</t>
  </si>
  <si>
    <t>9310</t>
  </si>
  <si>
    <t>LOCOID 0,1%</t>
  </si>
  <si>
    <t>DRM UNG 1X30GM</t>
  </si>
  <si>
    <t>Ofloxacin</t>
  </si>
  <si>
    <t>55636</t>
  </si>
  <si>
    <t>OFLOXIN 200</t>
  </si>
  <si>
    <t>POR TBL FLM 10X200MG</t>
  </si>
  <si>
    <t>Obuv ortopedická</t>
  </si>
  <si>
    <t>971</t>
  </si>
  <si>
    <t>VLOŽKY ORTOPEDICKÉ-SPECIÁLNÍ</t>
  </si>
  <si>
    <t>80%</t>
  </si>
  <si>
    <t>23642</t>
  </si>
  <si>
    <t>ORTÉZA KOLENNÍ S KOVOVÝMI DLAHAMI</t>
  </si>
  <si>
    <t>DRYTEX ECONOMY HINGED KNEE SUPPORT- S DVOUOSÝM KLOUBEM (0670)</t>
  </si>
  <si>
    <t>93882</t>
  </si>
  <si>
    <t>ORTÉZA KOLENNÍ  9107</t>
  </si>
  <si>
    <t>ORTÉZA S KLOUBOVÝMI KOVOVÝMI DLAHAMI, SILIKONOVÁ VLOŽKA,  3-D TEXTILNÍ ÚPLET</t>
  </si>
  <si>
    <t>140667</t>
  </si>
  <si>
    <t>PÁSKA EPIKONDYLÁRNÍ - TYP 207</t>
  </si>
  <si>
    <t>UNIVERZÁLNÍ VELIKOST, PŘESTAVITELNÁ PELOTA</t>
  </si>
  <si>
    <t>12893</t>
  </si>
  <si>
    <t>POR TBL NOB 60X100MG</t>
  </si>
  <si>
    <t>93465</t>
  </si>
  <si>
    <t>NOLICIN</t>
  </si>
  <si>
    <t>POR TBL FLM 20X400MG</t>
  </si>
  <si>
    <t>22441</t>
  </si>
  <si>
    <t>12CMX5M,1KS</t>
  </si>
  <si>
    <t>78692</t>
  </si>
  <si>
    <t>ORTÉZA KOLENNÍ GENU GENUFIT I</t>
  </si>
  <si>
    <t>SILIKONOVÁ PELOTA,SPIRÁLOVÉ VÝZTUŽE</t>
  </si>
  <si>
    <t>16031</t>
  </si>
  <si>
    <t>VOLTAREN 50</t>
  </si>
  <si>
    <t>POR TBL ENT 20X50MG</t>
  </si>
  <si>
    <t>Diosmin, kombinace</t>
  </si>
  <si>
    <t>132547</t>
  </si>
  <si>
    <t>DETRALEX</t>
  </si>
  <si>
    <t>POR TBL FLM 60X500MG</t>
  </si>
  <si>
    <t>Erythromycin</t>
  </si>
  <si>
    <t>97513</t>
  </si>
  <si>
    <t>AKNEMYCIN 2000</t>
  </si>
  <si>
    <t>DRM UNG 1X25GM/500MG</t>
  </si>
  <si>
    <t>137120</t>
  </si>
  <si>
    <t>MAGNESIUM 250 MG PHARMAVIT</t>
  </si>
  <si>
    <t>POR TBL EFF 20</t>
  </si>
  <si>
    <t>50335</t>
  </si>
  <si>
    <t>138840</t>
  </si>
  <si>
    <t>POR TBL FLM 20</t>
  </si>
  <si>
    <t>23646</t>
  </si>
  <si>
    <t>ORTÉZA LOKETNÍHO KLOUBU LÉČEBNÁ S KLOUBY-I</t>
  </si>
  <si>
    <t>OR 4A</t>
  </si>
  <si>
    <t>63777</t>
  </si>
  <si>
    <t>ORTÉZA HLEZENNÍ VACOACHILL; SOUPRAVA PRO PACIENTA</t>
  </si>
  <si>
    <t>6919</t>
  </si>
  <si>
    <t>ORTÉZA HLEZENNÍHO KLOUBU</t>
  </si>
  <si>
    <t>MALLEOLOC 2 VELIKOSTI NA LEVÉ A PRAVÉ HLEZNO</t>
  </si>
  <si>
    <t>58880</t>
  </si>
  <si>
    <t>DOLMINA 100 SR</t>
  </si>
  <si>
    <t>POR TBL PRO 20X100MG</t>
  </si>
  <si>
    <t>84114</t>
  </si>
  <si>
    <t>DRM GEL 1X50GM</t>
  </si>
  <si>
    <t>Metoprolol</t>
  </si>
  <si>
    <t>49941</t>
  </si>
  <si>
    <t>BETALOC ZOK 100 MG</t>
  </si>
  <si>
    <t>POR TBL PRO 100X100MG</t>
  </si>
  <si>
    <t>32056</t>
  </si>
  <si>
    <t>INJ SOL 10X0.2ML</t>
  </si>
  <si>
    <t>132531</t>
  </si>
  <si>
    <t>HELICID 20</t>
  </si>
  <si>
    <t>138841</t>
  </si>
  <si>
    <t>17926</t>
  </si>
  <si>
    <t>ZALDIAR</t>
  </si>
  <si>
    <t>201609</t>
  </si>
  <si>
    <t>45800</t>
  </si>
  <si>
    <t>MAXIS COMFORT COTTON A-G SE SAMODRŽÍCÍM LEMEM</t>
  </si>
  <si>
    <t>93146</t>
  </si>
  <si>
    <t>ORTÉZA KOLEN. KLOUBU SE STABILIZACÍ PATELY OR 36</t>
  </si>
  <si>
    <t>VELIKOST S,M,L,XL,XXL</t>
  </si>
  <si>
    <t>93835</t>
  </si>
  <si>
    <t>ORTÉZA ZÁPĚSTÍ EXOFORM CARPAL</t>
  </si>
  <si>
    <t>S ODLEHČENOU KONSTRUKCÍ PRO PLNOU MOBILITU PRSTŮ</t>
  </si>
  <si>
    <t>Ibuprofen</t>
  </si>
  <si>
    <t>125167</t>
  </si>
  <si>
    <t>DOLGIT GEL</t>
  </si>
  <si>
    <t>DRM GEL 1X150GM</t>
  </si>
  <si>
    <t>100124</t>
  </si>
  <si>
    <t>NUROFEN PRO DĚTI ČÍPKY 60 MG</t>
  </si>
  <si>
    <t>RCT SUP 20X60MG</t>
  </si>
  <si>
    <t>Nystatin, kombinace</t>
  </si>
  <si>
    <t>92490</t>
  </si>
  <si>
    <t>MACMIROR COMPLEX 500</t>
  </si>
  <si>
    <t>VAG GLB 8</t>
  </si>
  <si>
    <t>Oxymetazolin</t>
  </si>
  <si>
    <t>141762</t>
  </si>
  <si>
    <t>NASIVIN SENSITIVE 0,01 %</t>
  </si>
  <si>
    <t>NAS GTT SOL 1X5ML</t>
  </si>
  <si>
    <t>95611</t>
  </si>
  <si>
    <t>PANADOL BABY ČÍPKY</t>
  </si>
  <si>
    <t>RCT SUP 10X125MG</t>
  </si>
  <si>
    <t>Tamsulosin</t>
  </si>
  <si>
    <t>14498</t>
  </si>
  <si>
    <t>OMNIC TOCAS 0,4</t>
  </si>
  <si>
    <t>POR TBL PRO 100X0.4MG</t>
  </si>
  <si>
    <t>201138</t>
  </si>
  <si>
    <t>Citalopram</t>
  </si>
  <si>
    <t>17429</t>
  </si>
  <si>
    <t>POR TBL FLM 100X10 MG</t>
  </si>
  <si>
    <t>64942</t>
  </si>
  <si>
    <t>DIFLUCAN 100 MG</t>
  </si>
  <si>
    <t>POR CPS DUR 28X100MG I</t>
  </si>
  <si>
    <t>Flutikason-furoát</t>
  </si>
  <si>
    <t>29816</t>
  </si>
  <si>
    <t>AVAMYS</t>
  </si>
  <si>
    <t>NAS SPR SUS 120X27.5RG</t>
  </si>
  <si>
    <t>Chondroitin-sulfát</t>
  </si>
  <si>
    <t>176921</t>
  </si>
  <si>
    <t>CONDROSULF 400</t>
  </si>
  <si>
    <t>POR CPS DUR 180X400MG</t>
  </si>
  <si>
    <t>32020</t>
  </si>
  <si>
    <t>IBUPROFEN AL 400</t>
  </si>
  <si>
    <t>115399</t>
  </si>
  <si>
    <t>DRM GEL 1X100GM+DÁVKOVAČ</t>
  </si>
  <si>
    <t>Levocetirizin</t>
  </si>
  <si>
    <t>32720</t>
  </si>
  <si>
    <t>XYZAL</t>
  </si>
  <si>
    <t>POR TBL FLM 50X5MG</t>
  </si>
  <si>
    <t>85143</t>
  </si>
  <si>
    <t>POR TBL FLM 100X5MG</t>
  </si>
  <si>
    <t>Salbutamol</t>
  </si>
  <si>
    <t>31934</t>
  </si>
  <si>
    <t>VENTOLIN INHALER N</t>
  </si>
  <si>
    <t>INH SUS PSS 200X100RG</t>
  </si>
  <si>
    <t>Tiaprid</t>
  </si>
  <si>
    <t>Valsartan</t>
  </si>
  <si>
    <t>141446</t>
  </si>
  <si>
    <t>VALZAP 160 MG POTAHOVANÉ TABLETY</t>
  </si>
  <si>
    <t>POR TBL FLM 90X160MG</t>
  </si>
  <si>
    <t>Pomůcky dále nespecifikované,paruky</t>
  </si>
  <si>
    <t>93433</t>
  </si>
  <si>
    <t>ROZTOK VISKOELASTICKÝ ERECTUS</t>
  </si>
  <si>
    <t>INJ 1X2ML,HRAZENY 3 APLIKACE DO 1 KLOUBU/6 MĚS.</t>
  </si>
  <si>
    <t>11811</t>
  </si>
  <si>
    <t>ORTÉZA LOKETNÍ SILISTAB EPI 2305</t>
  </si>
  <si>
    <t>PRUŽNÝ MATERIÁL, SILIK.PELOTY, PŘEDLOKETNÍ EPI PÁSKA</t>
  </si>
  <si>
    <t>78945</t>
  </si>
  <si>
    <t>ORTÉZA KOLENNÍ GENUMEDI</t>
  </si>
  <si>
    <t>Prostředky pro inkontinenci,kondomy urinál.,sběrné sáčky urinál.</t>
  </si>
  <si>
    <t>87315</t>
  </si>
  <si>
    <t>KALHOTKY ABSORPČNÍ NAVLÉKACÍ MOLICARE MOBIL MEDIUM</t>
  </si>
  <si>
    <t>BOKY 80-120CM,1564ML,14KS</t>
  </si>
  <si>
    <t>138842</t>
  </si>
  <si>
    <t>POR TBL FLM 40</t>
  </si>
  <si>
    <t>163149</t>
  </si>
  <si>
    <t>HYPNOGEN</t>
  </si>
  <si>
    <t>POR TBL FLM 100X10MG</t>
  </si>
  <si>
    <t>99366</t>
  </si>
  <si>
    <t>AMOKSIKLAV 457 MG/5 ML</t>
  </si>
  <si>
    <t>POR PLV SUS 70ML</t>
  </si>
  <si>
    <t>15653</t>
  </si>
  <si>
    <t>CIPLOX 250</t>
  </si>
  <si>
    <t>POR TBL FLM 10X250MG</t>
  </si>
  <si>
    <t>Desloratadin</t>
  </si>
  <si>
    <t>28839</t>
  </si>
  <si>
    <t>AERIUS 0,5 MG/ML</t>
  </si>
  <si>
    <t>POR SOL 1X120ML LŽIČKA</t>
  </si>
  <si>
    <t>15612</t>
  </si>
  <si>
    <t>VOLTAREN EMULGEL</t>
  </si>
  <si>
    <t>55759</t>
  </si>
  <si>
    <t>PAMYCON NA PŘÍPRAVU KAPEK</t>
  </si>
  <si>
    <t>DRM PLV SOL 1X1LAH</t>
  </si>
  <si>
    <t>Kalcium-dobesylát</t>
  </si>
  <si>
    <t>56068</t>
  </si>
  <si>
    <t>DOBICA</t>
  </si>
  <si>
    <t>POR CPS DUR 50X250MG</t>
  </si>
  <si>
    <t>20028</t>
  </si>
  <si>
    <t>AGAPURIN SR 400</t>
  </si>
  <si>
    <t>POR TBL PRO 100X400 MG</t>
  </si>
  <si>
    <t>Perindopril</t>
  </si>
  <si>
    <t>101211</t>
  </si>
  <si>
    <t>POR TBL FLM 90X5MG</t>
  </si>
  <si>
    <t>166760</t>
  </si>
  <si>
    <t>KINITO 50 MG, POTAHOVANÉ TABLETY</t>
  </si>
  <si>
    <t>POR TBL FLM 100X50MG</t>
  </si>
  <si>
    <t>1142653</t>
  </si>
  <si>
    <t>APO-ZOLPIDEM 10 MG</t>
  </si>
  <si>
    <t>Dienogest a ethinylestradiol</t>
  </si>
  <si>
    <t>185112</t>
  </si>
  <si>
    <t>FOXINETTE 2 MG/0,03 MG</t>
  </si>
  <si>
    <t>POR TBL FLM 1X21</t>
  </si>
  <si>
    <t>58138</t>
  </si>
  <si>
    <t>JEANINE</t>
  </si>
  <si>
    <t>POR TBL OBD 3X21</t>
  </si>
  <si>
    <t>140716</t>
  </si>
  <si>
    <t>LÍMEC KRČNÍ ANATOMICKÝ VYZTUŽENÝ</t>
  </si>
  <si>
    <t>ORTEX 015D</t>
  </si>
  <si>
    <t>32018</t>
  </si>
  <si>
    <t>Vareniklin</t>
  </si>
  <si>
    <t>27855</t>
  </si>
  <si>
    <t>CHAMPIX 0,5 MG + 1 MG</t>
  </si>
  <si>
    <t>POR TBL FLM 11X0.5MG+14X1MG PO</t>
  </si>
  <si>
    <t>81026</t>
  </si>
  <si>
    <t>OBINADLO ELASTICKÉ CZELAST SAMOFIXAČNÍ</t>
  </si>
  <si>
    <t>5CMX4,5M,DLOUHÝ TAH,1KS</t>
  </si>
  <si>
    <t>22322</t>
  </si>
  <si>
    <t>ORTÉZA KOLENNÍHO KLOUBU PEVNÁ</t>
  </si>
  <si>
    <t>S FLEXÍ 0 ST.A,ORTIKA OR 3A,VELIKOSTI XS,S,M,L,XL</t>
  </si>
  <si>
    <t>Loratadin</t>
  </si>
  <si>
    <t>14910</t>
  </si>
  <si>
    <t>FLONIDAN 10 MG TABLETY</t>
  </si>
  <si>
    <t>POR TBL NOB 90X10MG</t>
  </si>
  <si>
    <t>46640</t>
  </si>
  <si>
    <t>ROZEX KRÉM</t>
  </si>
  <si>
    <t>32058</t>
  </si>
  <si>
    <t>INJ SOL 10X0.3ML</t>
  </si>
  <si>
    <t>11655</t>
  </si>
  <si>
    <t>PÁS BEDERNÍ S VÝZTUHAMI A PODPŮRNÝM TAHEM PAN 3.03</t>
  </si>
  <si>
    <t>VELIKOST S,M,L,XL</t>
  </si>
  <si>
    <t>Standardní lůžková péče</t>
  </si>
  <si>
    <t>Všeobecná ambulance</t>
  </si>
  <si>
    <t>Lůžkové oddělení intenzivní péče</t>
  </si>
  <si>
    <t>Preskripce a záchyt receptů a poukazů - orientační přehled</t>
  </si>
  <si>
    <t>Přehled plnění pozitivního listu (PL) - 
   preskripce léčivých přípravků dle objemu Kč mimo PL</t>
  </si>
  <si>
    <t>G04CA02 - Tamsulosin</t>
  </si>
  <si>
    <t>R06AE09 - Levocetirizin</t>
  </si>
  <si>
    <t>C07AB07 - Bisoprolol</t>
  </si>
  <si>
    <t>A03FA - Prokinetika</t>
  </si>
  <si>
    <t>C03EA01 - Hydrochlorothiazid a kalium šetřící diuretika</t>
  </si>
  <si>
    <t>M01AC06 - Meloxikam</t>
  </si>
  <si>
    <t>R06AX13 - Loratadin</t>
  </si>
  <si>
    <t>C09AA05 - Ramipril</t>
  </si>
  <si>
    <t>L02BA01 - Tamoxifen</t>
  </si>
  <si>
    <t>C03EA01</t>
  </si>
  <si>
    <t>C07AB07</t>
  </si>
  <si>
    <t>C09AA05</t>
  </si>
  <si>
    <t>L02BA01</t>
  </si>
  <si>
    <t>M01AC06</t>
  </si>
  <si>
    <t>A03FA</t>
  </si>
  <si>
    <t>G04CA02</t>
  </si>
  <si>
    <t>R06AE09</t>
  </si>
  <si>
    <t>R06AX13</t>
  </si>
  <si>
    <t>Přehled plnění PL - Preskripce léčivých přípravků - orientační přehled</t>
  </si>
  <si>
    <t>50115006     implant.umělé těl.náhr.-neuromod.-DBS(s.Z_508)</t>
  </si>
  <si>
    <t>50115066     ostatní ZPr - šicí materiál - robot (sk.Z_531)</t>
  </si>
  <si>
    <t>50115090     ostatní ZPr - zubolékařský materiál (sk.Z_509)</t>
  </si>
  <si>
    <t>3166</t>
  </si>
  <si>
    <t>pracoviště DK COS</t>
  </si>
  <si>
    <t>pracoviště DK COS Celkem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</si>
  <si>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</si>
  <si>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</si>
  <si>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</si>
  <si>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</si>
  <si>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</si>
  <si>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</si>
  <si>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ZA423</t>
  </si>
  <si>
    <t>Obinadlo elastické idealtex 12 cm x 5 m 9310633</t>
  </si>
  <si>
    <t>ZA429</t>
  </si>
  <si>
    <t>Obinadlo elastické idealtex   8 cm x 5 m 931061</t>
  </si>
  <si>
    <t>ZA443</t>
  </si>
  <si>
    <t>Šátek trojcípý pletený 125 x 85 x 85 cm 20001</t>
  </si>
  <si>
    <t>ZA446</t>
  </si>
  <si>
    <t>Vata buničitá přířezy 20 x 30 cm 1230200129</t>
  </si>
  <si>
    <t>ZA459</t>
  </si>
  <si>
    <t>Kompresa AB 10 x 20 cm / 1 ks sterilní NT savá 1230114021</t>
  </si>
  <si>
    <t>ZA463</t>
  </si>
  <si>
    <t>Kompresa NT 10 x 20 cm / 2 ks sterilní 26620</t>
  </si>
  <si>
    <t>ZA464</t>
  </si>
  <si>
    <t>Kompresa NT 10 x 10 cm / 2 ks sterilní 26520</t>
  </si>
  <si>
    <t>ZA544</t>
  </si>
  <si>
    <t>Krytí inadine nepřilnavé 5,0 x 5,0 cm 1/10 SYS01481EE</t>
  </si>
  <si>
    <t>ZA547</t>
  </si>
  <si>
    <t>Krytí inadine nepřilnavé 9,5 x 9,5 cm 1/10 SYS01512EE</t>
  </si>
  <si>
    <t>ZA576</t>
  </si>
  <si>
    <t>Mediset pro močovou katetriz. á 20 ks 4552710</t>
  </si>
  <si>
    <t>ZA601</t>
  </si>
  <si>
    <t>Obinadlo fixa crep 12 cm x 4 m 1323100105</t>
  </si>
  <si>
    <t>ZB084</t>
  </si>
  <si>
    <t>Náplast transpore 2,50 cm x 9,14 m 1527-1</t>
  </si>
  <si>
    <t>ZC100</t>
  </si>
  <si>
    <t>Vata buničitá dělená 2 role / 500 ks 40 x 50 mm 1230200310</t>
  </si>
  <si>
    <t>ZC846</t>
  </si>
  <si>
    <t>Kompresa AB 15 x 25 cm /1 ks sterilní NT savá 1230114031</t>
  </si>
  <si>
    <t>ZC854</t>
  </si>
  <si>
    <t xml:space="preserve">Kompresa NT 7,5 x 7,5 cm / 2 ks sterilní 26510 </t>
  </si>
  <si>
    <t>ZD104</t>
  </si>
  <si>
    <t>Náplast omniplast 10,0 cm x 10,0 m 9004472 (900535)</t>
  </si>
  <si>
    <t>ZI558</t>
  </si>
  <si>
    <t>Náplast curapor   7 x   5 cm 22 120 ( náhrada za cosmopor )</t>
  </si>
  <si>
    <t>ZI599</t>
  </si>
  <si>
    <t>Náplast curapor 10 x   8 cm 22121 ( náhrada za cosmopor )</t>
  </si>
  <si>
    <t>ZI601</t>
  </si>
  <si>
    <t>Náplast curapor 10 x 20 cm 22123 ( náhrada za cosmopor )</t>
  </si>
  <si>
    <t>ZI973</t>
  </si>
  <si>
    <t>Pěna malá  V.A.C M8275051</t>
  </si>
  <si>
    <t>ZI974</t>
  </si>
  <si>
    <t>Pěna střední V.A.C M8275052</t>
  </si>
  <si>
    <t>ZI983</t>
  </si>
  <si>
    <t>Terčík + krycí folie V.A.C. ( folie s kolmým napojením )KC- M8275057</t>
  </si>
  <si>
    <t>ZL789</t>
  </si>
  <si>
    <t>Obvaz sterilní hotový č. 2 004091360</t>
  </si>
  <si>
    <t>ZL790</t>
  </si>
  <si>
    <t>Obvaz sterilní hotový č. 3 004101144</t>
  </si>
  <si>
    <t>ZK333</t>
  </si>
  <si>
    <t>Pěna S systém vivano bal. á 3 ks 4097281</t>
  </si>
  <si>
    <t>ZJ498</t>
  </si>
  <si>
    <t>Pěna M systém vivano bal. á 3 ks 409725</t>
  </si>
  <si>
    <t>ZJ497</t>
  </si>
  <si>
    <t>Kanystr 800 ml systém vivano bal. á 3 ks 409520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</si>
  <si>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</si>
  <si>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</si>
  <si>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</si>
  <si>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</si>
  <si>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</si>
  <si>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</si>
  <si>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</si>
  <si>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</si>
  <si>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ZF042</t>
  </si>
  <si>
    <t>Krytí mastný tyl jelonet 10 x 10 cm á 10 ks 7404</t>
  </si>
  <si>
    <t>ZI975</t>
  </si>
  <si>
    <t>Pěna velká V.A.C M8275053</t>
  </si>
  <si>
    <t>ZA738</t>
  </si>
  <si>
    <t>Filtr mini spike zelený 4550242</t>
  </si>
  <si>
    <t>ZA746</t>
  </si>
  <si>
    <t>Stříkačka omnifix 1 ml 9161406V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</si>
  <si>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</si>
  <si>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</si>
  <si>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</si>
  <si>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</si>
  <si>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</si>
  <si>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</si>
  <si>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</si>
  <si>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</si>
  <si>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ZB249</t>
  </si>
  <si>
    <t>Sáček močový s křížovou výpustí sterilní 2000 ml ZAR-TNU201601</t>
  </si>
  <si>
    <t>ZB598</t>
  </si>
  <si>
    <t>Spojka přímá symetrická 7 x 7 mm 120 430</t>
  </si>
  <si>
    <t>ZB751</t>
  </si>
  <si>
    <t>Hadice PVC 8/12 á 30 m P00468</t>
  </si>
  <si>
    <t>ZB756</t>
  </si>
  <si>
    <t>Zkumavka 3 ml K3 edta fialová 454086</t>
  </si>
  <si>
    <t>ZB759</t>
  </si>
  <si>
    <t>Zkumavka červená 8 ml gel 455071</t>
  </si>
  <si>
    <t>ZB774</t>
  </si>
  <si>
    <t>Zkumavka červená 5 ml gel 456071</t>
  </si>
  <si>
    <t>ZB775</t>
  </si>
  <si>
    <t>Zkumavka koagulace 4 ml modrá 454328</t>
  </si>
  <si>
    <t>ZB804</t>
  </si>
  <si>
    <t>Regulátor průtoku infúze dosicair DF 100</t>
  </si>
  <si>
    <t>ZB893</t>
  </si>
  <si>
    <t>Stříkačka inzulinová omnican 0,5 ml 100j s jehlou 30 G 9151125S</t>
  </si>
  <si>
    <t>ZC769</t>
  </si>
  <si>
    <t>Hadička spojovací HS 1,8 x 450LL 606301</t>
  </si>
  <si>
    <t>ZC863</t>
  </si>
  <si>
    <t>Hadička spojovací HS 1,8 x 1800LL 606304</t>
  </si>
  <si>
    <t>ZD808</t>
  </si>
  <si>
    <t>Kanyla vasofix 22G modrá safety 4269098S-01</t>
  </si>
  <si>
    <t>ZD809</t>
  </si>
  <si>
    <t>Kanyla vasofix 20G růžová safety 4269110S-01</t>
  </si>
  <si>
    <t>ZE159</t>
  </si>
  <si>
    <t>Nádoba na kontaminovaný odpad 2 l 15-0003</t>
  </si>
  <si>
    <t>ZG515</t>
  </si>
  <si>
    <t>Zkumavka močová vacuette 10,5 ml bal. á 50 ks 331980455007</t>
  </si>
  <si>
    <t>ZH491</t>
  </si>
  <si>
    <t>Stříkačka 50 - 60 ml LL MRG00711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</si>
  <si>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</si>
  <si>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</si>
  <si>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</si>
  <si>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</si>
  <si>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</si>
  <si>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</si>
  <si>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ZH818</t>
  </si>
  <si>
    <t>Katetr močový foley CH20 180605-000200</t>
  </si>
  <si>
    <t>ZH845</t>
  </si>
  <si>
    <t>Tyčinka vatová medcomfort + glyc. citónová příchuť bal. á 75 ks 09157-100</t>
  </si>
  <si>
    <t>ZK798</t>
  </si>
  <si>
    <t xml:space="preserve">Zátka combi modrá 4495152 </t>
  </si>
  <si>
    <t>ZL105</t>
  </si>
  <si>
    <t xml:space="preserve">Nástavec pro odběr moče ke zkumavce vacuete GREI450251DE </t>
  </si>
  <si>
    <t>ZB557</t>
  </si>
  <si>
    <t>Přechodka adapter combifix rekord - luer 4090306</t>
  </si>
  <si>
    <t>ZL688</t>
  </si>
  <si>
    <t>Proužky Accu-Check Inform IIStrip 50 EU1 á 50 ks 05942861</t>
  </si>
  <si>
    <t>ZL689</t>
  </si>
  <si>
    <t>Roztok Accu-Check Performa Int´l Controls 1+2 level 04861736</t>
  </si>
  <si>
    <t>ZA715</t>
  </si>
  <si>
    <t>Set infuzní intrafix 4062957</t>
  </si>
  <si>
    <t>ZA832</t>
  </si>
  <si>
    <t>Jehla injekční 0,9 x   40 mm žlutá 4657519</t>
  </si>
  <si>
    <t>ZA834</t>
  </si>
  <si>
    <t>Jehla injekční 0,7 x   40 mm černá 4660021</t>
  </si>
  <si>
    <t>ZA999</t>
  </si>
  <si>
    <t>Jehla injekční 0,5 x   16 mm oranžová 4657853</t>
  </si>
  <si>
    <t>ZB556</t>
  </si>
  <si>
    <t>Jehla injekční 1,2 x   40 mm růžová 4665120</t>
  </si>
  <si>
    <t>ZL948</t>
  </si>
  <si>
    <t>Rukavice nitril promedica bez p. M bílé 6N á 100 ks 9399W3</t>
  </si>
  <si>
    <t>ZA421</t>
  </si>
  <si>
    <t>Obinadlo elastické idealtex 10 cm x 5 m 931062</t>
  </si>
  <si>
    <t>ZA424</t>
  </si>
  <si>
    <t>Obinadlo elastické idealtex 14 cm x 5 m 9310643</t>
  </si>
  <si>
    <t>ZA432</t>
  </si>
  <si>
    <t>Obvaz sádrový safix plus 14 cm x 3 m 3327430</t>
  </si>
  <si>
    <t>ZA527</t>
  </si>
  <si>
    <t>Mediset pro malé chir.výkony  4709673</t>
  </si>
  <si>
    <t>ZA540</t>
  </si>
  <si>
    <t>Náplast omnifix E 15 cm x 10 m 9006513</t>
  </si>
  <si>
    <t>ZA557</t>
  </si>
  <si>
    <t>Kompresa gáza sterilní 10 x 20 cm / 5 ks 26013</t>
  </si>
  <si>
    <t>ZA562</t>
  </si>
  <si>
    <t>Náplast cosmopor i. v. 6 x 8 cm 9008054</t>
  </si>
  <si>
    <t>ZA593</t>
  </si>
  <si>
    <t>Tampon stáčený sterilní 20 x 20 cm / 5 ks 28003</t>
  </si>
  <si>
    <t>ZC725</t>
  </si>
  <si>
    <t>Obvaz ortho-pad 15 cm x 3 m 1320105005</t>
  </si>
  <si>
    <t>ZC848</t>
  </si>
  <si>
    <t>Obvaz ortho-pad 10 cm x 3 m karton á 120 ks 1320105004</t>
  </si>
  <si>
    <t>ZD668</t>
  </si>
  <si>
    <t>Kompresa gáza 10 x 10 cm / 5 ks sterilní 1325019275</t>
  </si>
  <si>
    <t>ZD740</t>
  </si>
  <si>
    <t>Kompresa gáza 7,5 x 7,5 cm / 5 ks sterilní 1325019265</t>
  </si>
  <si>
    <t>ZI600</t>
  </si>
  <si>
    <t>Náplast curapor 10 x 15 cm 22122 ( náhrada za cosmopor )</t>
  </si>
  <si>
    <t>ZA430</t>
  </si>
  <si>
    <t>Obinadlo sádrové gipsan 10 cm x 3 m bal. á 60 ks 1321701103</t>
  </si>
  <si>
    <t>ZA431</t>
  </si>
  <si>
    <t>Obvaz sádrový safix plus 12 cm x 3 m 3327420</t>
  </si>
  <si>
    <t>ZA556</t>
  </si>
  <si>
    <t>Obvaz sádrový safix plus 10 cm x 3 m 3327410</t>
  </si>
  <si>
    <t>ZA592</t>
  </si>
  <si>
    <t>Obvaz sádrový safix plus   8 cm x 3 m 3327400</t>
  </si>
  <si>
    <t>ZD545</t>
  </si>
  <si>
    <t>Safix longeta 10 x 20 m 332790</t>
  </si>
  <si>
    <t>ZD551</t>
  </si>
  <si>
    <t>Safix longeta 12 x 20 m 332791</t>
  </si>
  <si>
    <t>ZE396</t>
  </si>
  <si>
    <t>Krytí mastný tyl grassolind 7,5 x 10 cm bal. á 10 ks 499313</t>
  </si>
  <si>
    <t>ZM000</t>
  </si>
  <si>
    <t>Vata obvazová skládaná 50g 004307667</t>
  </si>
  <si>
    <t>ZA555</t>
  </si>
  <si>
    <t>Obinadlo sádrové gipsan 14 cm x 3 m bal. á 40 ks 1321701105</t>
  </si>
  <si>
    <t>ZA538</t>
  </si>
  <si>
    <t>Obinadlo sádrové gipsan 12 cm x 3 m bal. á 48 ks 1321701104</t>
  </si>
  <si>
    <t>ZA897</t>
  </si>
  <si>
    <t>Nůž na stehy krátký sterilní bal. á 100 ks 11.000.00.010</t>
  </si>
  <si>
    <t>ZB770</t>
  </si>
  <si>
    <t>Držák jehly excentrický Holdex 450263</t>
  </si>
  <si>
    <t>ZB771</t>
  </si>
  <si>
    <t>Držák jehly základní 450201</t>
  </si>
  <si>
    <t>ZC752</t>
  </si>
  <si>
    <t>Čepelka skalpelová 15 BB515</t>
  </si>
  <si>
    <t>ZF159</t>
  </si>
  <si>
    <t>Nádoba na kontaminovaný odpad 1 l 15-0002</t>
  </si>
  <si>
    <t>ZI179</t>
  </si>
  <si>
    <t>Zkumavka s mediem+ flovakovaný tampon eSwab růžový 490CE.A</t>
  </si>
  <si>
    <t>ZK799</t>
  </si>
  <si>
    <t>Zátka combi červená 4495101</t>
  </si>
  <si>
    <t>ZE850</t>
  </si>
  <si>
    <t>Nůžky oční rovné iris TK-AK 434-11</t>
  </si>
  <si>
    <t>ZB217</t>
  </si>
  <si>
    <t>Šití dafilon modrý 3/0 bal. á 36 ks C0932353</t>
  </si>
  <si>
    <t>ZB979</t>
  </si>
  <si>
    <t>Šití dafilon modrý 4/0 bal. á 36 ks C0932205</t>
  </si>
  <si>
    <t>ZA360</t>
  </si>
  <si>
    <t>Jehla sterican 0,5 x 25 mm oranžová 9186158</t>
  </si>
  <si>
    <t>ZI492</t>
  </si>
  <si>
    <t>Rukavice latex bez p. XL 01039-XL</t>
  </si>
  <si>
    <t>ZK476</t>
  </si>
  <si>
    <t>Rukavice operační latexové s pudrem ansell medigrip plus vel. 7,5 302925</t>
  </si>
  <si>
    <t>ZL072</t>
  </si>
  <si>
    <t>Rukavice operační gammex bez pudru PF EnLite vel. 7,0 353384</t>
  </si>
  <si>
    <t>ZL074</t>
  </si>
  <si>
    <t>Rukavice operační gammex bez pudru PF EnLite vel. 8,0 353386</t>
  </si>
  <si>
    <t>ZL075</t>
  </si>
  <si>
    <t>Rukavice operační gammex bez pudru PF EnLite vel. 8,5 353387</t>
  </si>
  <si>
    <t>ZL949</t>
  </si>
  <si>
    <t>Rukavice nitril promedica bez p. L bílé 6N á 100 ks 9399W4</t>
  </si>
  <si>
    <t>ZM051</t>
  </si>
  <si>
    <t>Rukavice nitril promedica bez p. S bílé 6N á 100 ks 9399W2</t>
  </si>
  <si>
    <t>ZA454</t>
  </si>
  <si>
    <t>Kompresa AB 10 x 10 cm / 1 ks sterilní NT savá 1230114011</t>
  </si>
  <si>
    <t>ZA537</t>
  </si>
  <si>
    <t>Krytí mepilex heel 13 x 20 cm bal. á 5 ks 288100-01</t>
  </si>
  <si>
    <t>ZA561</t>
  </si>
  <si>
    <t>Kompresa AB 20 x 40 cm / 1 ks sterilní NT savá 1230114051</t>
  </si>
  <si>
    <t>ZA566</t>
  </si>
  <si>
    <t>Nasofix niko L velký 49-625-L</t>
  </si>
  <si>
    <t>ZA629</t>
  </si>
  <si>
    <t>Tampon 19 x 20 cm / 5 ks sterilní stáčený 0442</t>
  </si>
  <si>
    <t>ZA687</t>
  </si>
  <si>
    <t>Sáček močový curity s hod.diurézou 200 ml hadička 150 cm 6502</t>
  </si>
  <si>
    <t>ZA691</t>
  </si>
  <si>
    <t>Rampa 3 kohouty discofix 16600C/4085434/</t>
  </si>
  <si>
    <t>ZA713</t>
  </si>
  <si>
    <t>Měřič žilního tlaku 01 646992</t>
  </si>
  <si>
    <t>ZA749</t>
  </si>
  <si>
    <t>Stříkačka omnifix 50 ml 4617509F</t>
  </si>
  <si>
    <t>ZA812</t>
  </si>
  <si>
    <t>Uzávěr do katetrů 4435001</t>
  </si>
  <si>
    <t>ZA883</t>
  </si>
  <si>
    <t>Rourka rektální CH18 délka 40 cm 19-18.100</t>
  </si>
  <si>
    <t>ZA964</t>
  </si>
  <si>
    <t>Stříkačka janett 60 ml vyplachovací MRG564</t>
  </si>
  <si>
    <t>ZB097</t>
  </si>
  <si>
    <t>Trokar hrudní F24 8888-561050</t>
  </si>
  <si>
    <t>ZB102</t>
  </si>
  <si>
    <t>Láhev k odsávačce flovac 1l hadice 1,8 m á 45 ks 000-036-020</t>
  </si>
  <si>
    <t>ZB173</t>
  </si>
  <si>
    <t>Maska kyslíková s hadičkou a nosní svorkou dospělá H-103013</t>
  </si>
  <si>
    <t>ZB314</t>
  </si>
  <si>
    <t>Kanyla TS 8,0 s manžetou bal. á 2 ks 100/523/080</t>
  </si>
  <si>
    <t>ZB386</t>
  </si>
  <si>
    <t>Kanyla ET 7,5 s manžetou 9475E cen.nab. CZ140004</t>
  </si>
  <si>
    <t>ZB477</t>
  </si>
  <si>
    <t>Kohout trojcestný lopez valve AA-011-M9000 S</t>
  </si>
  <si>
    <t>ZB757</t>
  </si>
  <si>
    <t>Zkumavka 6 ml K3 edta fialová 456036</t>
  </si>
  <si>
    <t>ZB761</t>
  </si>
  <si>
    <t>Zkumavka červená 4 ml 454092</t>
  </si>
  <si>
    <t>ZB773</t>
  </si>
  <si>
    <t>Zkumavka šedá-glykemie 454085</t>
  </si>
  <si>
    <t>ZB777</t>
  </si>
  <si>
    <t>Zkumavka červená 4 ml gel 454071</t>
  </si>
  <si>
    <t>ZC648</t>
  </si>
  <si>
    <t>Elektroda EKG s gelem ovál 51 x 33 mm pro dospělé H-108006</t>
  </si>
  <si>
    <t>ZC872</t>
  </si>
  <si>
    <t>Zátka ke kapiláře á 1500 ks, 140 ul</t>
  </si>
  <si>
    <t>ZC981</t>
  </si>
  <si>
    <t>Kanyla TS 8,0 bez manžety 100/811/080</t>
  </si>
  <si>
    <t>ZD748</t>
  </si>
  <si>
    <t xml:space="preserve">Mediset pro žilní katetrizaci a rouškování bal. á 10 ks CVK Kit </t>
  </si>
  <si>
    <t>ZD980</t>
  </si>
  <si>
    <t>Kanyla vasofix 18G zelená safety 4269136S-01</t>
  </si>
  <si>
    <t>ZF233</t>
  </si>
  <si>
    <t>Stříkačka arteriální 3 ml line-draw L/S á 200 ks 4043E</t>
  </si>
  <si>
    <t>ZH168</t>
  </si>
  <si>
    <t>Stříkačka tuberkulin 1 ml KD-JECT III 831786</t>
  </si>
  <si>
    <t>ZI182</t>
  </si>
  <si>
    <t>Zkumavka + aplikátor s chem.stabilizátorem UriSwab žlutá 802CE.A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</si>
  <si>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</si>
  <si>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</si>
  <si>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</si>
  <si>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</si>
  <si>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</si>
  <si>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</si>
  <si>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ZK693</t>
  </si>
  <si>
    <t>Aquapak - sterilní voda 1070 ml + adaptér 404128</t>
  </si>
  <si>
    <t>ZK884</t>
  </si>
  <si>
    <t>Kohout trojcestný discofix modrý 4095111</t>
  </si>
  <si>
    <t>ZK978</t>
  </si>
  <si>
    <t>Cévka odsávací CH16 s přerušovačem sání P01175a</t>
  </si>
  <si>
    <t>ZK979</t>
  </si>
  <si>
    <t>Cévka odsávací CH18 s přerušovačem sání P01177a</t>
  </si>
  <si>
    <t>ZB303</t>
  </si>
  <si>
    <t>Spojka asymetrická 4 x 7 mm 120 420</t>
  </si>
  <si>
    <t>ZB253</t>
  </si>
  <si>
    <t>Filtr iso-gard bakteriální virový čistý bal. á 25 ks 19212</t>
  </si>
  <si>
    <t>ZG139</t>
  </si>
  <si>
    <t>Set infuzní VL ST 00 bal. á 70 ks M46441000</t>
  </si>
  <si>
    <t>ZC065</t>
  </si>
  <si>
    <t>Kapilára hep. sodný 140 ul+drátek 125/140</t>
  </si>
  <si>
    <t>ZE027</t>
  </si>
  <si>
    <t>Katetr CVC 1 lumen certofix mono 330 4160282E</t>
  </si>
  <si>
    <t>ZE079</t>
  </si>
  <si>
    <t>Set transfúzní non PVC s odvzdušněním a bakteriálním filtrem ZAR-I-TS</t>
  </si>
  <si>
    <t>ZA833</t>
  </si>
  <si>
    <t>Jehla injekční 0,8 x   40 mm zelená 4657527</t>
  </si>
  <si>
    <t>ZB768</t>
  </si>
  <si>
    <t>Jehla vakuová 216/38 mm zelená 450076</t>
  </si>
  <si>
    <t>DG382</t>
  </si>
  <si>
    <t>Bactec Plus Aerobic</t>
  </si>
  <si>
    <t>DG385</t>
  </si>
  <si>
    <t>Bactec Plus Anaerobic</t>
  </si>
  <si>
    <t>DG395</t>
  </si>
  <si>
    <t>Diagnostická souprava ABO set monoklonální na 30</t>
  </si>
  <si>
    <t>ZK466</t>
  </si>
  <si>
    <t>Fólie incizní visulin 10 x 6 cm bal. á 100 ks 6857331</t>
  </si>
  <si>
    <t>ZA095</t>
  </si>
  <si>
    <t>Cement kostní palacos R+G 2 x 40 g á 2 ks 66017569</t>
  </si>
  <si>
    <t>ZB885</t>
  </si>
  <si>
    <t>Vrták pr. 1,1 mm 513.030</t>
  </si>
  <si>
    <t>ZE278</t>
  </si>
  <si>
    <t xml:space="preserve">Drát vodící 0,9 mm bal. á 10 ks 26-875-00-05 </t>
  </si>
  <si>
    <t>ZF625</t>
  </si>
  <si>
    <t>Vrták 2,5 mm 3-drážkový pro rychlospojku 315.250</t>
  </si>
  <si>
    <t>ZF731</t>
  </si>
  <si>
    <t>Drát vodící guide wire s trokarovou špičkou 1,25 mm 292.620</t>
  </si>
  <si>
    <t>ZI283</t>
  </si>
  <si>
    <t>elektroda VAPR Premiere 90 DEPuy 227204</t>
  </si>
  <si>
    <t>ZB431</t>
  </si>
  <si>
    <t>Drát vodící se závitovou a trokarovou špičkou 2,8 mm d.350 mm 357.039</t>
  </si>
  <si>
    <t>ZD861</t>
  </si>
  <si>
    <t>Fréza kulová, délka 45 mm, pr.5 mm  03.000.172S</t>
  </si>
  <si>
    <t>ZF637</t>
  </si>
  <si>
    <t>Drát vodící guide wire s trokarovou špičkou 2,80 mm 292.680</t>
  </si>
  <si>
    <t>ZH151</t>
  </si>
  <si>
    <t>Kabel svetlovodný rud IM201-230</t>
  </si>
  <si>
    <t>ZH416</t>
  </si>
  <si>
    <t>Vrták pr. 3,2 mm 315.310</t>
  </si>
  <si>
    <t>ZI379</t>
  </si>
  <si>
    <t>Šroubovák-torzní nástavec 26-952-00-07</t>
  </si>
  <si>
    <t>ZJ528</t>
  </si>
  <si>
    <t>Cement kostní vancognex 40 g ( vancomycin + gentamicin ) 12A2520</t>
  </si>
  <si>
    <t>ZL670</t>
  </si>
  <si>
    <t>Set na míchání cementu - sterilní + plastová miska a špachte bal. á 10 ks 07.082.11.000</t>
  </si>
  <si>
    <t>ZJ154</t>
  </si>
  <si>
    <t xml:space="preserve">Drát vodící 3,2 mm 300 mm kalibrovaný 357.129  </t>
  </si>
  <si>
    <t>ZD425</t>
  </si>
  <si>
    <t>Nůž k elektrodermatomu á 10 ks GB228 R</t>
  </si>
  <si>
    <t>ZL680</t>
  </si>
  <si>
    <t>Fréza pr. 3 mm sterilní délka 45 mm 03.000.171S</t>
  </si>
  <si>
    <t>ZG304</t>
  </si>
  <si>
    <t>Vrták 2,0 mm 323.062</t>
  </si>
  <si>
    <t>ZB005</t>
  </si>
  <si>
    <t>Fréza k shaveru měkkotkáňová bal. á 5 ks 287519</t>
  </si>
  <si>
    <t>ZK805</t>
  </si>
  <si>
    <t>Vrták pr. 1,6 x 40 mm pro soupravu Aptus A-3430</t>
  </si>
  <si>
    <t>ZJ087</t>
  </si>
  <si>
    <t xml:space="preserve">Kleště repoziční dlahové 15 cm RU5528-15   </t>
  </si>
  <si>
    <t>ZK674</t>
  </si>
  <si>
    <t>List pilový 46/31 x 0.4/03 mm pro vrtačku Colibri 532.047</t>
  </si>
  <si>
    <t>ZD485</t>
  </si>
  <si>
    <t>Vrták do soupravy HAND INNOVATIONS 2,5  DB25</t>
  </si>
  <si>
    <t>ZF073</t>
  </si>
  <si>
    <t>Vrták pr. 2,8 mm se stupnicí délka 200/100 mm pro rychlospojku 324.214</t>
  </si>
  <si>
    <t>ZI849</t>
  </si>
  <si>
    <t>Elektroda VAPR Premiere 50 koncová kolenní s integ.kabelem a sáním 227504</t>
  </si>
  <si>
    <t>ZL549</t>
  </si>
  <si>
    <t>Elektroda radiofrekvenční vaper 2.3 s bočním pálením a přívodným kabelem pro artroskopie zápěstí 227211</t>
  </si>
  <si>
    <t>ZD015</t>
  </si>
  <si>
    <t>Vrták kanylovaný 2,6 mm 26-451-27-07</t>
  </si>
  <si>
    <t>ZL170</t>
  </si>
  <si>
    <t>Aplikátor na kotvy Omnispan jednorázový  228143</t>
  </si>
  <si>
    <t>KG209</t>
  </si>
  <si>
    <t>šroub nosný pr. 11 samořezný D110 273.110</t>
  </si>
  <si>
    <t>KG398</t>
  </si>
  <si>
    <t>šroub zajišťovací stardrive 2,7 mm ( hlava LCP 2.4), délka 18 402.218</t>
  </si>
  <si>
    <t>KG399</t>
  </si>
  <si>
    <t>šroub zajišťovací stardrive 2,7 mm ( hlava LCP 2.4), délka 20 402.220</t>
  </si>
  <si>
    <t>KG404</t>
  </si>
  <si>
    <t>šroub zajišťovací stardrive 2,7 mm ( hlava LCP 2.4), délka 30 402.230</t>
  </si>
  <si>
    <t>KG433</t>
  </si>
  <si>
    <t>šroub kortikální pr 3,5 samořezný D26 TI 404.826</t>
  </si>
  <si>
    <t>KG439</t>
  </si>
  <si>
    <t>šroub kortikální pr 3,5 samořezný D50 TI 404.850</t>
  </si>
  <si>
    <t>KG444</t>
  </si>
  <si>
    <t>šroub zajišťovací pr 3,5 samořezný D14 412.103</t>
  </si>
  <si>
    <t>KG448</t>
  </si>
  <si>
    <t>šroub zajišťovací pr 3,5 samořezný D22 412.107</t>
  </si>
  <si>
    <t>KG449</t>
  </si>
  <si>
    <t>šroub zajišťovací pr 3,5 samořezný D24 412.108</t>
  </si>
  <si>
    <t>KG450</t>
  </si>
  <si>
    <t>šroub zajišťovací pr 3,5 samořezný D26 412.109</t>
  </si>
  <si>
    <t>KG538</t>
  </si>
  <si>
    <t>prut prevotový ten pr 2,5 D440 TAN růžový 475.925</t>
  </si>
  <si>
    <t>ZA010</t>
  </si>
  <si>
    <t>Dlaha LC-DCP 3.5 mm 8 otvorů 223.580</t>
  </si>
  <si>
    <t>ZA011</t>
  </si>
  <si>
    <t>Šroub kortikální 1.5 mm 200.809</t>
  </si>
  <si>
    <t>ZA012</t>
  </si>
  <si>
    <t>Šroub kortikální 1.5 mm 200.810</t>
  </si>
  <si>
    <t>ZA015</t>
  </si>
  <si>
    <t>Šroub kortikální 1.5 mm 200.808</t>
  </si>
  <si>
    <t>ZA016</t>
  </si>
  <si>
    <t>Šroub kortikální 1.5 mm 200.812</t>
  </si>
  <si>
    <t>ZA026</t>
  </si>
  <si>
    <t>Dlaha adaptační 1.5 mm 12 otv. 246.191</t>
  </si>
  <si>
    <t>ZA041</t>
  </si>
  <si>
    <t>Šroub zajišťovací 3,5 mm 213.016</t>
  </si>
  <si>
    <t>ZA050</t>
  </si>
  <si>
    <t>Šroub zajišťovací 3,5 mm 213.045</t>
  </si>
  <si>
    <t>ZA057</t>
  </si>
  <si>
    <t>Šroub zajišťovací Stardrive 5,0 mm 212.222</t>
  </si>
  <si>
    <t>ZA115</t>
  </si>
  <si>
    <t>Kotvička mitek easy s návlekem GII 212450</t>
  </si>
  <si>
    <t>ZA130</t>
  </si>
  <si>
    <t>Šroub zajišťovací Stardrive 5,0 mm 212.207</t>
  </si>
  <si>
    <t>ZA132</t>
  </si>
  <si>
    <t>Šroub zajišťovací Stardrive 5,0 mm 212.210</t>
  </si>
  <si>
    <t>ZA133</t>
  </si>
  <si>
    <t>Šroub zajišťovací Stardrive 5,0 mm 212.211</t>
  </si>
  <si>
    <t>ZA136</t>
  </si>
  <si>
    <t>Šroub zajišťovací Stardrive 5,0 mm 212.214</t>
  </si>
  <si>
    <t>ZA140</t>
  </si>
  <si>
    <t>Šroub zajišťovací Stardrive 5,0 mm 212.224</t>
  </si>
  <si>
    <t>ZA141</t>
  </si>
  <si>
    <t>Šroub zajišťovací Stardrive 5,0 mm 212.225</t>
  </si>
  <si>
    <t>ZA291</t>
  </si>
  <si>
    <t>Šroub schanzův 5,0 mm 294.540</t>
  </si>
  <si>
    <t>ZA294</t>
  </si>
  <si>
    <t>Šroub zajišťovací Targon KB200T</t>
  </si>
  <si>
    <t>ZA295</t>
  </si>
  <si>
    <t>Šroub zajištovací 4,5 mm Targon KB332T</t>
  </si>
  <si>
    <t>ZA297</t>
  </si>
  <si>
    <t>Hřeb PF nagel 12 mm 135° Targon KD024T</t>
  </si>
  <si>
    <t>ZA306</t>
  </si>
  <si>
    <t>Hlava zaslepovací DFN pro vrtulku 451.895</t>
  </si>
  <si>
    <t>ZA308</t>
  </si>
  <si>
    <t>Systém kotvící pro koleno RIGIDFIX 210133</t>
  </si>
  <si>
    <t>ZA387</t>
  </si>
  <si>
    <t>Šroub kanylovaný canos 3,5 mm 26-433-38-09</t>
  </si>
  <si>
    <t>ZA390</t>
  </si>
  <si>
    <t>Šroub kanylovaný canos 3,5 mm 26-433-44-09</t>
  </si>
  <si>
    <t>ZA732</t>
  </si>
  <si>
    <t>Šroub kortikální 3.5 mm 204.814</t>
  </si>
  <si>
    <t>ZB346</t>
  </si>
  <si>
    <t xml:space="preserve">Šroub kompresní HBS2 mini délka 22 mm 26-830-22-09   </t>
  </si>
  <si>
    <t>ZB375</t>
  </si>
  <si>
    <t>Šroub kortikální 3.5 mm 204.818</t>
  </si>
  <si>
    <t>ZB397</t>
  </si>
  <si>
    <t>Šroub kortikální 3.5 mm 204.816</t>
  </si>
  <si>
    <t>ZB887</t>
  </si>
  <si>
    <t>Šroub kortikální 3.5 mm 204.812</t>
  </si>
  <si>
    <t>ZB897</t>
  </si>
  <si>
    <t>Čep zajišťovací 4.9 mm L36 459.360</t>
  </si>
  <si>
    <t>ZC160</t>
  </si>
  <si>
    <t>Pouzdro skluzné PF Targon KD185T</t>
  </si>
  <si>
    <t>ZC170</t>
  </si>
  <si>
    <t>Pouzdro skluzné PF Targon KD186T</t>
  </si>
  <si>
    <t>ZC171</t>
  </si>
  <si>
    <t>Šroub antirotační PF Targon KD208T</t>
  </si>
  <si>
    <t>ZC173</t>
  </si>
  <si>
    <t>Šroub skluzný PF 10,5 x 70 mm Targon KD115T</t>
  </si>
  <si>
    <t>ZC182</t>
  </si>
  <si>
    <t>Šroub antirotační Targon KD207T</t>
  </si>
  <si>
    <t>ZC187</t>
  </si>
  <si>
    <t>Šroub antirotační Targon KD205T</t>
  </si>
  <si>
    <t>ZC207</t>
  </si>
  <si>
    <t>Šroub kortikální 1.5 mm 200.813</t>
  </si>
  <si>
    <t>ZC208</t>
  </si>
  <si>
    <t>Šroub kortikální 1.5 mm 200.811</t>
  </si>
  <si>
    <t>ZC223</t>
  </si>
  <si>
    <t>Šroub fixační PH 4,5 mm Targon KB078T</t>
  </si>
  <si>
    <t>ZC226</t>
  </si>
  <si>
    <t>Šroub fixační PH 4,5 mm Targon KB084T</t>
  </si>
  <si>
    <t>ZC230</t>
  </si>
  <si>
    <t>Šroub fixační PH 4,5 mm Targon KB080T</t>
  </si>
  <si>
    <t>ZC231</t>
  </si>
  <si>
    <t>Šroub fixační PH 4,5 mm Targon KB082T</t>
  </si>
  <si>
    <t>ZC240</t>
  </si>
  <si>
    <t>Šroub zajišťovací 4,5 mm Targon KB336T</t>
  </si>
  <si>
    <t>ZC241</t>
  </si>
  <si>
    <t>Šroub zajišťovací 4,5 mm Targon KB340T</t>
  </si>
  <si>
    <t>ZC270</t>
  </si>
  <si>
    <t>Šroub kortikální 1.5 mm 200.814</t>
  </si>
  <si>
    <t>ZC283</t>
  </si>
  <si>
    <t>Pouzdro skluzné PF Targon KD184T</t>
  </si>
  <si>
    <t>ZC421</t>
  </si>
  <si>
    <t>Šroub kortikální 3.5 mm 204.820</t>
  </si>
  <si>
    <t>ZC437</t>
  </si>
  <si>
    <t>Šroub kortikální 3.5 mm 204.822</t>
  </si>
  <si>
    <t>ZC707</t>
  </si>
  <si>
    <t>Hřeb PF 180, 135° Targon KD044T</t>
  </si>
  <si>
    <t>ZD074</t>
  </si>
  <si>
    <t>Šroub zajišťovací 3,5 mm 213.035</t>
  </si>
  <si>
    <t>ZD197</t>
  </si>
  <si>
    <t>Šroub antirotační Targon KD209T</t>
  </si>
  <si>
    <t>ZD234</t>
  </si>
  <si>
    <t>Dlaha profilu třetiny válce 3,5 s límcem 241.370</t>
  </si>
  <si>
    <t>ZD266</t>
  </si>
  <si>
    <t>Šroub kortikální 3,5x14 mm CS14000</t>
  </si>
  <si>
    <t>ZD267</t>
  </si>
  <si>
    <t>Šroub kortikální 3,5x16 mm CS16000</t>
  </si>
  <si>
    <t>ZD297</t>
  </si>
  <si>
    <t>Hřeb se závity 2,5 x 24 mm TP24000</t>
  </si>
  <si>
    <t>ZD327</t>
  </si>
  <si>
    <t>Šroub kortikální 3,5x12 mm CS12000</t>
  </si>
  <si>
    <t>ZE818</t>
  </si>
  <si>
    <t>Šroub schanzův 5,0 mm 294.785</t>
  </si>
  <si>
    <t>ZF268</t>
  </si>
  <si>
    <t>Šroub kortikální 3,5 mm 204.840</t>
  </si>
  <si>
    <t>ZF282</t>
  </si>
  <si>
    <t>Šroub kortikální 3.5 mm 204.850</t>
  </si>
  <si>
    <t>ZF876</t>
  </si>
  <si>
    <t>Šroub malleolární 4.5 mm 215.045</t>
  </si>
  <si>
    <t>ZG039</t>
  </si>
  <si>
    <t>Šroub schanzův 5,0 mm 294.784</t>
  </si>
  <si>
    <t>ZG044</t>
  </si>
  <si>
    <t>Šroub malleolární 4.5 mm dléka 50/24 mm 215.050</t>
  </si>
  <si>
    <t>ZG119</t>
  </si>
  <si>
    <t>Šroub spongiozní 4.0 mm 207.018</t>
  </si>
  <si>
    <t>ZG246</t>
  </si>
  <si>
    <t>Dlaha LCP distální tibie 3.5 mm mediální 02.112.530</t>
  </si>
  <si>
    <t>ZG254</t>
  </si>
  <si>
    <t>Dlaha profilu třetiny válce 3,5 s límcem 241.380</t>
  </si>
  <si>
    <t>ZG307</t>
  </si>
  <si>
    <t>Drát K-Wire 1,60 mm L150 á 10 ks 292.160.10</t>
  </si>
  <si>
    <t>ZG588</t>
  </si>
  <si>
    <t>Šroub zajišťovací 5,0 mm 04.005.532</t>
  </si>
  <si>
    <t>ZH048</t>
  </si>
  <si>
    <t>Šroub zajišťovací 5,0 mm 04.005.522</t>
  </si>
  <si>
    <t>ZH227</t>
  </si>
  <si>
    <t>Kotvička zavrtávací vstřebatelná 5,5 mm 222233</t>
  </si>
  <si>
    <t>ZH346</t>
  </si>
  <si>
    <t>Šroub schanzův seldrill 4/3 mm L100/20 294.772</t>
  </si>
  <si>
    <t>KG212</t>
  </si>
  <si>
    <t>hřeb PFN pr. 10 130° D240 ocel 273.130</t>
  </si>
  <si>
    <t>KG228</t>
  </si>
  <si>
    <t>hlava zaslepovací expert 0 mm 04.004.000</t>
  </si>
  <si>
    <t>KG288</t>
  </si>
  <si>
    <t>šroub zajišťovací VA pr. 2,4 samořezný D20 04.210.120</t>
  </si>
  <si>
    <t>KG289</t>
  </si>
  <si>
    <t>šroub zajišťovací VA pr. 2,4 samořezný D22 04.210.122</t>
  </si>
  <si>
    <t>KG395</t>
  </si>
  <si>
    <t>šroub zajišťovací stardrive 2,7 mm ( hlava LCP 2.4), délka 12 402.212</t>
  </si>
  <si>
    <t>KG400</t>
  </si>
  <si>
    <t>šroub zajišťovací stardrive 2,7 mm ( hlava LCP 2.4), délka 22 402.222</t>
  </si>
  <si>
    <t>KG402</t>
  </si>
  <si>
    <t>šroub zajišťovací stardrive 2,7 mm ( hlava LCP 2.4), délka 26 402.226</t>
  </si>
  <si>
    <t>KG408</t>
  </si>
  <si>
    <t>šroub zajišťovací stardrive 2,7 mm ( hlava LCP 2.4), délka 38 402.238</t>
  </si>
  <si>
    <t>KG427</t>
  </si>
  <si>
    <t>šroub kortikální pr 3,5 samořezný D14 TI 404.814</t>
  </si>
  <si>
    <t>KG428</t>
  </si>
  <si>
    <t>šroub kortikální pr 3,5 samořezný D16 TI 404.816</t>
  </si>
  <si>
    <t>KG429</t>
  </si>
  <si>
    <t>šroub kortikální pr 3,5 samořezný D18 TI 404.818</t>
  </si>
  <si>
    <t>KG438</t>
  </si>
  <si>
    <t>šroub kortikální pr 3,5 samořezný D45 TI 404.845</t>
  </si>
  <si>
    <t>KG443</t>
  </si>
  <si>
    <t>šroub zajišťovací pr 3,5 samořezný D12 412.102</t>
  </si>
  <si>
    <t>KG445</t>
  </si>
  <si>
    <t>šroub zajišťovací pr 3,5 samořezný D16 412.104</t>
  </si>
  <si>
    <t>KG454</t>
  </si>
  <si>
    <t>šroub zajišťovací pr 3,5 samořezný D40 412.117</t>
  </si>
  <si>
    <t>KG484</t>
  </si>
  <si>
    <t>dlaha DHP 2,7/3,5 dorso-lat pravá 5 otv. 441.264</t>
  </si>
  <si>
    <t>KG498</t>
  </si>
  <si>
    <t>dlaha DHP 2,7/3,5 mediální pravá 3 otv T 441.282</t>
  </si>
  <si>
    <t>KG502</t>
  </si>
  <si>
    <t>dlaha DHP 2,7/3,5 mediální pravá 7 otv T 441.286</t>
  </si>
  <si>
    <t>KG539</t>
  </si>
  <si>
    <t>prut prevotový ten pr 3,0 D440 TAN zlatý 475.930</t>
  </si>
  <si>
    <t>ZA017</t>
  </si>
  <si>
    <t>Šroub kortikální 1.5 mm 200.816</t>
  </si>
  <si>
    <t>ZA021</t>
  </si>
  <si>
    <t>Šroub kortikální 2.0 mm 201.822</t>
  </si>
  <si>
    <t>ZA040</t>
  </si>
  <si>
    <t>Šroub zajišťovací 3,5 mm 213.012</t>
  </si>
  <si>
    <t>ZA042</t>
  </si>
  <si>
    <t>Šroub zajišťovací 3,5 mm 213.018</t>
  </si>
  <si>
    <t>ZA043</t>
  </si>
  <si>
    <t>Šroub zajišťovací 3,5 mm 213.020</t>
  </si>
  <si>
    <t>ZA046</t>
  </si>
  <si>
    <t>Šroub zajišťovací 3.5 mm 213.028</t>
  </si>
  <si>
    <t>ZA048</t>
  </si>
  <si>
    <t>Šroub zajišťovací 3,5 mm 213.038</t>
  </si>
  <si>
    <t>ZA049</t>
  </si>
  <si>
    <t>Šroub zajišťovací 3,5 mm 213.040</t>
  </si>
  <si>
    <t>ZA051</t>
  </si>
  <si>
    <t>Šroub zajišťovací 3,5 mm 213.050</t>
  </si>
  <si>
    <t>ZA056</t>
  </si>
  <si>
    <t>Šroub zajišťovací Stardrive 5,0 mm 212.221</t>
  </si>
  <si>
    <t>ZA070</t>
  </si>
  <si>
    <t>Šroub schanzův 100/30 mm 37102</t>
  </si>
  <si>
    <t>ZA072</t>
  </si>
  <si>
    <t>Šroub bolt zajišťovací 3.9 mm L36 258.360</t>
  </si>
  <si>
    <t>ZA073</t>
  </si>
  <si>
    <t>Šroub bolt zajišťovací 3.9 mm L38 258.380</t>
  </si>
  <si>
    <t>ZA091</t>
  </si>
  <si>
    <t>Podložka pro šroub washer pr.10/4.6 pr. 4.5 219.910</t>
  </si>
  <si>
    <t>ZA129</t>
  </si>
  <si>
    <t>Šroub zajišťovací Stardrive 5,0 mm 212.206</t>
  </si>
  <si>
    <t>ZA131</t>
  </si>
  <si>
    <t>Šroub zajišťovací Stardrive 5,0 mm 212.208</t>
  </si>
  <si>
    <t>ZA134</t>
  </si>
  <si>
    <t>Šroub zajišťovací Stardrive 5,0 mm 212.212</t>
  </si>
  <si>
    <t>ZA296</t>
  </si>
  <si>
    <t>Hřeb PF 220, 135° Targon KD034T</t>
  </si>
  <si>
    <t>ZA298</t>
  </si>
  <si>
    <t>Šroub zajišťovací 4,5 mm Targon KB328T</t>
  </si>
  <si>
    <t>ZA307</t>
  </si>
  <si>
    <t>Hlava zaslepovací DFN pro zajišťovací šrouby 6,0 mm 451.896</t>
  </si>
  <si>
    <t>ZA311</t>
  </si>
  <si>
    <t>Hřeb PH nagel 10/7 Targon KE074T</t>
  </si>
  <si>
    <t>ZA382</t>
  </si>
  <si>
    <t>Šroub kanylovaný canos 3,5 mm 26-433-28-09</t>
  </si>
  <si>
    <t>ZA389</t>
  </si>
  <si>
    <t>Šroub kanylovaný canos 3,5 mm 26-433-42-09</t>
  </si>
  <si>
    <t>ZA391</t>
  </si>
  <si>
    <t>Šroub kanylovaný canos 3,5 mm 26-433-48-09</t>
  </si>
  <si>
    <t>ZA770</t>
  </si>
  <si>
    <t>Šroub kanylovaný 3.5 mm 205.038</t>
  </si>
  <si>
    <t>ZB348</t>
  </si>
  <si>
    <t>Šroub OTPS PIN 2,0x50 mm PIN-2050</t>
  </si>
  <si>
    <t>ZB716</t>
  </si>
  <si>
    <t>Šroub kortikální 3.5 mm 204.836</t>
  </si>
  <si>
    <t>ZC007</t>
  </si>
  <si>
    <t>Šroub kortikální 3.5 mm 204.828</t>
  </si>
  <si>
    <t>ZC094</t>
  </si>
  <si>
    <t xml:space="preserve">Šroub zajišťovací 3.5 mm, délka 85 mm 02.127.185            </t>
  </si>
  <si>
    <t>ZC139</t>
  </si>
  <si>
    <t>Šroub zajišťovací 4,0 mm 04.005.430</t>
  </si>
  <si>
    <t>ZC168</t>
  </si>
  <si>
    <t>Pouzdro skluzné PF Targon KD183T</t>
  </si>
  <si>
    <t>ZC172</t>
  </si>
  <si>
    <t>Pouzdro skluzné PF Targon KD187T</t>
  </si>
  <si>
    <t>ZC203</t>
  </si>
  <si>
    <t>Dlaha LC-DCP 2.0 mm 7 otvorů 243.587</t>
  </si>
  <si>
    <t>ZC221</t>
  </si>
  <si>
    <t>Podložka pro šroub washer pr.7.0/3.6 f/Scr pr.2.7-4 219.980</t>
  </si>
  <si>
    <t>ZC268</t>
  </si>
  <si>
    <t>Šroub fixační PH 4,5 mm Targon KB086T</t>
  </si>
  <si>
    <t>ZC269</t>
  </si>
  <si>
    <t>Šroub zajišťovací 3,5 mm 213.014</t>
  </si>
  <si>
    <t>ZC271</t>
  </si>
  <si>
    <t>Šroub kortikální 1.5 mm 200.807</t>
  </si>
  <si>
    <t>ZC282</t>
  </si>
  <si>
    <t>Šroub antirotační PF Targon KD206T</t>
  </si>
  <si>
    <t>ZC349</t>
  </si>
  <si>
    <t>Šroub kortikální 3.5 mm 204.826</t>
  </si>
  <si>
    <t>ZC420</t>
  </si>
  <si>
    <t>Šroub kortikální 3.5 mm 204.830</t>
  </si>
  <si>
    <t>ZC504</t>
  </si>
  <si>
    <t>Šroub kortikální 3.5 mm 204.842</t>
  </si>
  <si>
    <t>ZC909</t>
  </si>
  <si>
    <t>Šroub zajišťovací 4,0 mm 04.005.432</t>
  </si>
  <si>
    <t>ZC996</t>
  </si>
  <si>
    <t>Hřeb PF 180, 135° Targon KD004T</t>
  </si>
  <si>
    <t>ZD073</t>
  </si>
  <si>
    <t>Šroub zajišťovací 4,5 mm Targon KB344T</t>
  </si>
  <si>
    <t>ZD276</t>
  </si>
  <si>
    <t>Šroub zamykatelný 2,5 x 20 mm FP20</t>
  </si>
  <si>
    <t>ZD298</t>
  </si>
  <si>
    <t>Hřeb se závity 2,5 x 28 mm TP28000</t>
  </si>
  <si>
    <t>ZD328</t>
  </si>
  <si>
    <t>Šroub zamykatelný 2,5 x 22 mm FP22</t>
  </si>
  <si>
    <t>ZD372</t>
  </si>
  <si>
    <t>Šroub zajišťovací 3,5 mm 213.032</t>
  </si>
  <si>
    <t>ZD451</t>
  </si>
  <si>
    <t>Šroub kortikální 3,5 x 10 mm CS10000</t>
  </si>
  <si>
    <t>ZD571</t>
  </si>
  <si>
    <t>Hřeb PF nagel 10 mm 130° Targon KD067T</t>
  </si>
  <si>
    <t>ZE296</t>
  </si>
  <si>
    <t>Šroub kortikální 3 mm/18 mm stabilní 716-110-030-018</t>
  </si>
  <si>
    <t>ZE297</t>
  </si>
  <si>
    <t>Šroub kortikální 3 mm/16 mm stabilní 716-110-030-016</t>
  </si>
  <si>
    <t>ZE301</t>
  </si>
  <si>
    <t>Šroub kortikální 3 mm/20 mm nestabilní 716-115-030-020</t>
  </si>
  <si>
    <t>ZE333</t>
  </si>
  <si>
    <t>Šroub kortikální 3 mm/14 mm stabilní 716-110-030-014</t>
  </si>
  <si>
    <t>ZE819</t>
  </si>
  <si>
    <t>Šroub schanzův 5,0 mm 294.786</t>
  </si>
  <si>
    <t>ZE997</t>
  </si>
  <si>
    <t>Hřeb DFN femorální distální 12,0 mm L340 451.827</t>
  </si>
  <si>
    <t>ZF095</t>
  </si>
  <si>
    <t>Šroub kanylovaný canos 3,5 mm 26-433-24-09</t>
  </si>
  <si>
    <t>ZF281</t>
  </si>
  <si>
    <t>Šroub kortikální 3,5 mm 204.838</t>
  </si>
  <si>
    <t>ZF348</t>
  </si>
  <si>
    <t>Dlaha na hlavičku rádia 2.0 Buttres Plate A-4656.69</t>
  </si>
  <si>
    <t>ZF519</t>
  </si>
  <si>
    <t>Šroub kortikální 3,5 mm 204.860</t>
  </si>
  <si>
    <t>ZF537</t>
  </si>
  <si>
    <t>Šroub kortikální 3 mm/40 mm nestabilní 716-115-030-040</t>
  </si>
  <si>
    <t>ZF836</t>
  </si>
  <si>
    <t>Šroub bolt zajišťovací 3.9 mm L32 258.320</t>
  </si>
  <si>
    <t>ZF852</t>
  </si>
  <si>
    <t>Drát K-Wire 2,50 mm L280 á 10 ks 292.260.10</t>
  </si>
  <si>
    <t>ZF858</t>
  </si>
  <si>
    <t xml:space="preserve">Šroub kortikální délka 14 mm 26-906-14-09 </t>
  </si>
  <si>
    <t>ZF870</t>
  </si>
  <si>
    <t>Šroub kortikální 3,5 mm 204.834</t>
  </si>
  <si>
    <t>ZF871</t>
  </si>
  <si>
    <t>Šroub kortikální 3,5 mm 204.848</t>
  </si>
  <si>
    <t>ZF895</t>
  </si>
  <si>
    <t xml:space="preserve">Šroub kompresní HBS2 mini délka 23 mm 26-820-23-09   </t>
  </si>
  <si>
    <t>ZF951</t>
  </si>
  <si>
    <t xml:space="preserve">Dlaha radiální IXOS P4 wave 26-914-22-09 </t>
  </si>
  <si>
    <t>ZF952</t>
  </si>
  <si>
    <t xml:space="preserve">Šroub kortikální délka 16 mm 26-906-16-09  </t>
  </si>
  <si>
    <t>ZG096</t>
  </si>
  <si>
    <t>Šroub kanylovaný 4.5 mm 214.446</t>
  </si>
  <si>
    <t>ZG118</t>
  </si>
  <si>
    <t>Šroub spongiozní 4.0 mm 207.016</t>
  </si>
  <si>
    <t>ZG176</t>
  </si>
  <si>
    <t>Šroub kortikální 3 mm/40 mm stabilní 716-110-030-040</t>
  </si>
  <si>
    <t>ZG251</t>
  </si>
  <si>
    <t>Šroub bolt zajišťovací 3.9 mm L34 258.340</t>
  </si>
  <si>
    <t>ZG338</t>
  </si>
  <si>
    <t>Podložka washer 13.0/6.6 mm 419.990</t>
  </si>
  <si>
    <t>ZG587</t>
  </si>
  <si>
    <t>Šroub zajišťovací 5,0 mm 04.005.530</t>
  </si>
  <si>
    <t>ZG603</t>
  </si>
  <si>
    <t>Šroub spongiozní 3 mm/18 mm stabilní 716-100-030-018</t>
  </si>
  <si>
    <t>ZG746</t>
  </si>
  <si>
    <t>Šroub zajišťovací plný O5 x 40 mm nesterilní 1896-5040</t>
  </si>
  <si>
    <t>ZG783</t>
  </si>
  <si>
    <t>Dlaha LCP distální tibie mediální bez výběžku 02.112.531</t>
  </si>
  <si>
    <t>ZG808</t>
  </si>
  <si>
    <t>Šroub zajišťovací 5,0 mm 04.005.546</t>
  </si>
  <si>
    <t>ZG813</t>
  </si>
  <si>
    <t>Šroub DFN zajišťovací 6,0 mm L50 450.862</t>
  </si>
  <si>
    <t>ZG910</t>
  </si>
  <si>
    <t>Šroub kanylovaný 6.5 mm L75/32 408.437</t>
  </si>
  <si>
    <t>ZH002</t>
  </si>
  <si>
    <t>Čep zajišťovací 3.9 mm L40 458.400</t>
  </si>
  <si>
    <t>ZH041</t>
  </si>
  <si>
    <t>Šroub zajišťovací 5,0 mm 04.005.526</t>
  </si>
  <si>
    <t>ZH047</t>
  </si>
  <si>
    <t xml:space="preserve">Šroub zajišťovací 3,5 mm 213.024 </t>
  </si>
  <si>
    <t>ZH053</t>
  </si>
  <si>
    <t>Dlaha LC-DCP 3.5 mm 9 otvorů 223.590</t>
  </si>
  <si>
    <t>ZH177</t>
  </si>
  <si>
    <t>Šroub kanylovaný 6.5 mm L80/32 408.438</t>
  </si>
  <si>
    <t>ZH629</t>
  </si>
  <si>
    <t>Hřeb do klíční kosti HCPS pin statický  2.8 x 200 zelený 705-170-028-200</t>
  </si>
  <si>
    <t>ZH636</t>
  </si>
  <si>
    <t>Šroub kortikální 3 mm/34 mm stabilní 716-110-030-034</t>
  </si>
  <si>
    <t>ZH637</t>
  </si>
  <si>
    <t>Šroub kortikální 3 mm/36 mm stabilní 716-110-030-036</t>
  </si>
  <si>
    <t>ZH692</t>
  </si>
  <si>
    <t>Dlaha LCP na laterální distální fibulu 04.112.139</t>
  </si>
  <si>
    <t>ZH723</t>
  </si>
  <si>
    <t xml:space="preserve">Šroub nosný O10,5 x 115 mm 3060-0115S </t>
  </si>
  <si>
    <t>ZH779</t>
  </si>
  <si>
    <t>Šroub zamykací HD7 2,5 x 14 mm A-5750.14/1</t>
  </si>
  <si>
    <t>ZH781</t>
  </si>
  <si>
    <t>Šroub zamykací HD7 2,5 x 18 mm A-5750.18/1</t>
  </si>
  <si>
    <t>ZH782</t>
  </si>
  <si>
    <t>Šroub zamykací HD7 2,5 x 22 mm A-5750.22/1</t>
  </si>
  <si>
    <t>ZH783</t>
  </si>
  <si>
    <t>Šroub kortikální HD7 2,5 délka 14 mm DA-5700.14</t>
  </si>
  <si>
    <t>ZH847</t>
  </si>
  <si>
    <t>Šroub kortikální HD7 2,5 délka 16 mm A-5700.16/1</t>
  </si>
  <si>
    <t>ZH848</t>
  </si>
  <si>
    <t>Šroub kortikální HD7 2,5 délka 12 mm DA-5700.12</t>
  </si>
  <si>
    <t>ZH849</t>
  </si>
  <si>
    <t>Šroub zamykací HD7 2,5 x 20 mm A-5750.20/1</t>
  </si>
  <si>
    <t>ZI078</t>
  </si>
  <si>
    <t>Šroub zajišťovací pr. 4,5 mm KB380T</t>
  </si>
  <si>
    <t>ZI136</t>
  </si>
  <si>
    <t>Šroub kanylovaný 6.5 mm L110/32 408.444</t>
  </si>
  <si>
    <t>ZI218</t>
  </si>
  <si>
    <t>Šroub zamykací HD7 2,5 x 24 mm A-5750.24/1</t>
  </si>
  <si>
    <t>ZI222</t>
  </si>
  <si>
    <t>Šroub zamykatelný HD6 2,0 x 16 mm A-5450.16/1</t>
  </si>
  <si>
    <t>ZI223</t>
  </si>
  <si>
    <t xml:space="preserve">Šroub zamykatelný HD6 2,0 x 18 mm A-5450.18/1 </t>
  </si>
  <si>
    <t>ZI311</t>
  </si>
  <si>
    <t>Čep zajišťovací 4.9 mm L32 459.320</t>
  </si>
  <si>
    <t>ZI329</t>
  </si>
  <si>
    <t>Dlaha LCP proximální tibie 4.5/5.0 4 otv. 240.037</t>
  </si>
  <si>
    <t>ZI393</t>
  </si>
  <si>
    <t>Dlaha volární 2.5 adaptivní pravá A-4750.62</t>
  </si>
  <si>
    <t>ZI459</t>
  </si>
  <si>
    <t>Šroub zajišťovací 5,0 mm 04.005.534</t>
  </si>
  <si>
    <t>ZI857</t>
  </si>
  <si>
    <t>Hlava expert zaslepovací pr. 12.0 mm kanylovaná prodloužení  0 mm pro LFN 04.003.000</t>
  </si>
  <si>
    <t>ZI945</t>
  </si>
  <si>
    <t>Šroub zajišťovací VA stardrive 3,5 mm samořezný 02.127.132</t>
  </si>
  <si>
    <t>ZJ772</t>
  </si>
  <si>
    <t>Šroub zamykací HD7 2,5 x 12 mm A-5750.12/1</t>
  </si>
  <si>
    <t>ZK392</t>
  </si>
  <si>
    <t>Dlaha LCP distální tibie 3.5 mm mediální bez výběžku 02.112.515</t>
  </si>
  <si>
    <t>ZK689</t>
  </si>
  <si>
    <t>Dlaha LCP metafizární distální bérec 3.5/4.5/5.0 mm 224.776</t>
  </si>
  <si>
    <t>ZK738</t>
  </si>
  <si>
    <t>Šroub milagro interferenční vstřebatelný 9x30 mm 231825</t>
  </si>
  <si>
    <t>ZK742</t>
  </si>
  <si>
    <t>Šroub zajišťovací VA stardrive 3,5mm 02.127.165</t>
  </si>
  <si>
    <t>ZK743</t>
  </si>
  <si>
    <t>Šroub zajišťovací VA stardrive 3,5mm 02.127.170</t>
  </si>
  <si>
    <t>ZK802</t>
  </si>
  <si>
    <t>Hlava expert zaslepovací pr.12 mm 04.003.002</t>
  </si>
  <si>
    <t>ZK867</t>
  </si>
  <si>
    <t>Šroub schanzův hydroxiapatit 6,0 mm R99612640</t>
  </si>
  <si>
    <t>ZK886</t>
  </si>
  <si>
    <t>Šroub zamykatelný délka 14 mm 26-905-14-09</t>
  </si>
  <si>
    <t>ZK910</t>
  </si>
  <si>
    <t>Šroub zamykatelný délka 16 mm 26-905-16-09</t>
  </si>
  <si>
    <t>ZK911</t>
  </si>
  <si>
    <t xml:space="preserve">Dlaha radiální IXOS P4 titan 26-914-10-09 </t>
  </si>
  <si>
    <t>ZK985</t>
  </si>
  <si>
    <t>Šroub zamykatelný délka 18 mm 26-905-18-09</t>
  </si>
  <si>
    <t>ZK993</t>
  </si>
  <si>
    <t>Šroub zamykatelný délka 20 mm 26-905-20-09</t>
  </si>
  <si>
    <t>ZL003</t>
  </si>
  <si>
    <t xml:space="preserve">Šroub zajišťovací VA stradrive 3,5 mm samořezný 02.127.134 </t>
  </si>
  <si>
    <t>ZL004</t>
  </si>
  <si>
    <t xml:space="preserve">Šroub zajišťovací 3.5 mm, délka 40 mm 02.127.140 </t>
  </si>
  <si>
    <t>ZL005</t>
  </si>
  <si>
    <t xml:space="preserve">Šroub zajišťovací 3.5 mm, délka 80 mm 02.127.180            </t>
  </si>
  <si>
    <t>ZL009</t>
  </si>
  <si>
    <t>Šroub zamykatelný délka 22 mm 26-905-22-09</t>
  </si>
  <si>
    <t>ZL024</t>
  </si>
  <si>
    <t>Šroub zamykatelný délka 24 mm 26-905-24-09</t>
  </si>
  <si>
    <t>ZL171</t>
  </si>
  <si>
    <t xml:space="preserve">Kotva Omnispan na meniscus 0° 228140 </t>
  </si>
  <si>
    <t>ZL298</t>
  </si>
  <si>
    <t xml:space="preserve">Kotva Omnispan na meniscus 12° 228141 </t>
  </si>
  <si>
    <t>ZL391</t>
  </si>
  <si>
    <t xml:space="preserve">Dlaha pro distální ulnu Y 2/5 otvorů A-4750.91  </t>
  </si>
  <si>
    <t>ZL477</t>
  </si>
  <si>
    <t>Dlaha hřbetní H 2.5 pro distální radius levá A-4750.13</t>
  </si>
  <si>
    <t>ZL478</t>
  </si>
  <si>
    <t>Dlaha VA-LCP 3.5 mm proximální tibie 02.127.211</t>
  </si>
  <si>
    <t>ZL479</t>
  </si>
  <si>
    <t>Šroub zajišťovací VA stardrive 3,5 mm samořezný 02.127.136</t>
  </si>
  <si>
    <t>KG544</t>
  </si>
  <si>
    <t>drát vodící 3,2 D400 357.399</t>
  </si>
  <si>
    <t>ZC276</t>
  </si>
  <si>
    <t>Čep zajišťovací 4.9 mm L30 459.300</t>
  </si>
  <si>
    <t>ZD921</t>
  </si>
  <si>
    <t>Dlaha anatomická DVR DVRAXL</t>
  </si>
  <si>
    <t>ZI713</t>
  </si>
  <si>
    <t>Šroub DFN zajišťovací 5,5 mm L55 450.863</t>
  </si>
  <si>
    <t>ZK881</t>
  </si>
  <si>
    <t>Šroub kompresní HBS2 délka 20 mm 26-800-20-09</t>
  </si>
  <si>
    <t>ZG066</t>
  </si>
  <si>
    <t>Drát K-Wire 2,50 mm L150 á 10 ks 292.250.10</t>
  </si>
  <si>
    <t>ZG300</t>
  </si>
  <si>
    <t>Dlaha rekonstrukční 3.5 245.000</t>
  </si>
  <si>
    <t>ZA984</t>
  </si>
  <si>
    <t>Šroub kortikální 3.5 mm 204.832</t>
  </si>
  <si>
    <t>ZD319</t>
  </si>
  <si>
    <t>Dlaha LCP 4,5/5,0 mm 10 otvorů 226.601</t>
  </si>
  <si>
    <t>ZH657</t>
  </si>
  <si>
    <t xml:space="preserve">Šroub spongiosní 22/9 mm 207.022 </t>
  </si>
  <si>
    <t>ZA020</t>
  </si>
  <si>
    <t>Šroub kortikální 2.0 mm 201.818</t>
  </si>
  <si>
    <t>ZD320</t>
  </si>
  <si>
    <t>Dlaha LCP 4,5/5,0 mm 8 otvorů 226.581</t>
  </si>
  <si>
    <t>ZJ000</t>
  </si>
  <si>
    <t>Šroub expert zajišťovací pro hřeby pr.5.0mm 04.005.554</t>
  </si>
  <si>
    <t>ZE807</t>
  </si>
  <si>
    <t>Šroub kortikální 3 mm/26 mm nestabilní 716-115-030-026</t>
  </si>
  <si>
    <t>ZK934</t>
  </si>
  <si>
    <t>Šroub kompresní HBS2 délka 30 mm 26-800-30-09</t>
  </si>
  <si>
    <t>ZC146</t>
  </si>
  <si>
    <t>Šroub kortikální 2.0 mm 201.820</t>
  </si>
  <si>
    <t>ZD398</t>
  </si>
  <si>
    <t>Dlaha anatomická DVR DVRAWR</t>
  </si>
  <si>
    <t>ZA385</t>
  </si>
  <si>
    <t>Šroub kanylovaný canos 3,5 mm 26-433-34-09</t>
  </si>
  <si>
    <t>KG435</t>
  </si>
  <si>
    <t>šroub kortikální pr 3,5 samořezný D30 TI 404.830</t>
  </si>
  <si>
    <t>ZI307</t>
  </si>
  <si>
    <t>Dlaha LCP distální tibie 3.5 mm mediální bez výběžku 02.112.527</t>
  </si>
  <si>
    <t>ZC180</t>
  </si>
  <si>
    <t>Hřeb PF 220, 135° Targon KD014T</t>
  </si>
  <si>
    <t>ZH694</t>
  </si>
  <si>
    <t>Dlaha LCP 2.7/3.5 laterální distální na fibulu 04.112.141</t>
  </si>
  <si>
    <t>ZA157</t>
  </si>
  <si>
    <t>Hlava zaslepovací expert 10 mm 04.004.002</t>
  </si>
  <si>
    <t>ZB601</t>
  </si>
  <si>
    <t>Čep zajišťovací 4.9 mm L38 459.380</t>
  </si>
  <si>
    <t>ZL242</t>
  </si>
  <si>
    <t>Dlaha LCP distální tibie 3.5 mm mediální bez výběžku 02.112.522</t>
  </si>
  <si>
    <t>ZD555</t>
  </si>
  <si>
    <t xml:space="preserve">kotvička mitek mini 2/0 TMplus 212033 </t>
  </si>
  <si>
    <t>ZK912</t>
  </si>
  <si>
    <t>Šroub zamykatelný délka 17 mm 26-905-17-09</t>
  </si>
  <si>
    <t>ZK903</t>
  </si>
  <si>
    <t>Šroub zamykatelný délka 15 mm 26-905-15-09</t>
  </si>
  <si>
    <t>ZK984</t>
  </si>
  <si>
    <t xml:space="preserve">Dlaha radiální IXOS P2 titan 26-912-13-09 </t>
  </si>
  <si>
    <t>ZF568</t>
  </si>
  <si>
    <t>Hřeb DFN femorální distální 9,0 mm L420 451.711</t>
  </si>
  <si>
    <t>ZE281</t>
  </si>
  <si>
    <t>Šroub zajišťovací VA stardrive 3,5 mm samořezný 02.127.138</t>
  </si>
  <si>
    <t>ZG364</t>
  </si>
  <si>
    <t>Šroub kortikální 1,3 mm 200.687</t>
  </si>
  <si>
    <t>ZC435</t>
  </si>
  <si>
    <t>Vrtulka pro DFN L70 450.886</t>
  </si>
  <si>
    <t>ZE651</t>
  </si>
  <si>
    <t>Hřeb DFN femorální distální 10,0 mm L300 451.725</t>
  </si>
  <si>
    <t>ZK687</t>
  </si>
  <si>
    <t>Dlaha LCP metafizární distální bérec 3.5/4.5/5.0 mm 224.816</t>
  </si>
  <si>
    <t>ZG241</t>
  </si>
  <si>
    <t>Šroub bolt zajišťovací 3.9 mm L30 258.300</t>
  </si>
  <si>
    <t>ZM196</t>
  </si>
  <si>
    <t>Dlaha VA-LCP 3.5 mm na proximální tibii levá 4 otvory délka 87 mm ocel  02.127.311</t>
  </si>
  <si>
    <t>ZI867</t>
  </si>
  <si>
    <t>Dlaha LCP 3,5 mm háčková pravá 5 otvorů 441.084</t>
  </si>
  <si>
    <t>ZM172</t>
  </si>
  <si>
    <t>Dlaha extra artikulární levá A-4750.71</t>
  </si>
  <si>
    <t>ZC238</t>
  </si>
  <si>
    <t>Šroub zamykatelný délka 25 mm titan 26-906-12-09</t>
  </si>
  <si>
    <t>ZB390</t>
  </si>
  <si>
    <t>Šroub zamykatelný délka 25 mm titan 26-905-12-09</t>
  </si>
  <si>
    <t>ZC256</t>
  </si>
  <si>
    <t>Dlaha VA-LCP 3.5 mm proximální tibie 10 otv. pravá 02.127.240</t>
  </si>
  <si>
    <t>ZK734</t>
  </si>
  <si>
    <t>Hřeb expert femorální laterální pr.10 mm 04.003.257</t>
  </si>
  <si>
    <t>KG183</t>
  </si>
  <si>
    <t>šroub antirotační pr. 6,5 samořezný 234.075</t>
  </si>
  <si>
    <t>ZF993</t>
  </si>
  <si>
    <t>Šroub kanylovaný 4.5 mm 214.672</t>
  </si>
  <si>
    <t>ZD959</t>
  </si>
  <si>
    <t>Šroub spojovací pro UTN 356.542</t>
  </si>
  <si>
    <t>ZC807</t>
  </si>
  <si>
    <t>Šroub zajišťovací 4,0 mm 04.005.426</t>
  </si>
  <si>
    <t>ZF856</t>
  </si>
  <si>
    <t>Šroub zamykatelný délka 26 mm 26-905-26-09</t>
  </si>
  <si>
    <t>ZH896</t>
  </si>
  <si>
    <t>Šroub spongiózní pr. 6.5 mm délka 80/16 mm ocel 216.080</t>
  </si>
  <si>
    <t>ZG705</t>
  </si>
  <si>
    <t>Šroub kanylovaný 4.5 mm 214.668</t>
  </si>
  <si>
    <t>KG434</t>
  </si>
  <si>
    <t>šroub kortikální pr 3,5 samořezný D28 TI 404.828</t>
  </si>
  <si>
    <t>ZI231</t>
  </si>
  <si>
    <t>Hřeb proximální femur KD065T</t>
  </si>
  <si>
    <t>ZL023</t>
  </si>
  <si>
    <t xml:space="preserve">Dlaha radiální IXOS P4 titan 26-914-14-09 </t>
  </si>
  <si>
    <t>ZD575</t>
  </si>
  <si>
    <t>Dlaha profilu třetiny válce 3,5 - 6 otv. 241.360</t>
  </si>
  <si>
    <t>ZK986</t>
  </si>
  <si>
    <t>Šroub kompresní HBS2 délka 22 mm 26-810-22-09</t>
  </si>
  <si>
    <t>KG245</t>
  </si>
  <si>
    <t>hřeb expert TN pr. 12 kanylovaný D330 TAN 04.004.646</t>
  </si>
  <si>
    <t>ZC192</t>
  </si>
  <si>
    <t>Šroub zajišťovací 4,0 mm 04.005.422</t>
  </si>
  <si>
    <t>KG431</t>
  </si>
  <si>
    <t>šroub kortikální pr 3,5 samořezný D22 TI 404.822</t>
  </si>
  <si>
    <t>KG447</t>
  </si>
  <si>
    <t>šroub zajišťovací pr 3,5 samořezný D20 412.106</t>
  </si>
  <si>
    <t>ZB886</t>
  </si>
  <si>
    <t>Šroub zajišťovací VA stardrive 3,5 mm 02.127.114</t>
  </si>
  <si>
    <t>KG476</t>
  </si>
  <si>
    <t>dlaha LCP 3,5 na olekranon levá 4 otv. D 436.505</t>
  </si>
  <si>
    <t>KG446</t>
  </si>
  <si>
    <t>šroub zajišťovací pr 3,5 samořezný D18 412.105</t>
  </si>
  <si>
    <t>KG261</t>
  </si>
  <si>
    <t>hřeb TN pr. 9 masivní D330 TAN 04.024.346</t>
  </si>
  <si>
    <t>ZJ104</t>
  </si>
  <si>
    <t>Šroub kortikální HD6 2,0 mm délka 14 mm A-5400.14/1</t>
  </si>
  <si>
    <t>ZD025</t>
  </si>
  <si>
    <t>Šroub zajišťovací 3,5 mm 213.030</t>
  </si>
  <si>
    <t>KG537</t>
  </si>
  <si>
    <t>prut prevotový ten pr 2,0 D440 TAN zelený 475.920</t>
  </si>
  <si>
    <t>KG396</t>
  </si>
  <si>
    <t>šroub zajišťovací stardrive 2,7 mm ( hlava LCP 2.4), délka 14 402.214</t>
  </si>
  <si>
    <t>ZI688</t>
  </si>
  <si>
    <t>Šroub zamykací HD7 2,5 x 10 mm A-5750.10/1</t>
  </si>
  <si>
    <t>ZL480</t>
  </si>
  <si>
    <t>Šroub zajišťovací VA stardrive 3,5mm 02.127.160</t>
  </si>
  <si>
    <t>ZH780</t>
  </si>
  <si>
    <t>Šroub zamykací HD7 2,5 x 16 mm A-5750.16/1</t>
  </si>
  <si>
    <t>ZI804</t>
  </si>
  <si>
    <t>Šroub schanzův 70/30 mm 37101</t>
  </si>
  <si>
    <t>ZF875</t>
  </si>
  <si>
    <t>Šroub spongiosní 4.0 mm 207.020</t>
  </si>
  <si>
    <t>ZA970</t>
  </si>
  <si>
    <t>Dlaha VA-LCP 3.5 mm na proximální tibii pravá 8 otvory délka 147 mm ocel  02.127.330</t>
  </si>
  <si>
    <t>ZD514</t>
  </si>
  <si>
    <t>Hřeb se závity 2,5 x 16 mm TP16000</t>
  </si>
  <si>
    <t>ZF094</t>
  </si>
  <si>
    <t>Šroub kanylovaný canos 3,5 mm 26-433-20-09</t>
  </si>
  <si>
    <t>ZK935</t>
  </si>
  <si>
    <t>Šroub kompresní HBS2 délka 20 mm 26-810-24-09</t>
  </si>
  <si>
    <t>ZC225</t>
  </si>
  <si>
    <t>Šroub zajišťovací 3,5 mm Targon KB527T</t>
  </si>
  <si>
    <t>ZC215</t>
  </si>
  <si>
    <t>Šroub zajišťovací 3,5 mm Targon KB524T</t>
  </si>
  <si>
    <t>ZD339</t>
  </si>
  <si>
    <t>Dlaha LCP patní 241.623</t>
  </si>
  <si>
    <t>ZC224</t>
  </si>
  <si>
    <t>Hřeb PH 10/8 Targon KE054T</t>
  </si>
  <si>
    <t>ZD199</t>
  </si>
  <si>
    <t>Šroub zajišťovací VA stardrive 3,5 mm 02.127.190</t>
  </si>
  <si>
    <t>ZL094</t>
  </si>
  <si>
    <t>Šroub zaslepovací targon 0 mm KB610T</t>
  </si>
  <si>
    <t>ZD305</t>
  </si>
  <si>
    <t>Hřeb se závity 2,5 x 20 mm TP20000</t>
  </si>
  <si>
    <t>ZD275</t>
  </si>
  <si>
    <t>Šroub zamykatelný 2,5 x 18 mm FP18</t>
  </si>
  <si>
    <t>ZF877</t>
  </si>
  <si>
    <t xml:space="preserve">Šroub kompresní HBS2 mini délka 20 mm 26-820-20-09   </t>
  </si>
  <si>
    <t>ZA974</t>
  </si>
  <si>
    <t>Šroub zajišťovací 3,5 mm 213.048</t>
  </si>
  <si>
    <t>ZD943</t>
  </si>
  <si>
    <t>Dlaha anatomická DVR DVRAXR</t>
  </si>
  <si>
    <t>ZH334</t>
  </si>
  <si>
    <t>Čepel spirální pro DFN L85 450.889</t>
  </si>
  <si>
    <t>ZG835</t>
  </si>
  <si>
    <t>Dlaha LCP 2,7 / 3,5 mm na přední horní část klavikuly s bočním prodloužením 04.112.010</t>
  </si>
  <si>
    <t>ZF720</t>
  </si>
  <si>
    <t>Šroub kanylovaný canos 3,5 mm 26-433-40-09</t>
  </si>
  <si>
    <t>ZA159</t>
  </si>
  <si>
    <t>Šroub zajišťovací 4,0 mm 04.005.424</t>
  </si>
  <si>
    <t>ZF884</t>
  </si>
  <si>
    <t xml:space="preserve">Šroub kompresní HBS2 mini délka 21 mm 26-820-21-09   </t>
  </si>
  <si>
    <t>ZG120</t>
  </si>
  <si>
    <t>Čep zajišťovací 3.9 mm L40 258.400</t>
  </si>
  <si>
    <t>ZD123</t>
  </si>
  <si>
    <t xml:space="preserve">Hřeb DFN femorální distální pr. 10 mm délka 380 mm titan 451.729  </t>
  </si>
  <si>
    <t>ZA105</t>
  </si>
  <si>
    <t>Šroub bolt zajišťovací 3.9 mm L42 258.420</t>
  </si>
  <si>
    <t>KG432</t>
  </si>
  <si>
    <t>šroub kortikální pr 3,5 samořezný D24 TI 404.824</t>
  </si>
  <si>
    <t>KG536</t>
  </si>
  <si>
    <t>prut prevotový ten pr 1,5 D300 TAN fialový 475.915</t>
  </si>
  <si>
    <t>ZE095</t>
  </si>
  <si>
    <t>Šroub kanylovaný canos 3,5 mm 26-433-26-09</t>
  </si>
  <si>
    <t>ZB412</t>
  </si>
  <si>
    <t>Šroub zamykací HD7 2,5 x   8 mm A-5750.08/1</t>
  </si>
  <si>
    <t>ZG700</t>
  </si>
  <si>
    <t>Dlaha pro fibulu 9 otvorová s háčkem LA09 798-110-101-009</t>
  </si>
  <si>
    <t>ZE042</t>
  </si>
  <si>
    <t>Šroub zajišťovací VA stardrive 3,5 mm 02.127.154</t>
  </si>
  <si>
    <t>KG452</t>
  </si>
  <si>
    <t>šroub zajišťovací pr 3,5 samořezný D30 412.111</t>
  </si>
  <si>
    <t>ZI803</t>
  </si>
  <si>
    <t>Hřeb UHN 7,5 mm L295 462.729</t>
  </si>
  <si>
    <t>ZE106</t>
  </si>
  <si>
    <t>Hřeb PH 10/7 Targon KE076T</t>
  </si>
  <si>
    <t>KG397</t>
  </si>
  <si>
    <t>šroub zajišťovací stardrive 2,7 mm ( hlava LCP 2.4), délka 16 402.216</t>
  </si>
  <si>
    <t>ZA009</t>
  </si>
  <si>
    <t>Dlaha LC-DCP 3.5 mm 7 otvorů 223.570</t>
  </si>
  <si>
    <t>ZB189</t>
  </si>
  <si>
    <t>kotva lupine loop+ancho 210709</t>
  </si>
  <si>
    <t>ZB423</t>
  </si>
  <si>
    <t>Šroub Milagro interferenční  8 x 23 mm 231810</t>
  </si>
  <si>
    <t>ZG834</t>
  </si>
  <si>
    <t>Dlaha LCP 2,7 / 3,5 mm na přední horní část klavikuly s bočním prodloužením 04.112.007</t>
  </si>
  <si>
    <t>ZE279</t>
  </si>
  <si>
    <t>Šroub zajišťovací VA stardrive 3,5mm samořezný délka 50mm ocel 02.127.150</t>
  </si>
  <si>
    <t>ZE780</t>
  </si>
  <si>
    <t>Kotvička mitek mini 4/0 212866</t>
  </si>
  <si>
    <t>ZD269</t>
  </si>
  <si>
    <t>Hřeb se závity 2,5 x 22 mm TP22000</t>
  </si>
  <si>
    <t>ZD595</t>
  </si>
  <si>
    <t>Dlaha anatomická DVR DVRASL</t>
  </si>
  <si>
    <t>ZF645</t>
  </si>
  <si>
    <t>Šroub kortikální 3,0 mm 204.824</t>
  </si>
  <si>
    <t>ZC191</t>
  </si>
  <si>
    <t>Šroub zajišťovací 4,0 mm 04.005.420</t>
  </si>
  <si>
    <t>ZD278</t>
  </si>
  <si>
    <t>Šroub DFN zajišťovací 6,0 mm L85 450.869</t>
  </si>
  <si>
    <t>ZA284</t>
  </si>
  <si>
    <t>Hlava zaslepovací UHN 0 TAN 462.950</t>
  </si>
  <si>
    <t>ZC093</t>
  </si>
  <si>
    <t>Dlaha anatomická DVR DVRAXXL</t>
  </si>
  <si>
    <t>ZA303</t>
  </si>
  <si>
    <t>Šroub DFN zajišťovací 6,0 mm L80 450.868</t>
  </si>
  <si>
    <t>ZA156</t>
  </si>
  <si>
    <t>Hlava zaslepovací expert 5 mm 04.004.001</t>
  </si>
  <si>
    <t>ZA044</t>
  </si>
  <si>
    <t>Šroub zajišťovací 3,5 mm 213.022</t>
  </si>
  <si>
    <t>ZD024</t>
  </si>
  <si>
    <t>Šroub zajišťovací 3,5 mm 213.042</t>
  </si>
  <si>
    <t>ZI595</t>
  </si>
  <si>
    <t xml:space="preserve">Šroub zajišťovací 5,0 mm 04.005.538 </t>
  </si>
  <si>
    <t>ZE300</t>
  </si>
  <si>
    <t>Šroub kortikální 3 mm/18 mm nestabilní 716-115-030-018</t>
  </si>
  <si>
    <t>ZH639</t>
  </si>
  <si>
    <t>Šroub kortikální 3 mm/42 mm stabilní 716-110-030-042</t>
  </si>
  <si>
    <t>ZB814</t>
  </si>
  <si>
    <t>Šroub kortikální 4.5 mm 214.840</t>
  </si>
  <si>
    <t>ZG943</t>
  </si>
  <si>
    <t>Dlaha na olekranon 8 otv. délka 99 mm LA08 730-155-004-008</t>
  </si>
  <si>
    <t>ZG704</t>
  </si>
  <si>
    <t>Šroub kanylovaný 6.5 mm L85/32 408.439</t>
  </si>
  <si>
    <t>ZM114</t>
  </si>
  <si>
    <t>Šroub kortikální stardrive pr. 2.7mm délka 16 mm ocel 202.876</t>
  </si>
  <si>
    <t>ZD793</t>
  </si>
  <si>
    <t>Podložka 3,5 mm 26-435-99-09</t>
  </si>
  <si>
    <t>ZK904</t>
  </si>
  <si>
    <t>Šroub kompresní HBS2 délka 22 mm 26-800-22-09</t>
  </si>
  <si>
    <t>ZI710</t>
  </si>
  <si>
    <t>Dlaha na patu síťkovaná 21 otv. pravá 731-110-001-021</t>
  </si>
  <si>
    <t>ZE439</t>
  </si>
  <si>
    <t>Šroub kortikální 3 mm/26 mm stabilní 716-110-030-026</t>
  </si>
  <si>
    <t>ZG252</t>
  </si>
  <si>
    <t>Šroub kortikální 3 mm/30 mm nestabilní 716-115-030-030</t>
  </si>
  <si>
    <t>KG286</t>
  </si>
  <si>
    <t>šroub zajišťovací VA pr. 2,4 samořezný D16 04.210.116</t>
  </si>
  <si>
    <t>ZA288</t>
  </si>
  <si>
    <t>Drát K-Wire 2,00 mm repoziční 292.410</t>
  </si>
  <si>
    <t>ZA013</t>
  </si>
  <si>
    <t>Šroub kortikální 1.3 mm 200.690</t>
  </si>
  <si>
    <t>ZA053</t>
  </si>
  <si>
    <t>Šroub zajišťovací Stardrive 5,0 mm 212.204</t>
  </si>
  <si>
    <t>ZA135</t>
  </si>
  <si>
    <t>Šroub zajišťovací Stardrive 5,0 mm 212.213</t>
  </si>
  <si>
    <t>ZC503</t>
  </si>
  <si>
    <t>Šroub kortikální 3.5 mm 204.845</t>
  </si>
  <si>
    <t>ZK879</t>
  </si>
  <si>
    <t>Šroub kompresní HBS2 délka 18 mm 26-800-18-09</t>
  </si>
  <si>
    <t>ZC875</t>
  </si>
  <si>
    <t>Dlaha anatomická volární XXL na distální rádius titan DVRAXXR</t>
  </si>
  <si>
    <t>ZA392</t>
  </si>
  <si>
    <t>Šroub kanylovaný canos 3,5 mm 26-433-50-09</t>
  </si>
  <si>
    <t>ZB810</t>
  </si>
  <si>
    <t xml:space="preserve">Šroub kompresní HBS2 mini délka 19 mm krátký závir 26-820-17  </t>
  </si>
  <si>
    <t>ZE989</t>
  </si>
  <si>
    <t>Šroub vstřebatelný interferenční pr. 8 mm délka 25 mm 08CPVI0825</t>
  </si>
  <si>
    <t>ZH505</t>
  </si>
  <si>
    <t>Šroub kanylovaný 4.5 mm 214.456</t>
  </si>
  <si>
    <t>ZL390</t>
  </si>
  <si>
    <t>Dlaha volární 2.5 adaptivní levá A-4750.63</t>
  </si>
  <si>
    <t>ZH784</t>
  </si>
  <si>
    <t>Dlaha volární 2.5 adaptivní levá DA-4750.61</t>
  </si>
  <si>
    <t>ZA139</t>
  </si>
  <si>
    <t>Šroub zajišťovací Stardrive 5,0 mm 212.223</t>
  </si>
  <si>
    <t>KG371</t>
  </si>
  <si>
    <t>šroub kortikální pr 2,4 samořezný D30 TAN 401.780</t>
  </si>
  <si>
    <t>KG276</t>
  </si>
  <si>
    <t>Dlaha VA-LCP 2,4 mm dvoupilířová na distální rádius 04.111.630</t>
  </si>
  <si>
    <t>KG430</t>
  </si>
  <si>
    <t>šroub kortikální pr 3,5 samořezný D20 TI 404.820</t>
  </si>
  <si>
    <t>ZA063</t>
  </si>
  <si>
    <t>Dlaha philos proximální humerus 3.5 3 otv. 241.901</t>
  </si>
  <si>
    <t>ZE437</t>
  </si>
  <si>
    <t>Dlaha na klíční kost 11 otv. 750-100-011-011</t>
  </si>
  <si>
    <t>ZA045</t>
  </si>
  <si>
    <t>Šroub zajišťovací 3,5 mm 213.026</t>
  </si>
  <si>
    <t>ZK924</t>
  </si>
  <si>
    <t>Šroub kompresní HBS2 délka 24 mm 26-810-24-09</t>
  </si>
  <si>
    <t>ZG784</t>
  </si>
  <si>
    <t>Hřeb trochanterický 180 O11 x 180 mm x 130° sada 3130-1180S</t>
  </si>
  <si>
    <t>ZH724</t>
  </si>
  <si>
    <t>Šroub kanylovaný canos 3,5 mm 26-433-46-09</t>
  </si>
  <si>
    <t>ZA024</t>
  </si>
  <si>
    <t>Dlaha adaptační T 2,0 mm 3 otv. 243.231</t>
  </si>
  <si>
    <t>ZC988</t>
  </si>
  <si>
    <t>Šroub bolt zajišťovací 3.9 mm L46 258.460</t>
  </si>
  <si>
    <t>ZC708</t>
  </si>
  <si>
    <t>Pouzdro skluzné PF Targon KD189T</t>
  </si>
  <si>
    <t>ZE094</t>
  </si>
  <si>
    <t>Šroub kanylovaný canos 3,5 mm 26-433-22-09</t>
  </si>
  <si>
    <t>ZF850</t>
  </si>
  <si>
    <t>Drát K-Wire 1,80 mm L280 á 10 ks 292.190.10</t>
  </si>
  <si>
    <t>ZH494</t>
  </si>
  <si>
    <t xml:space="preserve">Šroub kompresní HBS2 mini délka 20 mm 26-830-20-09   </t>
  </si>
  <si>
    <t>ZG260</t>
  </si>
  <si>
    <t>Šroub bolt zajišťovací 3.9 mm L44 258.440</t>
  </si>
  <si>
    <t>ZA384</t>
  </si>
  <si>
    <t>Šroub kanylovaný canos 3,5 mm 26-433-32-09</t>
  </si>
  <si>
    <t>ZA393</t>
  </si>
  <si>
    <t>Drát vodící 1,6 mm bal. á 10 ks 26-451-00-07</t>
  </si>
  <si>
    <t>ZF573</t>
  </si>
  <si>
    <t>Šroub kortikální 3.5 mm 404.840</t>
  </si>
  <si>
    <t>ZH247</t>
  </si>
  <si>
    <t>Šroub kortikální 3 mm/36 mm nestabilní 716-115-030-036</t>
  </si>
  <si>
    <t>ZF070</t>
  </si>
  <si>
    <t>Drát K repoziční 2,00 mm délka 350 mm 292.400</t>
  </si>
  <si>
    <t>ZA054</t>
  </si>
  <si>
    <t>Šroub zajišťovací Stardrive 5,0 mm 212.209</t>
  </si>
  <si>
    <t>KG287</t>
  </si>
  <si>
    <t>šroub zajišťovací VA pr. 2,4 samořezný D18 04.210.118</t>
  </si>
  <si>
    <t>ZB938</t>
  </si>
  <si>
    <t>Hřeb se závity 2,5 x 26 mm TP26000</t>
  </si>
  <si>
    <t>ZG785</t>
  </si>
  <si>
    <t>Hlava zaslepovací gamma 3 3005-1100S</t>
  </si>
  <si>
    <t>ZI936</t>
  </si>
  <si>
    <t>Šroub zajišťovací 5.0 mm 04.005.558</t>
  </si>
  <si>
    <t>ZK331</t>
  </si>
  <si>
    <t>Šroub kortikální HD7 2,5 délka 10 mm A-5700.10/1</t>
  </si>
  <si>
    <t>ZL031</t>
  </si>
  <si>
    <t>Šroub kortikální HD7 2,5 délka 20 mm A-5700.20/1</t>
  </si>
  <si>
    <t>ZC709</t>
  </si>
  <si>
    <t>Šroub antirotační Targon KD210T</t>
  </si>
  <si>
    <t>ZC214</t>
  </si>
  <si>
    <t>Šroub zajišťovací 3,5 mm Targon KB521T</t>
  </si>
  <si>
    <t>ZC229</t>
  </si>
  <si>
    <t>Šroub fixační PH 4,5 mm Targon KB076T</t>
  </si>
  <si>
    <t>ZK724</t>
  </si>
  <si>
    <t>Hřeb expert femorální laterální pr.9 mm 04.003.253</t>
  </si>
  <si>
    <t>ZA104</t>
  </si>
  <si>
    <t>Čep zajišťovací 4.9 mm L34 459.340</t>
  </si>
  <si>
    <t>ZJ739</t>
  </si>
  <si>
    <t>Podložka pod kanylovaný šroub Canos pr. 2.7 mm 26-423-99-09</t>
  </si>
  <si>
    <t>ZH696</t>
  </si>
  <si>
    <t>Dlaha LCP 2.7/3.5 na laterální distální fibulu 04.112.143</t>
  </si>
  <si>
    <t>ZH463</t>
  </si>
  <si>
    <t>Hřeb proximální humerus P10/7 280 mm KE27T</t>
  </si>
  <si>
    <t>ZD205</t>
  </si>
  <si>
    <t>Dlaha LCP 3.5 metafyzální pro humerus distální mediální 11 otv. 424.834</t>
  </si>
  <si>
    <t>ZF605</t>
  </si>
  <si>
    <t>Hřeb UTN tibiální 9.0 mm kompletní se zaslepovací havou plný 279.660</t>
  </si>
  <si>
    <t>ZD274</t>
  </si>
  <si>
    <t>Dlaha anatomická DVR DVRASR</t>
  </si>
  <si>
    <t>ZD535</t>
  </si>
  <si>
    <t>Hřeb se závity 2,5 x 18 mm TP18000</t>
  </si>
  <si>
    <t>ZC169</t>
  </si>
  <si>
    <t>Dlaha adaptační Y 1,5 246.242</t>
  </si>
  <si>
    <t>ZD265</t>
  </si>
  <si>
    <t>Dlaha anatomická DVR DVRAL</t>
  </si>
  <si>
    <t>ZF862</t>
  </si>
  <si>
    <t>Dlaha LCP distální tibiální 241.442</t>
  </si>
  <si>
    <t>ZF030</t>
  </si>
  <si>
    <t>Hřeb PF 420, 130° Targon KD069T</t>
  </si>
  <si>
    <t>KI225</t>
  </si>
  <si>
    <t>dřík konický cement. průměr 16 mm 1306.15.160</t>
  </si>
  <si>
    <t>KI227</t>
  </si>
  <si>
    <t>tělo humerální trauma long 1350.15.030</t>
  </si>
  <si>
    <t>KI228</t>
  </si>
  <si>
    <t>hlavice humerální prům. 44 mm 1322.09.440</t>
  </si>
  <si>
    <t>KI226</t>
  </si>
  <si>
    <t>adaptér standart exentrický + 8 mm 1330.15.278</t>
  </si>
  <si>
    <t>KI268</t>
  </si>
  <si>
    <t>hlavice průměr 46 mm 1322.09.460</t>
  </si>
  <si>
    <t>KI269</t>
  </si>
  <si>
    <t>tělo humerální s blokačním šroubem TI6A/4V 1350.15.010</t>
  </si>
  <si>
    <t>KI267</t>
  </si>
  <si>
    <t>adaptér neutrální Ti6A/4V 0 mm long 1331.15.270</t>
  </si>
  <si>
    <t>KI363</t>
  </si>
  <si>
    <t>adaptér neutrální Ti6A/4V 0 mm standard 1330.15.270</t>
  </si>
  <si>
    <t>ZL177</t>
  </si>
  <si>
    <t xml:space="preserve">Optika artroskopická 30° pracovní délka 160 mm A70941A  </t>
  </si>
  <si>
    <t>KH904</t>
  </si>
  <si>
    <t>stapler kožní PMR35-X</t>
  </si>
  <si>
    <t>KI081</t>
  </si>
  <si>
    <t>stapler kožní, široké svorky PMW35-X</t>
  </si>
  <si>
    <t>ZJ562</t>
  </si>
  <si>
    <t>Set pro tlakovou laváž kosti interpulse handpiese 0210-110-000</t>
  </si>
  <si>
    <t>ZA958</t>
  </si>
  <si>
    <t>Šití safil fialový 2/0 bal. á 36 ks C1048251</t>
  </si>
  <si>
    <t>ZB023</t>
  </si>
  <si>
    <t>Šití maxon 2/0 bal. á 36 ks 8886626151</t>
  </si>
  <si>
    <t>ZB913</t>
  </si>
  <si>
    <t>Šití orthocord modrý bal. á 12 ks 223111</t>
  </si>
  <si>
    <t>ZE197</t>
  </si>
  <si>
    <t>Šití mopylen 4/0 DS 18 návlek  45 cm á 36 ks 7148</t>
  </si>
  <si>
    <t>ZI576</t>
  </si>
  <si>
    <t>Jehla dutá 45° pravá  251004</t>
  </si>
  <si>
    <t>ZI562</t>
  </si>
  <si>
    <t>Kloub silikonový MCP vel. 30 SMCP-500-30-WW</t>
  </si>
  <si>
    <t>ZI609</t>
  </si>
  <si>
    <t>Chronos strips 50 x 25 x 3 mm 07.801.100S</t>
  </si>
  <si>
    <t>ZH588</t>
  </si>
  <si>
    <t>Chronos strips 100 x 25 x 6 mm 07.801.111S</t>
  </si>
  <si>
    <t>ZD249</t>
  </si>
  <si>
    <t xml:space="preserve">Osteoset 4.8 mm 50 pelet 84000104  </t>
  </si>
  <si>
    <t>ZD322</t>
  </si>
  <si>
    <t>Osteoset T 4.8 mm 100 pelet 70000402</t>
  </si>
  <si>
    <t>ZD255</t>
  </si>
  <si>
    <t>Osteoset 3.0 mm 200 pelet 84000305</t>
  </si>
  <si>
    <t>ZD247</t>
  </si>
  <si>
    <t xml:space="preserve">Osteoset 4.8 mm 200 pelet 84000101  </t>
  </si>
  <si>
    <t>ZK789</t>
  </si>
  <si>
    <t>PerOssal 1 x 50 mm baleno po 50 ks granule 03-0102</t>
  </si>
  <si>
    <t>ZD248</t>
  </si>
  <si>
    <t xml:space="preserve">Osteoset 4.8 mm 100 pelet 84000102  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</si>
  <si>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</si>
  <si>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</si>
  <si>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</si>
  <si>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</si>
  <si>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</si>
  <si>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</si>
  <si>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</si>
  <si>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</si>
  <si>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</si>
  <si>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</si>
  <si>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50115064</t>
  </si>
  <si>
    <t>529 SZM šicí materiál (112 02 106)</t>
  </si>
  <si>
    <t>50115040</t>
  </si>
  <si>
    <t>505 SZM laboratorní sklo a materiál (112 02 140)</t>
  </si>
  <si>
    <t>50115070</t>
  </si>
  <si>
    <t>513 SZM katetry, stenty, porty (112 02 101)</t>
  </si>
  <si>
    <t>50115020</t>
  </si>
  <si>
    <t>Diagnostika (132 03 001)</t>
  </si>
  <si>
    <t>Traumatologické oddělení, pracoviště COS</t>
  </si>
  <si>
    <t>50115004</t>
  </si>
  <si>
    <t>506 SZM umělé tělní náhrady kovové (112 02 030)</t>
  </si>
  <si>
    <t>50115003</t>
  </si>
  <si>
    <t>518 SZM TEP ortopedie (112 02 003)</t>
  </si>
  <si>
    <t>50115080</t>
  </si>
  <si>
    <t>523 SZM staplery, endosk., optika, extraktory (112 02 102)</t>
  </si>
  <si>
    <t>50115011</t>
  </si>
  <si>
    <t>515 SZM umělé tělní náhrady ostatní (112 02 030)</t>
  </si>
  <si>
    <t>Spotřeba zdravotnického materiálu - orientační přehled</t>
  </si>
  <si>
    <t>ON Data</t>
  </si>
  <si>
    <t>001 - Pracoviště praktického lékaře pro dospělé</t>
  </si>
  <si>
    <t>003 - Pracoviště LSPP</t>
  </si>
  <si>
    <t>503 - Pracoviště úrazové chirurgie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</si>
  <si>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</si>
  <si>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</si>
  <si>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</si>
  <si>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</si>
  <si>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001</t>
  </si>
  <si>
    <t>V</t>
  </si>
  <si>
    <t>51022</t>
  </si>
  <si>
    <t>CÍLENÉ VYŠETŘENÍ CHIRURGEM</t>
  </si>
  <si>
    <t>51861</t>
  </si>
  <si>
    <t>CIRKULÁRNÍ SÁDROVÝ OBVAZ - NOHA, BÉREC</t>
  </si>
  <si>
    <t>003</t>
  </si>
  <si>
    <t>51859</t>
  </si>
  <si>
    <t>FIXAČNÍ SÁDROVÁ DLAHA - NOHA, BÉREC</t>
  </si>
  <si>
    <t>503</t>
  </si>
  <si>
    <t>1</t>
  </si>
  <si>
    <t>0000502</t>
  </si>
  <si>
    <t>MESOCAIN 1%</t>
  </si>
  <si>
    <t>0006200</t>
  </si>
  <si>
    <t>TRAMAL INJEKČNÍ ROZTOK 50 MG/1 ML</t>
  </si>
  <si>
    <t>0025746</t>
  </si>
  <si>
    <t>0032090</t>
  </si>
  <si>
    <t>TRALGIT 50 INJ</t>
  </si>
  <si>
    <t>0040536</t>
  </si>
  <si>
    <t>DEPO-MEDROL 40 MG/ML</t>
  </si>
  <si>
    <t>0054539</t>
  </si>
  <si>
    <t>DOLMINA INJ</t>
  </si>
  <si>
    <t>0055824</t>
  </si>
  <si>
    <t>NOVALGIN INJEKCE</t>
  </si>
  <si>
    <t>0089869</t>
  </si>
  <si>
    <t>0089870</t>
  </si>
  <si>
    <t>0090719</t>
  </si>
  <si>
    <t>TRAMAL INJEKČNÍ ROZTOK 100 MG/2 ML</t>
  </si>
  <si>
    <t>0107295</t>
  </si>
  <si>
    <t>0.9% SODIUM CHLORIDE IN WATER FOR INJECTION FRESEN</t>
  </si>
  <si>
    <t>0192143</t>
  </si>
  <si>
    <t>0192144</t>
  </si>
  <si>
    <t>3</t>
  </si>
  <si>
    <t>0082509</t>
  </si>
  <si>
    <t>0082510</t>
  </si>
  <si>
    <t>0082511</t>
  </si>
  <si>
    <t>0082512</t>
  </si>
  <si>
    <t>0082513</t>
  </si>
  <si>
    <t>0082514</t>
  </si>
  <si>
    <t>0082515</t>
  </si>
  <si>
    <t>0082516</t>
  </si>
  <si>
    <t>0082517</t>
  </si>
  <si>
    <t>0082518</t>
  </si>
  <si>
    <t>0082519</t>
  </si>
  <si>
    <t>0082520</t>
  </si>
  <si>
    <t>0082521</t>
  </si>
  <si>
    <t>0082522</t>
  </si>
  <si>
    <t>0082523</t>
  </si>
  <si>
    <t>0082524</t>
  </si>
  <si>
    <t>09220</t>
  </si>
  <si>
    <t>KANYLACE PERIFERNÍ ŽÍLY VČETNĚ INFÚZE</t>
  </si>
  <si>
    <t>09237</t>
  </si>
  <si>
    <t>OŠETŘENÍ A PŘEVAZ RÁNY VČETNĚ OŠETŘENÍ KOŽNÍCH A P</t>
  </si>
  <si>
    <t>09241</t>
  </si>
  <si>
    <t>OŠETŘENÍ A PŘEVAZ RÁNY, KOŽNÍCH A PODKOŽNÍCH AFEKC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</si>
  <si>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</si>
  <si>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</si>
  <si>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</si>
  <si>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</si>
  <si>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</si>
  <si>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</si>
  <si>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51012</t>
  </si>
  <si>
    <t>51013</t>
  </si>
  <si>
    <t>51023</t>
  </si>
  <si>
    <t>KONTROLNÍ VYŠETŘENÍ CHIRURGEM</t>
  </si>
  <si>
    <t>51818</t>
  </si>
  <si>
    <t>51853</t>
  </si>
  <si>
    <t>CIRKULÁRNÍ SÁDROVÝ OBVAZ - PRSTY, RUKA, PŘEDLOKTÍ</t>
  </si>
  <si>
    <t>51863</t>
  </si>
  <si>
    <t>FIXAČNÍ SÁDROVÁ DLAHA CELÉ DOLNÍ KONČETINY</t>
  </si>
  <si>
    <t>51869</t>
  </si>
  <si>
    <t>SEJMUTÍ CIRKULÁRNÍ SÁDROVÉ FIXACE NA KONČETINÁCH</t>
  </si>
  <si>
    <t>51877</t>
  </si>
  <si>
    <t>PŘILOŽENÍ LÉČEBNÉ POMŮCKY - ORTÉZY</t>
  </si>
  <si>
    <t>53023</t>
  </si>
  <si>
    <t>KONTROLNÍ VYŠETŘENÍ TRAUMATOLOGEM</t>
  </si>
  <si>
    <t>53119</t>
  </si>
  <si>
    <t>ZAVŘENÁ REPOZICE ZLOMENIN PŘEDLOKTÍ, LOKTE, PAŽE N</t>
  </si>
  <si>
    <t>57243</t>
  </si>
  <si>
    <t>HRUDNÍ PUNKCE</t>
  </si>
  <si>
    <t>61113</t>
  </si>
  <si>
    <t xml:space="preserve">REVIZE, EXCIZE A SUTURA PORANĚNÍ KŮŽE A PODKOŽÍ A </t>
  </si>
  <si>
    <t>61129</t>
  </si>
  <si>
    <t>EXCIZE KOŽNÍ LÉZE, SUTURA OD 2 DO 10 CM</t>
  </si>
  <si>
    <t>61209</t>
  </si>
  <si>
    <t>TENOLÝZA FLEXORU</t>
  </si>
  <si>
    <t>61219</t>
  </si>
  <si>
    <t>TENOLÝZA EXTENZORU</t>
  </si>
  <si>
    <t>61247</t>
  </si>
  <si>
    <t>OPERACE KARPÁLNÍHO TUNELU</t>
  </si>
  <si>
    <t>66813</t>
  </si>
  <si>
    <t>ODSTRANĚNÍ OSTEOSYNTETICKÉHO MATERIÁLU</t>
  </si>
  <si>
    <t>66823</t>
  </si>
  <si>
    <t>ODSTRANĚNÍ ZEVNÍHO FIXATÉRU</t>
  </si>
  <si>
    <t>66833</t>
  </si>
  <si>
    <t>ODSTRANĚNÍ CIZÍHO TĚLESA Z RÁNY</t>
  </si>
  <si>
    <t>66949</t>
  </si>
  <si>
    <t>PUNKCE KLOUBNÍ S APLIKACÍ LÉČIVA</t>
  </si>
  <si>
    <t>09547</t>
  </si>
  <si>
    <t>REGULAČNÍ POPLATEK -- POJIŠTĚNEC OD ÚHRADY POPLATK</t>
  </si>
  <si>
    <t>09543</t>
  </si>
  <si>
    <t>REGULAČNÍ POPLATEK ZA NÁVŠTĚVU -- POPLATEK UHRAZEN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</si>
  <si>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</si>
  <si>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</si>
  <si>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</si>
  <si>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</si>
  <si>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</si>
  <si>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</si>
  <si>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</si>
  <si>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</si>
  <si>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</si>
  <si>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</si>
  <si>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09563</t>
  </si>
  <si>
    <t>VÝKON ÚSTAVNÍ POHOTOVOSTNÍ SLUŽBY</t>
  </si>
  <si>
    <t>61115</t>
  </si>
  <si>
    <t>09553</t>
  </si>
  <si>
    <t>51851</t>
  </si>
  <si>
    <t>FIXAČNÍ SÁDROVÁ DLAHA - RUKA, PŘEDLOKTÍ</t>
  </si>
  <si>
    <t>53022</t>
  </si>
  <si>
    <t>CÍLENÉ VYŠETŘENÍ TRAUMATOLOGEM</t>
  </si>
  <si>
    <t>53115</t>
  </si>
  <si>
    <t>ZAVŘENÁ REPOZICE LUXACE KARPU NEBO INTRAARTIKULÁRN</t>
  </si>
  <si>
    <t>53021</t>
  </si>
  <si>
    <t>KOMPLEXNÍ VYŠETŘENÍ TRAUMATOLOGEM</t>
  </si>
  <si>
    <t>09239</t>
  </si>
  <si>
    <t>SUTURA RÁNY A PODKOŽÍ DO 5 CM</t>
  </si>
  <si>
    <t>09115</t>
  </si>
  <si>
    <t>ODBĚR BIOLOGICKÉHO MATERIÁLU JINÉHO NEŽ KREV NA KV</t>
  </si>
  <si>
    <t>51811</t>
  </si>
  <si>
    <t>ABSCES NEBO HEMATOM SUBKUTANNÍ, PILONIDÁLNÍ, INTRA</t>
  </si>
  <si>
    <t>51821</t>
  </si>
  <si>
    <t>CHIRURGICKÉ ODSTRANĚNÍ CIZÍHO TĚLESA</t>
  </si>
  <si>
    <t>51855</t>
  </si>
  <si>
    <t>FIXAČNÍ SÁDROVÁ DLAHA CELÉ HORNÍ KONČETINY</t>
  </si>
  <si>
    <t>66837</t>
  </si>
  <si>
    <t>EXSTIRPACE BURZY NEBO GANGLIA - POVRCHOVÁ</t>
  </si>
  <si>
    <t>53411</t>
  </si>
  <si>
    <t>NÁPLASŤOVÁ FIXACE ZLOMENINY KOSTNÍHO ČLÁNKU NEBO M</t>
  </si>
  <si>
    <t>51870</t>
  </si>
  <si>
    <t>DOTOČENÍ SÁDROVÉHO OBVAZU</t>
  </si>
  <si>
    <t>51817</t>
  </si>
  <si>
    <t>OŠETŘENÍ NEHTU NA RUCE, NOZE (FENESTRACE, PARCIÁLN</t>
  </si>
  <si>
    <t>51865</t>
  </si>
  <si>
    <t>CIRKULÁRNÍ SÁDROVÝ OBVAZ NA DOLNÍ KONČETINĚ</t>
  </si>
  <si>
    <t>66421</t>
  </si>
  <si>
    <t>BIOPSIE, INCIZE A DRENÁŽ NA RUCE ČI ZÁPĚSTÍ</t>
  </si>
  <si>
    <t>51867</t>
  </si>
  <si>
    <t>PŘIPEVNĚNÍ NÁŠLAPNÉHO PODPATKU NA STÁVAJÍCÍ SÁDROV</t>
  </si>
  <si>
    <t>53515</t>
  </si>
  <si>
    <t>SUTURA ŠLACHY EXTENSORU RUKY A ZÁPĚSTÍ</t>
  </si>
  <si>
    <t>66811</t>
  </si>
  <si>
    <t>INJEKCE DO BURZY, GANGLIA, POCHVY ŠLACHOVÉ</t>
  </si>
  <si>
    <t>51857</t>
  </si>
  <si>
    <t xml:space="preserve">CIRKULÁRNÍ SÁDROVÝ OBVAZ - CELÁ HORNÍ KONČETINA - </t>
  </si>
  <si>
    <t>66821</t>
  </si>
  <si>
    <t>PERKUTÁNNÍ FIXACE K-DRÁTEM</t>
  </si>
  <si>
    <t>66411</t>
  </si>
  <si>
    <t>AMPUTACE PRSTU RUKY NEBO ČLÁNKU PRSTU - ZA PRVNÍ P</t>
  </si>
  <si>
    <t>53111</t>
  </si>
  <si>
    <t>ZAVŘENÁ REPOZICE ZLOMENINY NEBO LUXACE JEDNÉ FALAN</t>
  </si>
  <si>
    <t>66927</t>
  </si>
  <si>
    <t>REVIZE ŠLACHOVÝCH POCHEV</t>
  </si>
  <si>
    <t>09234</t>
  </si>
  <si>
    <t>OŠETŘENÍ NEHTU, INCIZE SUBKUTÁNNÍHO ABSCESU NEBO H</t>
  </si>
  <si>
    <t>53112</t>
  </si>
  <si>
    <t>ZAVŘENÁ REPOZICE ZLOMENINY NEBO LUXACE FALANGY - M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</si>
  <si>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</si>
  <si>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</si>
  <si>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</si>
  <si>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</si>
  <si>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</si>
  <si>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06 - NEUROCHIRURGICKÁ KLINIKA</t>
  </si>
  <si>
    <t>07 - KLINIKA ANESTEZIOLOGIE A RESUSCITACE</t>
  </si>
  <si>
    <t>08 - PORODNICKO-GYNEKOLOGICKÁ KLINIKA</t>
  </si>
  <si>
    <t>10 - DĚTSKÁ KLINIKA</t>
  </si>
  <si>
    <t>11 - ORTOPEDICKÁ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</si>
  <si>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</si>
  <si>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</si>
  <si>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</si>
  <si>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</si>
  <si>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</si>
  <si>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21 - ONKOLOGICKÁ KLINIKA</t>
  </si>
  <si>
    <t>25 - KLINIKA ÚSTNÍ, ČELISTNÍ A OBLIČEJOVÉ CHIRURGIE</t>
  </si>
  <si>
    <t>26 - ODDĚLENÍ REHABILITACE</t>
  </si>
  <si>
    <t>30 - ODDĚLENÍ GERIATRIE</t>
  </si>
  <si>
    <t>31 - TRAUMATOLOGICKÉ ODDĚLENÍ</t>
  </si>
  <si>
    <t>59 - ODD. INTENZIVNÍ PÉČE CHIRURGICKÝCH OBORŮ</t>
  </si>
  <si>
    <t>01</t>
  </si>
  <si>
    <t>02</t>
  </si>
  <si>
    <t>03</t>
  </si>
  <si>
    <t>04</t>
  </si>
  <si>
    <t>06</t>
  </si>
  <si>
    <t>07</t>
  </si>
  <si>
    <t>08</t>
  </si>
  <si>
    <t>10</t>
  </si>
  <si>
    <t>5F3</t>
  </si>
  <si>
    <t>0030934</t>
  </si>
  <si>
    <t>DRÁT TI; VRTACÍ; VODÍCÍ</t>
  </si>
  <si>
    <t>0098656</t>
  </si>
  <si>
    <t>ŠROUB KANYLOVANÝ TI T-DRIVE</t>
  </si>
  <si>
    <t>0098685</t>
  </si>
  <si>
    <t>PODLOŽKA TI</t>
  </si>
  <si>
    <t>0098686</t>
  </si>
  <si>
    <t>53163</t>
  </si>
  <si>
    <t>OTEVŘENÁ REPOZICE A OSTEOSYNTÉZA VÍCEÚLOMKOVÝCH ZL</t>
  </si>
  <si>
    <t>66127</t>
  </si>
  <si>
    <t>MANIPULACE V CELKOVÉ NEBO LOKÁLNÍ ANESTÉZII</t>
  </si>
  <si>
    <t>11</t>
  </si>
  <si>
    <t>13</t>
  </si>
  <si>
    <t>14</t>
  </si>
  <si>
    <t>16</t>
  </si>
  <si>
    <t>17</t>
  </si>
  <si>
    <t>18</t>
  </si>
  <si>
    <t>21</t>
  </si>
  <si>
    <t>25</t>
  </si>
  <si>
    <t>26</t>
  </si>
  <si>
    <t>30</t>
  </si>
  <si>
    <t>62310</t>
  </si>
  <si>
    <t>NEKREKTOMIE DO 1% POVRCHU TĚLA</t>
  </si>
  <si>
    <t>61225</t>
  </si>
  <si>
    <t>NEUROLÝZA</t>
  </si>
  <si>
    <t>62610</t>
  </si>
  <si>
    <t>ODBĚR DERMOEPIDERMÁLNÍHO ŠTĚPU DO 1 % POVRCHU TĚLA</t>
  </si>
  <si>
    <t>5F1</t>
  </si>
  <si>
    <t>32510</t>
  </si>
  <si>
    <t>ZAVEDENÍ DLOUHODOBÉ KANYLACE CENTRÁLNÍHO ŽILNÍHO S</t>
  </si>
  <si>
    <t>51353</t>
  </si>
  <si>
    <t>PUNKCE, ODSÁTÍ TENKÉHO STŘEVA, MANIPULACE SE STŘEV</t>
  </si>
  <si>
    <t>51359</t>
  </si>
  <si>
    <t>RESEKCE A ANASTOMÓZA TLUSTÉHO STŘEVA NEBO REKTOSIG</t>
  </si>
  <si>
    <t>51388</t>
  </si>
  <si>
    <t>GASTROENTEROANASTOMÓZA  NEBO RESEKCE A (NEBO) ANAS</t>
  </si>
  <si>
    <t>51713</t>
  </si>
  <si>
    <t>DIAGNOSTICKÁ VIDEOLAPAROSKOPIE A VIDEOTORAKOSKOPIE</t>
  </si>
  <si>
    <t>51819</t>
  </si>
  <si>
    <t>OŠETŘENÍ A OBVAZ ROZSÁHLÉ RÁNY V CELKOVÉ ANESTEZII</t>
  </si>
  <si>
    <t>07546</t>
  </si>
  <si>
    <t>(DRG) OTEVŘENÝ PŘÍSTUP</t>
  </si>
  <si>
    <t>07457</t>
  </si>
  <si>
    <t>(VZP) BYPASS POPLITEO - CRURÁLNÍ VĚTVENÝ AUTOLOGNÍ</t>
  </si>
  <si>
    <t>07543</t>
  </si>
  <si>
    <t>(DRG) PRIMOOPERACE</t>
  </si>
  <si>
    <t>54990</t>
  </si>
  <si>
    <t>ODBĚR ŽILNÍHO ŠTĚPU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</si>
  <si>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</si>
  <si>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</si>
  <si>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</si>
  <si>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</si>
  <si>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</si>
  <si>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</si>
  <si>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51111</t>
  </si>
  <si>
    <t>OPERACE CYSTY NEBO HEMANGIOMU NEBO LIPOMU NEBO PIL</t>
  </si>
  <si>
    <t>07552</t>
  </si>
  <si>
    <t>(DRG) OPERAČNÍ VÝKON BEZ MIMOTĚLNÍHO OBĚHU</t>
  </si>
  <si>
    <t>07468</t>
  </si>
  <si>
    <t>(VZP) TROMBECTOMIE  A. POPLITEA A BÉRCOVÝCH TEPEN</t>
  </si>
  <si>
    <t>07563</t>
  </si>
  <si>
    <t>(DRG) URGENTNÍ OPERACE KVCH</t>
  </si>
  <si>
    <t>07408</t>
  </si>
  <si>
    <t>(VZP) BYPASS FEMORO - POPLITEÁLNÍ DISTÁLNÍ AUTOLOG</t>
  </si>
  <si>
    <t>51391</t>
  </si>
  <si>
    <t>LAPAROTOMIE A OŠETŘENÍ VÍCEČETNÉHO VISCERÁLNÍHO PO</t>
  </si>
  <si>
    <t>54340</t>
  </si>
  <si>
    <t>TEPENNÁ EMBOLEKTOMIE, TROMBEKTOMIE</t>
  </si>
  <si>
    <t>51355</t>
  </si>
  <si>
    <t>DVOJ - A VÍCENÁSOBNÁ RESEKCE A (NEBO) ANASTOMÓZA T</t>
  </si>
  <si>
    <t>0008807</t>
  </si>
  <si>
    <t>0014583</t>
  </si>
  <si>
    <t>TIENAM 500 MG/500 MG I.V.</t>
  </si>
  <si>
    <t>0015273</t>
  </si>
  <si>
    <t>SULPERAZON 2 G IM/IV</t>
  </si>
  <si>
    <t>0016600</t>
  </si>
  <si>
    <t>0053922</t>
  </si>
  <si>
    <t>CIPHIN PRO INFUSIONE 200 MG/100 ML</t>
  </si>
  <si>
    <t>0055680</t>
  </si>
  <si>
    <t>0058092</t>
  </si>
  <si>
    <t>0064831</t>
  </si>
  <si>
    <t>AXETINE 1,5 G</t>
  </si>
  <si>
    <t>0065989</t>
  </si>
  <si>
    <t>0066137</t>
  </si>
  <si>
    <t>0072972</t>
  </si>
  <si>
    <t>0076360</t>
  </si>
  <si>
    <t>0092290</t>
  </si>
  <si>
    <t>0096414</t>
  </si>
  <si>
    <t>0097000</t>
  </si>
  <si>
    <t>METRONIDAZOLE 0.5%-POLPHARMA</t>
  </si>
  <si>
    <t>0097687</t>
  </si>
  <si>
    <t>0097878</t>
  </si>
  <si>
    <t>KLIMICIN</t>
  </si>
  <si>
    <t>0125249</t>
  </si>
  <si>
    <t>0141838</t>
  </si>
  <si>
    <t>AMIKACIN B.BRAUN 10 MG/ML</t>
  </si>
  <si>
    <t>0154883</t>
  </si>
  <si>
    <t>MERONEM 1 G</t>
  </si>
  <si>
    <t>0162187</t>
  </si>
  <si>
    <t>0164350</t>
  </si>
  <si>
    <t>TAZOCIN 4 G/0,5 G</t>
  </si>
  <si>
    <t>0088337</t>
  </si>
  <si>
    <t>HAEMATE P</t>
  </si>
  <si>
    <t>0092359</t>
  </si>
  <si>
    <t>PROSTAPHLIN 1000 MG</t>
  </si>
  <si>
    <t>2</t>
  </si>
  <si>
    <t>0007917</t>
  </si>
  <si>
    <t>0007955</t>
  </si>
  <si>
    <t>0007963</t>
  </si>
  <si>
    <t>0207921</t>
  </si>
  <si>
    <t>0407942</t>
  </si>
  <si>
    <t>0001018</t>
  </si>
  <si>
    <t>ŠROUB SAMOŘEZNÝ KORTIKÁLNÍ MALÝ FRAGMENTY OCEL</t>
  </si>
  <si>
    <t>0001027</t>
  </si>
  <si>
    <t>0001052</t>
  </si>
  <si>
    <t>DLAHA LC-DCP ROVNÁ MALÉ FRAGMENT OCEL</t>
  </si>
  <si>
    <t>0001054</t>
  </si>
  <si>
    <t>0001137</t>
  </si>
  <si>
    <t>ŠROUB SAMOŘEZNÝ KORTIKÁLNÍ RUKA OCEL</t>
  </si>
  <si>
    <t>0001154</t>
  </si>
  <si>
    <t>0001203</t>
  </si>
  <si>
    <t>0001288</t>
  </si>
  <si>
    <t>DLAHA ADAPTAČNÍ  MINI FRAGMENT OCEL TITAN</t>
  </si>
  <si>
    <t>0001291</t>
  </si>
  <si>
    <t>DLAHA LC-DCP ROVNÁ MINI FRAGMENT OCEL</t>
  </si>
  <si>
    <t>0001308</t>
  </si>
  <si>
    <t>DLAHA ADAPTAČNÍ  MINI FRAGMENT OCEL</t>
  </si>
  <si>
    <t>0001344</t>
  </si>
  <si>
    <t>DRÁT VODÍCÍ ZÁVITOVÝ OCEL</t>
  </si>
  <si>
    <t>0001588</t>
  </si>
  <si>
    <t>ŠROUB SAMOŘEZNÝ KORTIKÁLNÍ MALÝ FRAGMENTY TITAN</t>
  </si>
  <si>
    <t>0001719</t>
  </si>
  <si>
    <t>DRÁT CERKLÁŽNÍ OCEL</t>
  </si>
  <si>
    <t>0001738</t>
  </si>
  <si>
    <t>DRÁT KIRSCHNERŮV OCEL</t>
  </si>
  <si>
    <t>0001739</t>
  </si>
  <si>
    <t>0001740</t>
  </si>
  <si>
    <t>0001747</t>
  </si>
  <si>
    <t>0001948</t>
  </si>
  <si>
    <t>ŠROUB SAMOŘEZNÝ KANYLOVANÝ OCEL</t>
  </si>
  <si>
    <t>0002062</t>
  </si>
  <si>
    <t>ZASLEPOVACÍ HLAVA TIBIE OCEL</t>
  </si>
  <si>
    <t>0002264</t>
  </si>
  <si>
    <t>FIXÁTOR ZEVNÍ TRUBKOVÝ, SYNTHES</t>
  </si>
  <si>
    <t>0002370</t>
  </si>
  <si>
    <t>0002408</t>
  </si>
  <si>
    <t>0002425</t>
  </si>
  <si>
    <t>0002584</t>
  </si>
  <si>
    <t>ŠROUB SAMOŘEZNÝ KORTIKÁLNÍ PÁNEV OCEL</t>
  </si>
  <si>
    <t>0002968</t>
  </si>
  <si>
    <t>DLAHA ROVNÁ REKONSTRUKČNÍ PÁNEV MALÝ FRAGMENT OCEL</t>
  </si>
  <si>
    <t>0003008</t>
  </si>
  <si>
    <t>0004070</t>
  </si>
  <si>
    <t>ŠROUB LCP A VA-LCP SAMOŘEZNÝ MALÝ FRAGMENT OCEL</t>
  </si>
  <si>
    <t>0004073</t>
  </si>
  <si>
    <t>0004077</t>
  </si>
  <si>
    <t>0004080</t>
  </si>
  <si>
    <t>0004085</t>
  </si>
  <si>
    <t>0004614</t>
  </si>
  <si>
    <t>DLAHA LCP HUMERUS PROXIMÁLNÍ MALÝ FRAGMENT OCEL</t>
  </si>
  <si>
    <t>0006837</t>
  </si>
  <si>
    <t>ŠROUB KORTIKÁLNÍ SAMOVRTNÝ                 101XX</t>
  </si>
  <si>
    <t>0006853</t>
  </si>
  <si>
    <t xml:space="preserve">FIXÁTOR ZEVNÍ VÁLEC EXCENTRICKÝ                   </t>
  </si>
  <si>
    <t>0006854</t>
  </si>
  <si>
    <t xml:space="preserve">FIXÁTOR ZEVNÍ CYLINDR SFÉRICKÝ                    </t>
  </si>
  <si>
    <t>0006881</t>
  </si>
  <si>
    <t>ŠROUB KORTIKÁLNÍ, SAMOVRT. HYDROXYAPATIT. 99-6014X</t>
  </si>
  <si>
    <t>0008651</t>
  </si>
  <si>
    <t>ŠROUB ZAVÍRACÍ TITANOVÝ TARGON RF</t>
  </si>
  <si>
    <t>0010457</t>
  </si>
  <si>
    <t>ČEP SAMOŘEZNÝ JISTÍCÍ OCEL</t>
  </si>
  <si>
    <t>0010484</t>
  </si>
  <si>
    <t>0010678</t>
  </si>
  <si>
    <t>HŘEB STANDARDNÍ TIBIE OCEL TITAN</t>
  </si>
  <si>
    <t>0010767</t>
  </si>
  <si>
    <t>0010768</t>
  </si>
  <si>
    <t>0013004</t>
  </si>
  <si>
    <t>STAPLER LINEÁRNÍ TX 60B TX60G</t>
  </si>
  <si>
    <t>0017309</t>
  </si>
  <si>
    <t>DLAHA MALÝ FRAGMENT OCEL</t>
  </si>
  <si>
    <t>0017333</t>
  </si>
  <si>
    <t>0017413</t>
  </si>
  <si>
    <t>ŠROUB SPONGIOZNÍ MALÝ FRAGMENT OCEL</t>
  </si>
  <si>
    <t>0017419</t>
  </si>
  <si>
    <t>PODLOŽKA OCEL</t>
  </si>
  <si>
    <t>0017420</t>
  </si>
  <si>
    <t>0017422</t>
  </si>
  <si>
    <t>ŠROUB KORTIKÁLNÍ VELKÝ FRAGMENT OCEL</t>
  </si>
  <si>
    <t>0017424</t>
  </si>
  <si>
    <t>0017453</t>
  </si>
  <si>
    <t>ŠROUB KORTIKÁLNÍ MALÝ FRAGMENT OCEL</t>
  </si>
  <si>
    <t>0017486</t>
  </si>
  <si>
    <t>ŠROUB VELKÝ FRAGMENT MALEOLÁRNÍ OCEL</t>
  </si>
  <si>
    <t>0017492</t>
  </si>
  <si>
    <t>ŠROUB KANYLOVANÝ MALÝ FRAGMENT OCEL</t>
  </si>
  <si>
    <t>0017735</t>
  </si>
  <si>
    <t>0017743</t>
  </si>
  <si>
    <t>0017745</t>
  </si>
  <si>
    <t>0017746</t>
  </si>
  <si>
    <t>0017748</t>
  </si>
  <si>
    <t>0017749</t>
  </si>
  <si>
    <t>0017751</t>
  </si>
  <si>
    <t>0017756</t>
  </si>
  <si>
    <t>DRÁT KIRSCHNERŮV ZÁVITOVÝ OCEL</t>
  </si>
  <si>
    <t>0017760</t>
  </si>
  <si>
    <t>0018678</t>
  </si>
  <si>
    <t>CEMENT KOSTNÍ PALACOS R - 40 + GENTAMICINUM  2X40G</t>
  </si>
  <si>
    <t>0020177</t>
  </si>
  <si>
    <t>ŠROUB KORTIKÁLNÍ</t>
  </si>
  <si>
    <t>0020257</t>
  </si>
  <si>
    <t>ŠROUB SPONGIÓZNÍ</t>
  </si>
  <si>
    <t>0020275</t>
  </si>
  <si>
    <t>0024982</t>
  </si>
  <si>
    <t xml:space="preserve">KOTVIČKA TITANOVÁ PRO CHIR.RUKY MINI,MINI LS,MINI </t>
  </si>
  <si>
    <t>0024993</t>
  </si>
  <si>
    <t>KOTVIČKA TITANOVÁ GII SNAP-PAK PRO STABILIZACI RAM</t>
  </si>
  <si>
    <t>0027737</t>
  </si>
  <si>
    <t>DLAHA LCP ROVNÁ MALÝ FRAGMENT OCEL</t>
  </si>
  <si>
    <t>0027766</t>
  </si>
  <si>
    <t>DLAHA LCP ROVNÁ VELKÝ FRAGMENT OCEL</t>
  </si>
  <si>
    <t>0027789</t>
  </si>
  <si>
    <t>DLAHA LCP VELKÝ FRAGMENT OCEL</t>
  </si>
  <si>
    <t>0027798</t>
  </si>
  <si>
    <t>DLAHA LCP MALÝ FRAGMENT OCEL</t>
  </si>
  <si>
    <t>0027807</t>
  </si>
  <si>
    <t>DLAHA ROVNÁ LCP REKONSTRUKČNÍ MALÝ FRAGMENT OCEL</t>
  </si>
  <si>
    <t>0027816</t>
  </si>
  <si>
    <t>0030306</t>
  </si>
  <si>
    <t>SVORKA FIXAČNÍ MEMORY S TVAR.PAMĚTÍ PRO FIXACI OST</t>
  </si>
  <si>
    <t>0030400</t>
  </si>
  <si>
    <t>ŠROUB LCP SAMOŘEZNÝ VELKÝ FRAGMENT OCEL</t>
  </si>
  <si>
    <t>0030409</t>
  </si>
  <si>
    <t>0030415</t>
  </si>
  <si>
    <t>0030418</t>
  </si>
  <si>
    <t>0030443</t>
  </si>
  <si>
    <t>DLAHA LCP TIBIE DISTÁLNÍ OCEL MALÝ FRAGMENT TITAN</t>
  </si>
  <si>
    <t>0030445</t>
  </si>
  <si>
    <t>0030454</t>
  </si>
  <si>
    <t>ŠROUB LCP SAMOŘEZNÝ MALÝ FRAGMENT TITAN</t>
  </si>
  <si>
    <t>0030458</t>
  </si>
  <si>
    <t>0030462</t>
  </si>
  <si>
    <t>0030466</t>
  </si>
  <si>
    <t>0030488</t>
  </si>
  <si>
    <t>ŠROUB LCP SAMOŘEZNÝ VELKÝ FRAGMENT TITAN</t>
  </si>
  <si>
    <t>0030494</t>
  </si>
  <si>
    <t>0030501</t>
  </si>
  <si>
    <t>0030509</t>
  </si>
  <si>
    <t>0030617</t>
  </si>
  <si>
    <t>STAPLER KOŽNÍ ROYAL - 35W</t>
  </si>
  <si>
    <t>0030705</t>
  </si>
  <si>
    <t>0030724</t>
  </si>
  <si>
    <t>DLAHA LCP PATNÍ OCEL MALÝ FRAGMENT TITAN</t>
  </si>
  <si>
    <t>0030851</t>
  </si>
  <si>
    <t>ŠROUB KOMPRESNÍ HBS TI T-DRIVE</t>
  </si>
  <si>
    <t>0030935</t>
  </si>
  <si>
    <t>0030967</t>
  </si>
  <si>
    <t>LANKO CERKLÁŽ OCEL TITAN</t>
  </si>
  <si>
    <t>0031337</t>
  </si>
  <si>
    <t>0031437</t>
  </si>
  <si>
    <t>DLAHA LCP A VA-LCP HUMERUS DISTÁLNÍ MALÝ FRAGMENT</t>
  </si>
  <si>
    <t>0031465</t>
  </si>
  <si>
    <t>ŠROUB LCP SAMOŘEZNÝ MINI FRAGMENT TITAN</t>
  </si>
  <si>
    <t>0031468</t>
  </si>
  <si>
    <t>DLAHA LCP TIBIE PROXIMÁLNÍ OCEL MALÝ FRAGMENT TITA</t>
  </si>
  <si>
    <t>0031487</t>
  </si>
  <si>
    <t>0031488</t>
  </si>
  <si>
    <t>0031493</t>
  </si>
  <si>
    <t>DLAHA LCP TIBIE PROXIMÁLNÍ VELKÝ FRAGMENT OCEL TIT</t>
  </si>
  <si>
    <t>0031495</t>
  </si>
  <si>
    <t>DLAHA LCP FEMUR DISTÁLNÍ VELKÝ FRAGMENT OCEL TITAN</t>
  </si>
  <si>
    <t>0031591</t>
  </si>
  <si>
    <t>NÁHRADA RAMENNÍHO KLOUBU 1350.15.010 - 030</t>
  </si>
  <si>
    <t>0031597</t>
  </si>
  <si>
    <t>NÁHRADA RAMENNÍHO KLOUBU 1306.15.120 - 200</t>
  </si>
  <si>
    <t>0031598</t>
  </si>
  <si>
    <t>NÁHRADA RAMENNÍHO KLOUBU 1304.15.140 - 240</t>
  </si>
  <si>
    <t>0031604</t>
  </si>
  <si>
    <t>NÁHRADA RAM. KLOUBU 1330.15.270 A 1331.15.270</t>
  </si>
  <si>
    <t>0031605</t>
  </si>
  <si>
    <t>NÁHRADA RAM. KLOUBU 1330.15.27. A 1331.15.27.</t>
  </si>
  <si>
    <t>0031933</t>
  </si>
  <si>
    <t>ZASLEPOVACÍ HLAVA TIBIE ÚHLOVĚ STABILNÍ TITAN</t>
  </si>
  <si>
    <t>0031938</t>
  </si>
  <si>
    <t>HŘEB KANYLOVANÝ TIBIE UHLOVĚ STABILNÍ TITAN</t>
  </si>
  <si>
    <t>0031983</t>
  </si>
  <si>
    <t>ŠROUB STARDRIVE ZAJIŠŤOVACÍ TITAN</t>
  </si>
  <si>
    <t>0034884</t>
  </si>
  <si>
    <t>0035016</t>
  </si>
  <si>
    <t>HŘEB TIBIE UHLOVĚ STABILNÍ TITAN</t>
  </si>
  <si>
    <t>0035069</t>
  </si>
  <si>
    <t>ŠROUB SAMOVRTNÝ XC, OSTEOTITE, STERILNÍ 9961XXXX</t>
  </si>
  <si>
    <t>0037585</t>
  </si>
  <si>
    <t>FIXÁTOR ZEVNÍ PRODLUŽOVAČ KONČETIN LRS      ORTHOF</t>
  </si>
  <si>
    <t>0042033</t>
  </si>
  <si>
    <t>DLAHA H, DORSÁLNÍ, APTUS RADIUS 2,5</t>
  </si>
  <si>
    <t>0042049</t>
  </si>
  <si>
    <t>DLAHA VOLÁRNÍ KOREKČNÍ,  APTUS RADIUS 2,5</t>
  </si>
  <si>
    <t>0042074</t>
  </si>
  <si>
    <t>ŠROUB KORTIKÁLNÍ HEXA DRIVE 6, APTUS HAND 2,0</t>
  </si>
  <si>
    <t>0042075</t>
  </si>
  <si>
    <t>0042090</t>
  </si>
  <si>
    <t>ŠROUB ZAMYKACÍ HEXA DRIVE 6, APTUS HAND 2,0</t>
  </si>
  <si>
    <t>0042092</t>
  </si>
  <si>
    <t>0042393</t>
  </si>
  <si>
    <t>ŠROUB KORTIKÁLNÍ HEXA DRIVE 7, APTUS RADIUS 2,5</t>
  </si>
  <si>
    <t>0042394</t>
  </si>
  <si>
    <t>0042726</t>
  </si>
  <si>
    <t>DRÁT MINI TI; VRTACÍ; VODÍCÍ</t>
  </si>
  <si>
    <t>0042796</t>
  </si>
  <si>
    <t>ŠROUB UZAMYKATELNÝ MULTISMĚROVÝ KORTIKÁLNÍ TI T-DR</t>
  </si>
  <si>
    <t>0042816</t>
  </si>
  <si>
    <t>0043120</t>
  </si>
  <si>
    <t>ŠTĚP ALLOGENNÍ VAZIVOVÝ ZMRAZENÝ</t>
  </si>
  <si>
    <t>0043121</t>
  </si>
  <si>
    <t>ŠLACHA ACHILOVA ZMRAZENÁ</t>
  </si>
  <si>
    <t>0043151</t>
  </si>
  <si>
    <t>ŠTĚP ALLOGENNÍ KOSTNÍ SPONGIOZNÍ ZMRAZENÝ  HLAVICE</t>
  </si>
  <si>
    <t>0066995</t>
  </si>
  <si>
    <t xml:space="preserve">IMPLANTÁT SPINÁLNÍ SYSTÉM CERVIFIX                </t>
  </si>
  <si>
    <t>0067020</t>
  </si>
  <si>
    <t>0068051</t>
  </si>
  <si>
    <t>IMPLANTÁT SPINÁLNÍ SYSTÉM FIXAČNÍ CONTROL CABLE  1</t>
  </si>
  <si>
    <t>0068052</t>
  </si>
  <si>
    <t>0069085</t>
  </si>
  <si>
    <t>IMPLANTÁT KOSTNÍ UMĚLÁ NÁHRADA TKÁNĚ  CHRONOS</t>
  </si>
  <si>
    <t>0069290</t>
  </si>
  <si>
    <t>PIN VSTŘEBATELNÝ OTPS</t>
  </si>
  <si>
    <t>0070576</t>
  </si>
  <si>
    <t xml:space="preserve">KOTVIČKA VSTŘEBATELNÁ LUPINE LOOP PRO STABILIZACI </t>
  </si>
  <si>
    <t>0070613</t>
  </si>
  <si>
    <t>NÁHRADA LOKETNÍHO KLOUBU EXPLOR</t>
  </si>
  <si>
    <t>0070614</t>
  </si>
  <si>
    <t>0070845</t>
  </si>
  <si>
    <t>DLAHA HÁČKOVÁ LCP KLÍČNÍ KOST TITAN</t>
  </si>
  <si>
    <t>0070875</t>
  </si>
  <si>
    <t>ČEP SAMOŘEZNÝ JISTÍCÍ TITAN</t>
  </si>
  <si>
    <t>0070900</t>
  </si>
  <si>
    <t>HŘEB HUMERUS TITAN</t>
  </si>
  <si>
    <t>0070920</t>
  </si>
  <si>
    <t>ZASLEPOVACÍ HLAVA HUMERUS PRODLUŽOVACÍ TITAN</t>
  </si>
  <si>
    <t>0071586</t>
  </si>
  <si>
    <t>FIXÁTOR HYBRIDNÍ KRUHOVÝ</t>
  </si>
  <si>
    <t>0071591</t>
  </si>
  <si>
    <t>0071595</t>
  </si>
  <si>
    <t>0071596</t>
  </si>
  <si>
    <t>0071601</t>
  </si>
  <si>
    <t>0071602</t>
  </si>
  <si>
    <t>0071605</t>
  </si>
  <si>
    <t>0072071</t>
  </si>
  <si>
    <t>DLAHA PATNÍ</t>
  </si>
  <si>
    <t>0072576</t>
  </si>
  <si>
    <t>NÁSTAVEC SHAVERU TVRDÝ FORMULA, SMALL-JOINT HOODED</t>
  </si>
  <si>
    <t>0073578</t>
  </si>
  <si>
    <t>ŠROUB SAMOŘEZNÝ KORTIKÁLNÍ MINI FRAGMENT TITAN</t>
  </si>
  <si>
    <t>0073582</t>
  </si>
  <si>
    <t>0073588</t>
  </si>
  <si>
    <t>0073615</t>
  </si>
  <si>
    <t>DLAHA ADAPTAČNÍ  MINI FRAGMENT MINI FRAGMENT TITAN</t>
  </si>
  <si>
    <t>0073660</t>
  </si>
  <si>
    <t>0073673</t>
  </si>
  <si>
    <t>0073679</t>
  </si>
  <si>
    <t>0074314</t>
  </si>
  <si>
    <t>ŠROUB ZAJIŠŤOVACÍ  TITANOVÝ TARGON</t>
  </si>
  <si>
    <t>0074317</t>
  </si>
  <si>
    <t>0074721</t>
  </si>
  <si>
    <t>HŘEB FEMORÁLNÍ PROXIMÁLNÍ TITANOVÝ DLOUHÝ TARGON P</t>
  </si>
  <si>
    <t>0074723</t>
  </si>
  <si>
    <t>ŠROUB ZAJIŠŤOVACÍ, SAMOŘEZNÝ, UZAMYKATELNÝ TI TARG</t>
  </si>
  <si>
    <t>0074724</t>
  </si>
  <si>
    <t>DLAHA  FEMORÁLNÍ PROXIMÁLNÍ S DYN. KOMPRES. OTVORY</t>
  </si>
  <si>
    <t>0074725</t>
  </si>
  <si>
    <t>ŠROUB TRAKČNÍ K DLAZE</t>
  </si>
  <si>
    <t>0074726</t>
  </si>
  <si>
    <t>ŠROUB KOMPRESNÍ  K DLAZE</t>
  </si>
  <si>
    <t>0074784</t>
  </si>
  <si>
    <t>ŠROUB DO KOSTI FIXAČNÍ</t>
  </si>
  <si>
    <t>0074790</t>
  </si>
  <si>
    <t>MATKA</t>
  </si>
  <si>
    <t>0076890</t>
  </si>
  <si>
    <t>ŠROUB SAMOŘEZNÝ JISTÍCÍ FEMUR DISTÁLNÍ TITAN</t>
  </si>
  <si>
    <t>0076900</t>
  </si>
  <si>
    <t>VRTULKA JISTÍCÍ FEMUR DISTÁLNÍ TITAN</t>
  </si>
  <si>
    <t>0076910</t>
  </si>
  <si>
    <t>HŘEB FEMUR DISTÁLNÍ KANYLOVANÝ UHLOVĚ STABILNÍ TIT</t>
  </si>
  <si>
    <t>0076929</t>
  </si>
  <si>
    <t>ZASLEPOVACÍ HLAVA FEMUR DISTÁLNÍ TITAN</t>
  </si>
  <si>
    <t>0076931</t>
  </si>
  <si>
    <t>HŘEB ELASTICKÝ TITAN</t>
  </si>
  <si>
    <t>0077114</t>
  </si>
  <si>
    <t>KOTVIČKA PRO SUTURU MENISKU VSTŘEBATELNÁ MITEK OMN</t>
  </si>
  <si>
    <t>0077116</t>
  </si>
  <si>
    <t>ŠROUB INTERFERENČNÍ TITANOVÝ KUROSAKA PRO REKONSTR</t>
  </si>
  <si>
    <t>0077117</t>
  </si>
  <si>
    <t>ŠROUB INTERFERENČNÍ VSTŘEB.ABSOLUTE/BIOINTRAFIX PR</t>
  </si>
  <si>
    <t>0077170</t>
  </si>
  <si>
    <t>HŘEBÍK PRO REKONSTRUKCI KŘÍŽOVÉHO VAZU RIGIDFIX VS</t>
  </si>
  <si>
    <t>0077759</t>
  </si>
  <si>
    <t>HŘEB HUMERÁLNÍ PROXIMÁLNÍ NITRODŘEŇOVÝ TITANOVÝ TA</t>
  </si>
  <si>
    <t>0077760</t>
  </si>
  <si>
    <t>HŘEB HUMERÁLNÍ NITRODŘEŇOVÝ TITANOVÝ TARGON H</t>
  </si>
  <si>
    <t>0077761</t>
  </si>
  <si>
    <t>ŠROUB ZAJIŠŤOVACÍ  TITANOVÝ TARGON PH/H</t>
  </si>
  <si>
    <t>0077762</t>
  </si>
  <si>
    <t>0081999</t>
  </si>
  <si>
    <t>V.A.C.GRANUFOAM(PU PĚNA) VELIKOST S</t>
  </si>
  <si>
    <t>0082000</t>
  </si>
  <si>
    <t>V.A.C.GRANUFOAM(PU PĚNA) VELIKOST M</t>
  </si>
  <si>
    <t>0082001</t>
  </si>
  <si>
    <t>V.A.C.GRANUFOAM(PU PĚNA) VELIKOST L</t>
  </si>
  <si>
    <t>0082002</t>
  </si>
  <si>
    <t>V.A.C.GRANUFOAM(PU PĚNA) VELIKOST XL</t>
  </si>
  <si>
    <t>0082153</t>
  </si>
  <si>
    <t>KRYCÍ FÓLIE</t>
  </si>
  <si>
    <t>0083212</t>
  </si>
  <si>
    <t>DLAHA LCP NIZKOPROFILOVÁ  REKONSTRUKČNÍ PÁNEV OCEL</t>
  </si>
  <si>
    <t>0083217</t>
  </si>
  <si>
    <t>0083227</t>
  </si>
  <si>
    <t>DLAHA LCP TIBIE DISTÁLNÍ ANTEROLATERÁLNÍ MALÝ FRAG</t>
  </si>
  <si>
    <t>0083228</t>
  </si>
  <si>
    <t>DLAHA LCP TIBIE DISTÁLNÍ MEDIÁLNÍ MALÝ FRAGMENT OC</t>
  </si>
  <si>
    <t>0083233</t>
  </si>
  <si>
    <t>0083241</t>
  </si>
  <si>
    <t>DLAHA LCP A VA-LCP OLEKRANON MALÝ FRAGMENT OCEL TI</t>
  </si>
  <si>
    <t>0083242</t>
  </si>
  <si>
    <t>DLAHA LCP OLEKRANON MALÝ FRAGMENT OCEL TITAN</t>
  </si>
  <si>
    <t>0083525</t>
  </si>
  <si>
    <t>NÁSTAVEC K SHAVERU FRÉZA FMS NESTERILNÍ</t>
  </si>
  <si>
    <t>0083526</t>
  </si>
  <si>
    <t>NÁSTAVEC K SHAVERU FRÉZA FMS NESTERILNÍ KULATÝ</t>
  </si>
  <si>
    <t>0083688</t>
  </si>
  <si>
    <t>DLAHA RADIÁLNÍ MATLOCK TI, UHL.STABIL.</t>
  </si>
  <si>
    <t>0083991</t>
  </si>
  <si>
    <t>ŠROUB ZAMYKACÍ HEXA DRIVE 7, APTUS RADIUS 2,5</t>
  </si>
  <si>
    <t>0083992</t>
  </si>
  <si>
    <t>0083993</t>
  </si>
  <si>
    <t>0084140</t>
  </si>
  <si>
    <t>DLAHA RADIÁLNÍ KOREKČNÍ TI, UHL.STABIL.</t>
  </si>
  <si>
    <t>0084283</t>
  </si>
  <si>
    <t>ŠROUB KORTIKÁLNÍ TI T-DRIVE</t>
  </si>
  <si>
    <t>0084305</t>
  </si>
  <si>
    <t>0084870</t>
  </si>
  <si>
    <t>KOTVIČKA TITANOVÁ MICROFIX PRO CHIRURGII RUKY</t>
  </si>
  <si>
    <t>0091802</t>
  </si>
  <si>
    <t>IMPLANTÁT KOSTNÍ UMĚLÁ NÁHRADA ŠTĚPU  CHRONOS STRI</t>
  </si>
  <si>
    <t>0091805</t>
  </si>
  <si>
    <t>0096072</t>
  </si>
  <si>
    <t>IMPLANTÁT KOSTNÍ UMĚLÁ NÁHRADA TKÁNĚ  PEROSSAL  IN</t>
  </si>
  <si>
    <t>0097029</t>
  </si>
  <si>
    <t>DLAHA LCP METAFYZÁRNÍ MALÝ FRAGMENT OCEL TITAN</t>
  </si>
  <si>
    <t>0097590</t>
  </si>
  <si>
    <t>ŠROUB INTERFERENČNÍ VSTŘEBATELNÝ MILAGRO PRO REKON</t>
  </si>
  <si>
    <t>0097776</t>
  </si>
  <si>
    <t>0097790</t>
  </si>
  <si>
    <t>DLAHA LCP HUMERUS DISTÁLNÍ MALÝ FRAGMENT TITAN</t>
  </si>
  <si>
    <t>0097804</t>
  </si>
  <si>
    <t>0097808</t>
  </si>
  <si>
    <t>ŠROUB LCP SAMOŘEZNÝ MALÝ FRAGMNET TITAN</t>
  </si>
  <si>
    <t>0097876</t>
  </si>
  <si>
    <t>PODLOŽKA MALÝ FRAGMENT TITAN</t>
  </si>
  <si>
    <t>0098626</t>
  </si>
  <si>
    <t>0098648</t>
  </si>
  <si>
    <t>0098664</t>
  </si>
  <si>
    <t>0099076</t>
  </si>
  <si>
    <t>HŘEB FEMORÁLNÍ PROXIMÁLNÍ, TI</t>
  </si>
  <si>
    <t>0099081</t>
  </si>
  <si>
    <t>ŠROUB KOTVÍCÍ, TI</t>
  </si>
  <si>
    <t>0099754</t>
  </si>
  <si>
    <t>0099756</t>
  </si>
  <si>
    <t>HŘEB KANYLOVANÝ FEMUR LATERÁLNÍ TITAN</t>
  </si>
  <si>
    <t>0099862</t>
  </si>
  <si>
    <t>0099934</t>
  </si>
  <si>
    <t>ŠROUB SAMOVRTNÝ KANYLOVANÝ VELKÝ FRAGMENT TITAN</t>
  </si>
  <si>
    <t>0099935</t>
  </si>
  <si>
    <t>0105244</t>
  </si>
  <si>
    <t>DLAHA ŽLÁBKOVÁ, ÚHL.STAB.,TI</t>
  </si>
  <si>
    <t>0105253</t>
  </si>
  <si>
    <t>DLAHA NA OLEKRANON, ÚHL.STAB.,TI</t>
  </si>
  <si>
    <t>0105256</t>
  </si>
  <si>
    <t>0105270</t>
  </si>
  <si>
    <t>DLAHA NA CALCANEUS, ÚHL.STAB.,TI</t>
  </si>
  <si>
    <t>0105290</t>
  </si>
  <si>
    <t>DLAHA RADIÁLNÍ, ÚHL.STAB.,TI</t>
  </si>
  <si>
    <t>0105308</t>
  </si>
  <si>
    <t>DLAHA FIBULÁRNÍ, ÚHL.STAB.,TI</t>
  </si>
  <si>
    <t>0105310</t>
  </si>
  <si>
    <t>0105312</t>
  </si>
  <si>
    <t>ŠROUB SPONGIÓZNÍ, HS3.0, SAMOŘEZNÝ, ÚHL.STAB.,TI</t>
  </si>
  <si>
    <t>0105322</t>
  </si>
  <si>
    <t>0105325</t>
  </si>
  <si>
    <t>ŠROUB KORTIKÁLNÍ, HS3.0, SAMOŘEZNÝ, ÚHL.STAB.,TI</t>
  </si>
  <si>
    <t>0105326</t>
  </si>
  <si>
    <t>0105474</t>
  </si>
  <si>
    <t>NÁHRADA RAMENNÍ SMR HLAVICE HUMERÁLNÍ PR. 42,44,46</t>
  </si>
  <si>
    <t>0105745</t>
  </si>
  <si>
    <t xml:space="preserve">DLAHA RADIÁLNÍ VOLÁRNÍ PRO FIXACI FRAK.V DISTÁLNÍ </t>
  </si>
  <si>
    <t>0105747</t>
  </si>
  <si>
    <t>0105749</t>
  </si>
  <si>
    <t>ŠROUB KORTIKÁLNÍ/HLADKÝ PRO FIXACI FRAK.V DIST.ČÁS</t>
  </si>
  <si>
    <t>0105752</t>
  </si>
  <si>
    <t>ŠROUB HLADKÝ ALPS PRO FIXACI FRAKTURY V DISTÁLNÍ Č</t>
  </si>
  <si>
    <t>0105763</t>
  </si>
  <si>
    <t>KOTVIČKA VSTŘEBATELNÁ  LUPINE LOOP PRO STABILIZACI</t>
  </si>
  <si>
    <t>0105869</t>
  </si>
  <si>
    <t>0105873</t>
  </si>
  <si>
    <t>0105875</t>
  </si>
  <si>
    <t>0105878</t>
  </si>
  <si>
    <t>0105904</t>
  </si>
  <si>
    <t>ŠROUB LCP VARIABILNÍ ÚHEL TITAN</t>
  </si>
  <si>
    <t>0105905</t>
  </si>
  <si>
    <t>0106020</t>
  </si>
  <si>
    <t>IMPLANTÁT PRO ŠLACHY UNIVERZÁLNÍ AREX</t>
  </si>
  <si>
    <t>0106875</t>
  </si>
  <si>
    <t>ŠROUB KORTIKÁLNÍ, HS3.0, SAMOŘEZNÝ, TI</t>
  </si>
  <si>
    <t>0106876</t>
  </si>
  <si>
    <t>0106877</t>
  </si>
  <si>
    <t>0107115</t>
  </si>
  <si>
    <t>ŠROUB KANYLOVANÝ KOMPRESNÍ TITAN</t>
  </si>
  <si>
    <t>0107118</t>
  </si>
  <si>
    <t>DLAHA LCP S/BEZ VARIABILNÍM ÚHLEM KLÍČNÍ KOST MALÝ</t>
  </si>
  <si>
    <t>0107193</t>
  </si>
  <si>
    <t>NÁHRADA PRSTNÍHO KLOUBU NECEMENTOVANÁ MCP PYROKARB</t>
  </si>
  <si>
    <t>0107229</t>
  </si>
  <si>
    <t>ŠROUB UZAMYKATELNÝ TITAN TARGON</t>
  </si>
  <si>
    <t>0107253</t>
  </si>
  <si>
    <t>DLAHA NA KLÍČNÍ KOST, ROZŠÍŘENÁ, ÚHL.STAB.,TI</t>
  </si>
  <si>
    <t>0107254</t>
  </si>
  <si>
    <t>0107287</t>
  </si>
  <si>
    <t>ŠROUB KOMPRESNÍ HBS MINI TI T-DRIVE</t>
  </si>
  <si>
    <t>0107502</t>
  </si>
  <si>
    <t>DLAHA LCP RADIUS DISTÁLNÍ TITAN</t>
  </si>
  <si>
    <t>0107768</t>
  </si>
  <si>
    <t>NÁHRADA PRSTNÍHO KLOUBU NECEMENTOVANÁ MCP SILIKONO</t>
  </si>
  <si>
    <t>0108027</t>
  </si>
  <si>
    <t>KOTVIČKA NEVSTŘEBATELNÁ (PEEK) HEALIX BR PRO SUTUR</t>
  </si>
  <si>
    <t>0108134</t>
  </si>
  <si>
    <t xml:space="preserve">ŠROUB VSTŘEBATELNÝ INTERFERENČNÍ PRO REKONSTRUKCI </t>
  </si>
  <si>
    <t>0108135</t>
  </si>
  <si>
    <t>ŠROUB VSTŘEBAT. INTERFERENČNÍ PRO REKONSTRUKCI ACL</t>
  </si>
  <si>
    <t>0108136</t>
  </si>
  <si>
    <t>DLAŽKA, TI, FEMORÁLNÍ FIXAČNÍ, NÁHRADA AC LIGAMENT</t>
  </si>
  <si>
    <t>0108142</t>
  </si>
  <si>
    <t>DLAHA VOLÁRNÍ WATERSHED, APTUS RADIUS 2,5</t>
  </si>
  <si>
    <t>0108531</t>
  </si>
  <si>
    <t>NÁHRADA PRSTNÍHO KLOUBU - SILIKONOVÁ</t>
  </si>
  <si>
    <t>0108758</t>
  </si>
  <si>
    <t>DLAHA ZAMYKACÍ PRO HLAVIČKU RADIA, APTUS</t>
  </si>
  <si>
    <t>0108764</t>
  </si>
  <si>
    <t>DLAHA LCP FIBULA DISTÁLNÍ MALÝ FRAGMENT OCEL TITAN</t>
  </si>
  <si>
    <t>0108765</t>
  </si>
  <si>
    <t>DLAHA LCP FIBULA DISTÁLNÍ MALÝ FRAGMENT STERILNÍ O</t>
  </si>
  <si>
    <t>0110101</t>
  </si>
  <si>
    <t>HŘEB KLAVIKULÁRNÍ, STATICKÝ</t>
  </si>
  <si>
    <t>0110664</t>
  </si>
  <si>
    <t>KOLÍK ODLAMOVACÍ K-SNAP</t>
  </si>
  <si>
    <t>0111454</t>
  </si>
  <si>
    <t>ŠROUB KORTIKÁLNÍ SAMOŘEZNÝ</t>
  </si>
  <si>
    <t>0111971</t>
  </si>
  <si>
    <t>ŠROUB KORTIKÁLNÍ TI SMART-DRIVE</t>
  </si>
  <si>
    <t>0111972</t>
  </si>
  <si>
    <t>ŠROUB UZAMYKATELNÝ KORTIKÁLNÍ TI SMART-DRIVE</t>
  </si>
  <si>
    <t>0111983</t>
  </si>
  <si>
    <t>ŠROUB KOMPRESNÍ HBS2 TI T-DRIVE</t>
  </si>
  <si>
    <t>0111990</t>
  </si>
  <si>
    <t>DLAHA RADIÁLNÍ IXOS P2 TI, UHL.STABIL.</t>
  </si>
  <si>
    <t>0111995</t>
  </si>
  <si>
    <t>DLAHA RADIÁLNÍ IXOS P4 TI, UHL.STABIL.</t>
  </si>
  <si>
    <t>0111996</t>
  </si>
  <si>
    <t>DLAHA RADIÁLNÍ IXOS P4 WAVE TI, UHL.STABIL.</t>
  </si>
  <si>
    <t>0112074</t>
  </si>
  <si>
    <t>CEMENT KOSTNÍ VANCOGENX VANCOMYCIN+GENTAMICIN 1X40</t>
  </si>
  <si>
    <t>0112572</t>
  </si>
  <si>
    <t>DRÁT HBS2 TI</t>
  </si>
  <si>
    <t>0111984</t>
  </si>
  <si>
    <t>0082421</t>
  </si>
  <si>
    <t>VIVANOMED (PU PĚNA) VELIKOST M</t>
  </si>
  <si>
    <t>0082418</t>
  </si>
  <si>
    <t>NÁDOBA SBĚRNÁ VIVANOTEC 800 ML</t>
  </si>
  <si>
    <t>0024990</t>
  </si>
  <si>
    <t>KOTVIČKA TITANOVÁ EASY PRO SUTURU RC</t>
  </si>
  <si>
    <t>0042708</t>
  </si>
  <si>
    <t>DLAHA PRO ZKRÁCENÍ ULNY A RADIUSU TI, UHL.STABIL.</t>
  </si>
  <si>
    <t>0048337</t>
  </si>
  <si>
    <t>LEPIDLO BIOLOGICKÉ CRYOLIFE BG-3005</t>
  </si>
  <si>
    <t>0006810</t>
  </si>
  <si>
    <t>ZÁTKA</t>
  </si>
  <si>
    <t>0099485</t>
  </si>
  <si>
    <t>ŠROUB ZAJIŠŤ,ČÁST ZÁVIT, PR. 5MM, TI</t>
  </si>
  <si>
    <t>0042715</t>
  </si>
  <si>
    <t>0111985</t>
  </si>
  <si>
    <t>0111988</t>
  </si>
  <si>
    <t>0082422</t>
  </si>
  <si>
    <t>VIVANOMED (PU PĚNA) VELIKOST L</t>
  </si>
  <si>
    <t>0083990</t>
  </si>
  <si>
    <t>0024991</t>
  </si>
  <si>
    <t>KOTVIČKA TITANOVÁ QUICK PRO SUTURU RC</t>
  </si>
  <si>
    <t>0073963</t>
  </si>
  <si>
    <t>0001974</t>
  </si>
  <si>
    <t>PODLOŽKA SPONGIOZNÍ OCEL</t>
  </si>
  <si>
    <t>0107245</t>
  </si>
  <si>
    <t>DLAHA RADIÁLNÍ HRS M2, ÚHL.STAB.,TI</t>
  </si>
  <si>
    <t>0001369</t>
  </si>
  <si>
    <t>FIXÁTOR ZEVNÍ, MALÝ, SYNTHES</t>
  </si>
  <si>
    <t>0001387</t>
  </si>
  <si>
    <t>0030850</t>
  </si>
  <si>
    <t>0001380</t>
  </si>
  <si>
    <t>0105327</t>
  </si>
  <si>
    <t>0001341</t>
  </si>
  <si>
    <t>0001223</t>
  </si>
  <si>
    <t>0042396</t>
  </si>
  <si>
    <t>0083232</t>
  </si>
  <si>
    <t>DLAHA LCP TIBIE DISTÁLNÍ MEDIÁLNÍ MALÝ FRAGMENT TI</t>
  </si>
  <si>
    <t>0083230</t>
  </si>
  <si>
    <t>0082420</t>
  </si>
  <si>
    <t>VIVANOMED (PU PĚNA) VELIKOST S</t>
  </si>
  <si>
    <t>0105748</t>
  </si>
  <si>
    <t>0008245</t>
  </si>
  <si>
    <t>FIXÁTOR ZEVNÍ - SVORKA FIXAČNÍ, PRO ULNU    37050</t>
  </si>
  <si>
    <t>0008238</t>
  </si>
  <si>
    <t>FIXÁTOR ZEVNÍ ZÁPĚSTÍ TYP PENNIG    35000</t>
  </si>
  <si>
    <t>0074962</t>
  </si>
  <si>
    <t>ŠROUB ZAJIŠŤOVACÍ SE ZÁVITEM, PŘÍMÝ</t>
  </si>
  <si>
    <t>0097802</t>
  </si>
  <si>
    <t>DLAHA LCP HUMERUS DISTÁLNÍ MALÝ FRAGMENT OCEL TITA</t>
  </si>
  <si>
    <t>0096079</t>
  </si>
  <si>
    <t>IMPLANTÁT KOSTNÍ UMĚLÁ NÁHRADA TKÁNĚ  OSTEOSET</t>
  </si>
  <si>
    <t>09227</t>
  </si>
  <si>
    <t>I. V. APLIKACE KRVE NEBO KREVNÍCH DERIVÁTŮ</t>
  </si>
  <si>
    <t>51393</t>
  </si>
  <si>
    <t>EXPLORATIVNÍ LAPAROTOMIE</t>
  </si>
  <si>
    <t>53152</t>
  </si>
  <si>
    <t>OTEVŘENÁ REPOZICE A OSTEOSYNTÉZA ZLOMENINY NEBO LU</t>
  </si>
  <si>
    <t>53159</t>
  </si>
  <si>
    <t>OTEVŘENÁ REPOZICE A OSTEOSYNTÉZA ZLOMENIN OBOU KOS</t>
  </si>
  <si>
    <t>53213</t>
  </si>
  <si>
    <t>ZAVŘENÁ REPOZICE A NITRODŘEŇOVA OSTEOSYNTÉZA ZLOME</t>
  </si>
  <si>
    <t>53253</t>
  </si>
  <si>
    <t xml:space="preserve">OTEVŘENÁ REPOZICE A OSTEOSYNTÉZA ZLOMENIN DIAFÝZY </t>
  </si>
  <si>
    <t>53413</t>
  </si>
  <si>
    <t>ZAVŘENÁ REPOZICE ZLOMENINY BÉRCE VČETNĚ NITROKLOUB</t>
  </si>
  <si>
    <t>53453</t>
  </si>
  <si>
    <t>OTEVŘENÁ REPOZICE ZLOMENINY NEBO LUXACE VÍCE METAT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</si>
  <si>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</si>
  <si>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</si>
  <si>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</si>
  <si>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</si>
  <si>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</si>
  <si>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</si>
  <si>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53473</t>
  </si>
  <si>
    <t>ZLOMENINA VELKÉHO TROCHANTERU</t>
  </si>
  <si>
    <t>53483</t>
  </si>
  <si>
    <t>ZLOMENINA  ACETABULA - OBOU PILÍŘŮ - LÉČENÁ OTEVŘE</t>
  </si>
  <si>
    <t>53513</t>
  </si>
  <si>
    <t>SUTURA ŠLACHY EXTENZORU - MIMO RUKU A ZÁPĚSTÍ - PŘ</t>
  </si>
  <si>
    <t>53519</t>
  </si>
  <si>
    <t>SUTURA ČERSTVÉHO PORANĚNÍ VAZIVOVÉHO APARÁTU V OBL</t>
  </si>
  <si>
    <t>53523</t>
  </si>
  <si>
    <t>SUTURA ČERSTVÉHO PORANĚNÍ JEDNOHO VAZU, EVENT. ŠLA</t>
  </si>
  <si>
    <t>56324</t>
  </si>
  <si>
    <t>DEKOMPRESE OSTATNÍCH VELKÝCH A STŘEDNÍCH NERVŮ</t>
  </si>
  <si>
    <t>61117</t>
  </si>
  <si>
    <t>SUTURA DIGITÁLNÍHO NEBO KOMUNÁLNÍHO DIGITÁLNÍHO NE</t>
  </si>
  <si>
    <t>61119</t>
  </si>
  <si>
    <t>SUTURA PERIFERNÍHO NERVU MIKROCHIRURGICKOU TECHNIK</t>
  </si>
  <si>
    <t>61137</t>
  </si>
  <si>
    <t>ODBĚR FASCIÁLNÍHO ŠTĚPU Z FASCIA LATA</t>
  </si>
  <si>
    <t>61139</t>
  </si>
  <si>
    <t>ODBĚR ŠLACHOVÉHO ŠTĚPU</t>
  </si>
  <si>
    <t>61147</t>
  </si>
  <si>
    <t>UZAVŘENÍ DEFEKTU KOŽNÍM LALOKEM MÍSTNÍM DO 10 CM^2</t>
  </si>
  <si>
    <t>61167</t>
  </si>
  <si>
    <t>TRANSPOZICE FASCIOKUTÁNNÍHO LALOKU</t>
  </si>
  <si>
    <t>61213</t>
  </si>
  <si>
    <t>IMPLANTACE SILIKONU PŘI DEFEKTU ŠLACHY</t>
  </si>
  <si>
    <t>61217</t>
  </si>
  <si>
    <t>TRANSPOZICE ŠLACHY FLEXORU</t>
  </si>
  <si>
    <t>61233</t>
  </si>
  <si>
    <t>KAPSULOTOMIE MP NEBO IP KLOUBU</t>
  </si>
  <si>
    <t>61237</t>
  </si>
  <si>
    <t>KOREKČNÍ OSTEOTOMIE FALANGY NEBO METAKARPU</t>
  </si>
  <si>
    <t>61253</t>
  </si>
  <si>
    <t xml:space="preserve">PALM. APONEUREKTOMIE U DLAŇOVÉ FORMY DUPUYTRENOVY </t>
  </si>
  <si>
    <t>66039</t>
  </si>
  <si>
    <t>SLOŽITÁ OPERAČNÍ ARTROSKOPIE</t>
  </si>
  <si>
    <t>66122</t>
  </si>
  <si>
    <t>EXARTIKULACE V KYČLI</t>
  </si>
  <si>
    <t>66133</t>
  </si>
  <si>
    <t>UDRŽOVÁNÍ PROPLACHOVÉ LAVÁŽE ZA JEDEN DEN</t>
  </si>
  <si>
    <t>66413</t>
  </si>
  <si>
    <t>AMPUTACE PRSTU RUKY NEBO ČLÁNKU PRSTU - ZA KAŽDÝ D</t>
  </si>
  <si>
    <t>66419</t>
  </si>
  <si>
    <t>ARTROPLASTIKA ZÁPĚSTÍ A RUKY</t>
  </si>
  <si>
    <t>66423</t>
  </si>
  <si>
    <t>ODSTRANĚNÍ EXOSTÓZY DORZA RUKY</t>
  </si>
  <si>
    <t>66429</t>
  </si>
  <si>
    <t>SYNOVEKTOMIE ZÁPĚSTÍ A RUKY</t>
  </si>
  <si>
    <t>66439</t>
  </si>
  <si>
    <t>REKONSTRUKCE JEDNODUCHÉ ŠLACHY - RUKA, ZÁPĚSTÍ - P</t>
  </si>
  <si>
    <t>66443</t>
  </si>
  <si>
    <t>PŘENOS JEDNOHO ŠLACHOVÉHO TRANSPLANTÁTU - RUKA, ZÁ</t>
  </si>
  <si>
    <t>66449</t>
  </si>
  <si>
    <t>IMPLANTACE TOTÁLNÍ ENDOPROTÉZY NA HORNÍ KONČETINĚ</t>
  </si>
  <si>
    <t>66453</t>
  </si>
  <si>
    <t>EXSTIRPACE HLAVIČKY RADIA, NEBO RADIÁLNÍ STYLOIDEK</t>
  </si>
  <si>
    <t>66459</t>
  </si>
  <si>
    <t>RESEKCE HLAVICE HUMERU</t>
  </si>
  <si>
    <t>66513</t>
  </si>
  <si>
    <t>RESEKCE KLÍČKU NEBO AKROMIA</t>
  </si>
  <si>
    <t>66643</t>
  </si>
  <si>
    <t>ARTRODÉZA NA DK S VÝJIMKOU KYČELNÍHO A SI KLOUBU</t>
  </si>
  <si>
    <t>66673</t>
  </si>
  <si>
    <t>OPERACE RECIDIVUJÍCÍ LUXACE HLAVIČKY FIBULY</t>
  </si>
  <si>
    <t>66689</t>
  </si>
  <si>
    <t xml:space="preserve">METATARZOFALANGEÁLNÍ INTERPOZIČNÍ ARTROPLASTIKA - </t>
  </si>
  <si>
    <t>66723</t>
  </si>
  <si>
    <t>REKONSTRUKCE PAKLOUBU V OBLASTI HLEZNA NEBO NOHY</t>
  </si>
  <si>
    <t>66749</t>
  </si>
  <si>
    <t>REKONSTRUKCE VAZŮ TC KLOUBU</t>
  </si>
  <si>
    <t>66753</t>
  </si>
  <si>
    <t>REPARACE ACHILLOVY ŠLACHY - ZASTARALÁ RUPTURA</t>
  </si>
  <si>
    <t>66819</t>
  </si>
  <si>
    <t>APLIKACE ZEVNÍHO FIXATÉRU</t>
  </si>
  <si>
    <t>66829</t>
  </si>
  <si>
    <t>ZAVEDENÍ PROPLACHOVÉ LAVÁŽE</t>
  </si>
  <si>
    <t>66849</t>
  </si>
  <si>
    <t>OPERACE EPIKONDYLITIDY</t>
  </si>
  <si>
    <t>66859</t>
  </si>
  <si>
    <t>DENERVACE VELKÝCH KLOUBŮ A SVALŮ</t>
  </si>
  <si>
    <t>66879</t>
  </si>
  <si>
    <t>OTEVŘENÁ SPONGIOPLASTIKA</t>
  </si>
  <si>
    <t>66919</t>
  </si>
  <si>
    <t>SEKVESTROTOMIE</t>
  </si>
  <si>
    <t>66929</t>
  </si>
  <si>
    <t>TENOLÝZA - ROZSÁHLÉ UVOLNĚNÍ JEDNÉ ŠLACHY - MIMO R</t>
  </si>
  <si>
    <t>66933</t>
  </si>
  <si>
    <t>TENODÉZA - MIMO RUKY</t>
  </si>
  <si>
    <t>67233</t>
  </si>
  <si>
    <t>AKUTNÍ SUTURA EXTENZOROVÉHO APARÁTU KOLENA S REKON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</si>
  <si>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</si>
  <si>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</si>
  <si>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</si>
  <si>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</si>
  <si>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</si>
  <si>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</si>
  <si>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09567</t>
  </si>
  <si>
    <t>(VZP) ZÁKROK NA LEVÉ STRANĚ</t>
  </si>
  <si>
    <t>09544</t>
  </si>
  <si>
    <t>REGULAČNÍ POPLATEK ZA KAŽDÝ DEN LŮŽKOVÉ PÉČE -- PO</t>
  </si>
  <si>
    <t>66041</t>
  </si>
  <si>
    <t>REKONSTRUKČNÍ ARTROSKOPIE SLOŽITÁ</t>
  </si>
  <si>
    <t>53457</t>
  </si>
  <si>
    <t>ZLOMENINY DOLNÍHO KONCE BÉRCE A HLEZNA S NITROKLOU</t>
  </si>
  <si>
    <t>00602</t>
  </si>
  <si>
    <t>OD TYPU 02 - PRO NEMOCNICE TYPU 3, (KATEGORIE 6)</t>
  </si>
  <si>
    <t>66841</t>
  </si>
  <si>
    <t>EXSTIRPACE NÁDORU MĚKKÝCH TKÁNÍ - HLUBOKO ULOŽENÝC</t>
  </si>
  <si>
    <t>99999</t>
  </si>
  <si>
    <t>Nespecifikovany vykon</t>
  </si>
  <si>
    <t>53490</t>
  </si>
  <si>
    <t>ROZSÁHLÉ DEBRIDEMENT SLOŽITÝCH OTEVŘENÝCH ZLOMENIN</t>
  </si>
  <si>
    <t>66515</t>
  </si>
  <si>
    <t>AKROMIOKLAVIKULÁRNÍ / STERNOKLAVIKULÁRNÍ REKONSTRU</t>
  </si>
  <si>
    <t>65920</t>
  </si>
  <si>
    <t>ODBĚR KOSTNÍHO ŠTĚPU Z PÁNVE</t>
  </si>
  <si>
    <t>51825</t>
  </si>
  <si>
    <t>SEKUNDÁRNÍ SUTURA RÁNY</t>
  </si>
  <si>
    <t>66637</t>
  </si>
  <si>
    <t>REKONSTRUKCE / OSTEOTOMIE NA DK - MIMO NOHY</t>
  </si>
  <si>
    <t>61245</t>
  </si>
  <si>
    <t>FENESTRACE ŠLACHOVÉ POCHVY</t>
  </si>
  <si>
    <t>51850</t>
  </si>
  <si>
    <t>PŘEVAZ RÁNY METODOU V. A. C. (VACUUM ASISTED CLOSU</t>
  </si>
  <si>
    <t>66461</t>
  </si>
  <si>
    <t>REKONSTRUKCE PAKLOUBU NA HK</t>
  </si>
  <si>
    <t>51021</t>
  </si>
  <si>
    <t>KOMPLEXNÍ VYŠETŘENÍ CHIRURGEM</t>
  </si>
  <si>
    <t>66437</t>
  </si>
  <si>
    <t>REKONSTRUKCE VAZŮ ZÁPĚSTÍ A RUKY</t>
  </si>
  <si>
    <t>51386</t>
  </si>
  <si>
    <t>SUTURA EV. EXCIZE A SUTURA LÉZE STĚNY ŽALUDKU NEBO</t>
  </si>
  <si>
    <t>66947</t>
  </si>
  <si>
    <t>ODBĚR FASCIÁLNÍHO NEBO KOSTNÍHO ŠTĚPU</t>
  </si>
  <si>
    <t>51311</t>
  </si>
  <si>
    <t>SPLENEKTOMIE</t>
  </si>
  <si>
    <t>62710</t>
  </si>
  <si>
    <t>SÍŤOVÁNÍ (MESHOVÁNÍ) ŠTĚPU DO ROZSAHU 5 % Z POVRCH</t>
  </si>
  <si>
    <t>66815</t>
  </si>
  <si>
    <t>AUTOGENNÍ ŠTĚP</t>
  </si>
  <si>
    <t>66817</t>
  </si>
  <si>
    <t>VÝPLŇ DUTINY</t>
  </si>
  <si>
    <t>66867</t>
  </si>
  <si>
    <t>EXCIZE A EXSTIRPACE SVALOVÉ - JEDNODUCHÉ</t>
  </si>
  <si>
    <t>53155</t>
  </si>
  <si>
    <t>OTEVŘENÁ REPOZICE - SYNTÉZA LUXACE KARPU - INTRAAR</t>
  </si>
  <si>
    <t>66675</t>
  </si>
  <si>
    <t>REKONSTRUKCE PSEUDOARTRÓZY NA DK - NE PROX. FEMUR</t>
  </si>
  <si>
    <t>66455</t>
  </si>
  <si>
    <t>REKONSTRUKCE KOSTI - OSTEOTOMIE NA HK</t>
  </si>
  <si>
    <t>53471</t>
  </si>
  <si>
    <t>ZLOMENINA HORNÍHO KONCE FEMURU - REPOZICE OTEVŘENÁ</t>
  </si>
  <si>
    <t>66457</t>
  </si>
  <si>
    <t>REKONSTRUKCE VAZŮ - LOKET, PŘEDLOKTÍ</t>
  </si>
  <si>
    <t>53157</t>
  </si>
  <si>
    <t>OTEVŘENÁ REPOZICE A OSTEOSYNTÉZA ZLOMENINY JEDNÉ K</t>
  </si>
  <si>
    <t>66851</t>
  </si>
  <si>
    <t>AMPUTACE DLOUHÉ KOSTI / EXARTIKULACE VELKÉHO KLOUB</t>
  </si>
  <si>
    <t>61255</t>
  </si>
  <si>
    <t>ROZŠÍŘENÁ APONEUREKTOMIE U FORMY DUPUYTRENOVY KONT</t>
  </si>
  <si>
    <t>53161</t>
  </si>
  <si>
    <t>OTEVŘENÁ REPOZICE A OSTEOSYNTÉZA IZOLOVANÉ ZLOMENI</t>
  </si>
  <si>
    <t>66441</t>
  </si>
  <si>
    <t>REKONSTRUKCE JEDNODUCHÉ ŠLACHY - RUKA, ZÁPĚSTÍ - D</t>
  </si>
  <si>
    <t>53257</t>
  </si>
  <si>
    <t xml:space="preserve">OTEVŘENÁ REPOZICE A OSTEOSYNTÉZA ZLOMENINY KLÍČNÍ </t>
  </si>
  <si>
    <t>53467</t>
  </si>
  <si>
    <t>ZLOMENINY TIBIÁLNÍHO NEBO FIBULÁRNÍHO PLATEAU TIBI</t>
  </si>
  <si>
    <t>53517</t>
  </si>
  <si>
    <t>SUTURA NEBO REINSERCE ŠLACHY FLEXORU RUKY A ZÁPĚST</t>
  </si>
  <si>
    <t>53461</t>
  </si>
  <si>
    <t>ZLOMENINA HORNÍHO KONCE TIBIE - DIAKONDYLICKÁ - (T</t>
  </si>
  <si>
    <t>NEKREKTOMIE DO 5 % POVRCHU TĚLA - TANGENCIÁLNÍ NEB</t>
  </si>
  <si>
    <t>53485</t>
  </si>
  <si>
    <t>ZLOMENINY PÁNEVNÍHO KRUHU - NESTABILNÍ - S OPERAČN</t>
  </si>
  <si>
    <t>99980</t>
  </si>
  <si>
    <t>(VZP) PACIENT S DIAGNOSTIKOVANÝM POLYTRAUMATEM S I</t>
  </si>
  <si>
    <t>62640</t>
  </si>
  <si>
    <t>ODBĚR DERMOEPIDERMÁLNÍHO ŠTĚPU: 1 - 5 % Z PLOCHY P</t>
  </si>
  <si>
    <t>66847</t>
  </si>
  <si>
    <t>TRANSPOZICE / TRANSPLANTACE ŠLACHY</t>
  </si>
  <si>
    <t>51011</t>
  </si>
  <si>
    <t>61135</t>
  </si>
  <si>
    <t>AUTOTRANSPLANTACE KOŽNÍM ŠTĚPEM V PLNÉ TLOUŠTCE DO</t>
  </si>
  <si>
    <t>66417</t>
  </si>
  <si>
    <t>ARTRODÉZA MALÝCH KLOUBŮ RUKY A NOHY - JEDNOHO</t>
  </si>
  <si>
    <t>53421</t>
  </si>
  <si>
    <t>LUXACE KYČELNÍHO KLOUBU - KONZERVATIVNÍ TERAPIE</t>
  </si>
  <si>
    <t>66871</t>
  </si>
  <si>
    <t>EXSTIRPACE BURZY - HLUBOKÁ</t>
  </si>
  <si>
    <t>66875</t>
  </si>
  <si>
    <t>TENOTOMIE OTEVŘENÁ - MIMO RUKY</t>
  </si>
  <si>
    <t>61221</t>
  </si>
  <si>
    <t>REKONSTRUKCE EXTENZOROVÉHO APARÁTU PRSTU RUKY</t>
  </si>
  <si>
    <t>66665</t>
  </si>
  <si>
    <t>REKONSTRUKCE CHRONICKÉ NESTABILITY KOLENNÍHO KLOUB</t>
  </si>
  <si>
    <t>53151</t>
  </si>
  <si>
    <t>OTEVĚNÁ REPOZICE A OSTEOSYNTÉZA ZLOMENINY NEBO LUX</t>
  </si>
  <si>
    <t>53521</t>
  </si>
  <si>
    <t>SUTURA ACHILLOVY ŠLACHY - ČERSTVÁ RUPTURA</t>
  </si>
  <si>
    <t>66825</t>
  </si>
  <si>
    <t>UPRAVENÍ ZEVNÍHO FIXATÉRU</t>
  </si>
  <si>
    <t>53451</t>
  </si>
  <si>
    <t>OTEVŘENÁ REPOZICE ZLOMENINY NEBO LUXACE JEDNOHO ME</t>
  </si>
  <si>
    <t>61211</t>
  </si>
  <si>
    <t>REKONSTRUKCE ŠLACHOVÉHO POUTKA</t>
  </si>
  <si>
    <t>66881</t>
  </si>
  <si>
    <t>EXCIZE / EXSTIRPACE EXOSTÓZY</t>
  </si>
  <si>
    <t>62440</t>
  </si>
  <si>
    <t>ŠTĚP PŘI POPÁLENÍ (A OSTATNÍCH KOŽNÍCH ZTRÁTÁCH) D</t>
  </si>
  <si>
    <t>53255</t>
  </si>
  <si>
    <t xml:space="preserve">OTEVŘENÁ REPOZICE A OSTEOSYNTÉZA ZLOMENIN HORNÍHO </t>
  </si>
  <si>
    <t>66931</t>
  </si>
  <si>
    <t xml:space="preserve">TENOLÝZA - ROZSÁHLÉ UVOLNĚNÍ KAŽDÉ DALŠÍ ŠLACHY - </t>
  </si>
  <si>
    <t>61215</t>
  </si>
  <si>
    <t>REKONSTRUKCE ŠLACHY FLEXORU ŠTĚPEM</t>
  </si>
  <si>
    <t>66921</t>
  </si>
  <si>
    <t>EXKOCHLEACE A SPONGIOPLASTIKA</t>
  </si>
  <si>
    <t>66661</t>
  </si>
  <si>
    <t>SUTURA MENISKU</t>
  </si>
  <si>
    <t>09569</t>
  </si>
  <si>
    <t>(VZP) ZÁKROK NA PRAVÉ STRANĚ</t>
  </si>
  <si>
    <t>53415</t>
  </si>
  <si>
    <t>ZAVŘENÁ REPOZICE LUXACE KOLENNÍHO KLOUBU NEBO PATE</t>
  </si>
  <si>
    <t>66827</t>
  </si>
  <si>
    <t>ZAVEDENÍ EXTENZE - SKELETÁLNÍ TRAKCE</t>
  </si>
  <si>
    <t>66887</t>
  </si>
  <si>
    <t>FASCIÁLNÍ REKONSTRUKCE ROZSÁHLÁ NA KONČETINÁCH</t>
  </si>
  <si>
    <t>53417</t>
  </si>
  <si>
    <t>66465</t>
  </si>
  <si>
    <t>REPARACE ŠLACHY M. BICEPS BRACHII</t>
  </si>
  <si>
    <t>67225</t>
  </si>
  <si>
    <t>ARTRODÉZA NA HK</t>
  </si>
  <si>
    <t>66435</t>
  </si>
  <si>
    <t>REKONSTRUKCE PSEUDOARTROZY NEBO EXCIZE ČLUNKOVÉ KO</t>
  </si>
  <si>
    <t>66627</t>
  </si>
  <si>
    <t>DEKOMPRESE - PÁNEV, KYČEL</t>
  </si>
  <si>
    <t>66925</t>
  </si>
  <si>
    <t>ODSTRANĚNÍ VOLNÝCH TĚLES Z VELKÝCH KLOUBŮ ARTROTOM</t>
  </si>
  <si>
    <t>66915</t>
  </si>
  <si>
    <t>DEKOMPRESE FASCIÁLNÍHO LOŽE</t>
  </si>
  <si>
    <t>62660</t>
  </si>
  <si>
    <t xml:space="preserve">ODBĚR DERMOEPIDERMÁLNÍHO ŠTĚPU: 5 - 10 % Z PLOCHY </t>
  </si>
  <si>
    <t>66865</t>
  </si>
  <si>
    <t>EXCIZE A EXSTIRPACE KOSTI - RESEKCE A NÁHRADA JINÝ</t>
  </si>
  <si>
    <t>61169</t>
  </si>
  <si>
    <t>TRANSPOZICE MUSKULÁRNÍHO LALOKU</t>
  </si>
  <si>
    <t>53455</t>
  </si>
  <si>
    <t>OTEVŘENÁ REPOZICE ZLOMENINY KOSTI PATNÍ</t>
  </si>
  <si>
    <t>66037</t>
  </si>
  <si>
    <t>JEDNODUCHÁ OPERAČNÍ ARTROSKOPIE</t>
  </si>
  <si>
    <t>61235</t>
  </si>
  <si>
    <t>ARTHRODÉZA MP NEBO IP KLOUBU</t>
  </si>
  <si>
    <t>66725</t>
  </si>
  <si>
    <t>REKONSTRUKCE / OSTEOTOMIE PATNÍ KOSTI</t>
  </si>
  <si>
    <t>66451</t>
  </si>
  <si>
    <t>ARTROPLASTIKA LOKETNÍHO KLOUBU</t>
  </si>
  <si>
    <t>66877</t>
  </si>
  <si>
    <t>TREPANACE A DRENÁŽ KOSTI</t>
  </si>
  <si>
    <t>66845</t>
  </si>
  <si>
    <t>REKONSTRUKCE JEDNÉ ŠLACHY</t>
  </si>
  <si>
    <t>53525</t>
  </si>
  <si>
    <t>SUTURA ČERSTVÉHO ROZSÁHLÉHO PORANĚNÍ VAZIVOVÉHO AP</t>
  </si>
  <si>
    <t>66721</t>
  </si>
  <si>
    <t xml:space="preserve">EXCIZE / EXSTIRPACE FASCIE,  APONEURÓZY V OBLASTI </t>
  </si>
  <si>
    <t>62330</t>
  </si>
  <si>
    <t>NEKREKTOMIE 5 - 10 % POVRCHU TĚLA - TANGENCIÁLNÍ N</t>
  </si>
  <si>
    <t>53425</t>
  </si>
  <si>
    <t>ZLOMENINY PÁNEVNÍHO KRUHU - NESTABILNÍ - KONZERVAT</t>
  </si>
  <si>
    <t>62670</t>
  </si>
  <si>
    <t>ODBĚR DERMOEPIDERMÁLNÍHO ŠTĚPU: 10 - 15 % Z PLOCHY</t>
  </si>
  <si>
    <t>62230</t>
  </si>
  <si>
    <t>UVOLŇUJÍCÍ NÁŘEZY NA KONČETINĚ</t>
  </si>
  <si>
    <t>66657</t>
  </si>
  <si>
    <t>DEBRIDEMENT V OBLASTI KOLENNÍHO KLOUBU BEZ SYNOVIA</t>
  </si>
  <si>
    <t>5T3</t>
  </si>
  <si>
    <t>0003952</t>
  </si>
  <si>
    <t>AMIKIN 500 MG</t>
  </si>
  <si>
    <t>0006480</t>
  </si>
  <si>
    <t>OCPLEX</t>
  </si>
  <si>
    <t>0011785</t>
  </si>
  <si>
    <t>AMIKIN 1 G</t>
  </si>
  <si>
    <t>0020605</t>
  </si>
  <si>
    <t>0045119</t>
  </si>
  <si>
    <t>VISIPAQUE 270 MG I/ML</t>
  </si>
  <si>
    <t>0089028</t>
  </si>
  <si>
    <t>IMMUNATE STIM PLUS 500</t>
  </si>
  <si>
    <t>0089029</t>
  </si>
  <si>
    <t>IMMUNATE STIM PLUS 1000</t>
  </si>
  <si>
    <t>0092207</t>
  </si>
  <si>
    <t>AUGMENTIN 1,2 G</t>
  </si>
  <si>
    <t>0094155</t>
  </si>
  <si>
    <t>ABAKTAL 400 MG/5 ML</t>
  </si>
  <si>
    <t>0137499</t>
  </si>
  <si>
    <t>0156404</t>
  </si>
  <si>
    <t>IMIPENEM/CILASTATIN HOSPIRA 500 MG/500 MG</t>
  </si>
  <si>
    <t>0007905</t>
  </si>
  <si>
    <t>0107959</t>
  </si>
  <si>
    <t>0001976</t>
  </si>
  <si>
    <t>0003013</t>
  </si>
  <si>
    <t>DLAHA REKONSTRUKČNÍ PÁNEV MALÝ FRAGMENT OCEL</t>
  </si>
  <si>
    <t>0010597</t>
  </si>
  <si>
    <t>HŘEB FEMUR UNIVERZÁLNÍ OCEL</t>
  </si>
  <si>
    <t>0020168</t>
  </si>
  <si>
    <t>ŠROUB MALEOLÁRNÍ</t>
  </si>
  <si>
    <t>0024855</t>
  </si>
  <si>
    <t>ZASLEPOVACÍ HLAVA FEMUR TITAN</t>
  </si>
  <si>
    <t>0024889</t>
  </si>
  <si>
    <t>HŘEB FEMUR TITAN</t>
  </si>
  <si>
    <t>0030512</t>
  </si>
  <si>
    <t>ZÁSOBNÍK PRO LINEÁRNÍ STAPLER TA PREMIUM 30-4.8 DL</t>
  </si>
  <si>
    <t>0035002</t>
  </si>
  <si>
    <t>ŠROUB STARDRIVE SAMOŘEZNÝ SPONGIOZNÍ ZAJIŠŤOVACÍ T</t>
  </si>
  <si>
    <t>0053772</t>
  </si>
  <si>
    <t>STAPLER LINEÁRNÍ S BŘITEM  TCT10,TLC10</t>
  </si>
  <si>
    <t>0056291</t>
  </si>
  <si>
    <t>KATETR BALONKOVÝ FOGARTY 120804F</t>
  </si>
  <si>
    <t>0070958</t>
  </si>
  <si>
    <t>ŠROUB NOSNÝ FEMUR PROXIMÁLNÍ OCEL</t>
  </si>
  <si>
    <t>0070959</t>
  </si>
  <si>
    <t>HŘEB FEMUR PROXIMÁLNÍ DLOUHÝ OCEL</t>
  </si>
  <si>
    <t>0070964</t>
  </si>
  <si>
    <t>ŠROUB SAMOŘEZNÝ ANTIROTAČNÍ FEMUR PROXIMÁLNÍ OCEL</t>
  </si>
  <si>
    <t>0074312</t>
  </si>
  <si>
    <t>ŠROUB KOMPRESNÍ ZAVÍRACÍ TARGON</t>
  </si>
  <si>
    <t>0074722</t>
  </si>
  <si>
    <t>HŘEB FEMORÁLNÍ PROXIMÁLNÍ TITANOVÝ KRÁTKÝ TARGON P</t>
  </si>
  <si>
    <t>0076924</t>
  </si>
  <si>
    <t>0077439</t>
  </si>
  <si>
    <t>0083205</t>
  </si>
  <si>
    <t>DLAHA LCP PÁNEV SYMFÝZA OCEL</t>
  </si>
  <si>
    <t>0097023</t>
  </si>
  <si>
    <t>0099080</t>
  </si>
  <si>
    <t>ZÁSLEPKA, TI</t>
  </si>
  <si>
    <t>0099484</t>
  </si>
  <si>
    <t>ŠROUB ZAJIŠŤ.,PLNÝ ZÁVIT,PR. 5MM, TI</t>
  </si>
  <si>
    <t>0108495</t>
  </si>
  <si>
    <t>HŘEB FEMORÁLNÍ PROXIMÁLNÍ TITANOVÝ TARGON PFT, 125</t>
  </si>
  <si>
    <t>0108496</t>
  </si>
  <si>
    <t>0108497</t>
  </si>
  <si>
    <t>ŠROUB SKLUZNÝ TELESKOPICKÝ TITANOVÝ TARGON PFT</t>
  </si>
  <si>
    <t>0108498</t>
  </si>
  <si>
    <t>ŠROUB ZAJIŠŤOVACÍ ANTIROTAČNÍ TITANOVÝ TARGON PFT</t>
  </si>
  <si>
    <t>0042091</t>
  </si>
  <si>
    <t>0001736</t>
  </si>
  <si>
    <t>0008239</t>
  </si>
  <si>
    <t>FIXÁTOR ZEVNÍ ZÁPĚSTÍ TYP PENNIG    35001</t>
  </si>
  <si>
    <t>0031490</t>
  </si>
  <si>
    <t>0031489</t>
  </si>
  <si>
    <t>DLAHA LCP TIBIE PROXIMÁLNÍ VELKÝ FRAGMENT TITAN</t>
  </si>
  <si>
    <t>0097835</t>
  </si>
  <si>
    <t>DRÁT VODÍCÍ</t>
  </si>
  <si>
    <t>0111959</t>
  </si>
  <si>
    <t>DLAHA PRO DISTÁLNÍ ULNU, APTUS RADIUS 2,5</t>
  </si>
  <si>
    <t>0099483</t>
  </si>
  <si>
    <t>ŠROUB KONDYLÁRNÍ PR. 5MM, TI</t>
  </si>
  <si>
    <t>0107228</t>
  </si>
  <si>
    <t>ŠROUB SKLUZNÝ TELESKOPICKÝ TITANOVÝ TARGON FN</t>
  </si>
  <si>
    <t>0107227</t>
  </si>
  <si>
    <t>DLAHA FEMORÁLNÍ TITANOVÁ TARGON FN</t>
  </si>
  <si>
    <t>0070960</t>
  </si>
  <si>
    <t>ZASLEPOVACÍ HLAVA PROXIMÁLNÍ FEMUR OCEL</t>
  </si>
  <si>
    <t>00655</t>
  </si>
  <si>
    <t>OD TYPU 55 - PRO NEMOCNICE TYPU 3, (KATEGORIE 6) -</t>
  </si>
  <si>
    <t>00658</t>
  </si>
  <si>
    <t>OD TYPU 58 - PRO NEMOCNICE TYPU 3, (KATEGORIE 6) -</t>
  </si>
  <si>
    <t>00657</t>
  </si>
  <si>
    <t>OD TYPU 57 - PRO NEMOCNICE TYPU 3, (KATEGORIE 6) -</t>
  </si>
  <si>
    <t>6F1</t>
  </si>
  <si>
    <t>61173</t>
  </si>
  <si>
    <t>VOLNÝ PŘENOS SVALOVÉHO A SVALOVĚ KOŽNÍHO LALOKU MI</t>
  </si>
  <si>
    <t>71823</t>
  </si>
  <si>
    <t>POUŽITÍ MIKROSKOPU PŘI OPERAČNÍM VÝKONU Á 10 MINUT</t>
  </si>
  <si>
    <t>62810</t>
  </si>
  <si>
    <t xml:space="preserve">ODBĚR KOŽNÍHO ŠTĚPU V PLNÉ TLOUŠŤCE DO ROZSAHU 20 </t>
  </si>
  <si>
    <t>6F5</t>
  </si>
  <si>
    <t>65936</t>
  </si>
  <si>
    <t xml:space="preserve">REPOZICE ZLOMENINY ZYGOMATIKOMAXILÁRNÍHO KOMPLEXU </t>
  </si>
  <si>
    <t>6F6</t>
  </si>
  <si>
    <t>66463</t>
  </si>
  <si>
    <t>OPERACE RECIDIVUJÍCÍ LUXACE RAMENNÍHO KLOUBU</t>
  </si>
  <si>
    <t>7F5</t>
  </si>
  <si>
    <t>56419</t>
  </si>
  <si>
    <t>POUŽITÍ OPERAČNÍHO MIKROSKOPU Á 15 MINUT</t>
  </si>
  <si>
    <t>75323</t>
  </si>
  <si>
    <t>PENETRUJÍCÍ A PERFORUJÍCÍ PORANĚNÍ OKA</t>
  </si>
  <si>
    <t>75397</t>
  </si>
  <si>
    <t>SUTURA LACERACE VÍČKA A SVALU</t>
  </si>
  <si>
    <t>7F6</t>
  </si>
  <si>
    <t>76427</t>
  </si>
  <si>
    <t>CIRKUMCIZE, DĚTI OD 3 LET A DOSPĚLÍ</t>
  </si>
  <si>
    <t>59</t>
  </si>
  <si>
    <t>Zdravotní výkony vykázané na pracovišti pro pacienty hospitalizované ve FNOL - orientační přehled</t>
  </si>
  <si>
    <t>00132</t>
  </si>
  <si>
    <t>A</t>
  </si>
  <si>
    <t xml:space="preserve">DLOUHODOBÁ MECHANICKÁ VENTILACE &gt; 96 HODIN (5-10 DNÍ) S EKONOMICKY NÁROČNÝM VÝKONEM S CC            </t>
  </si>
  <si>
    <t>01041</t>
  </si>
  <si>
    <t xml:space="preserve">VÝKONY NA KRANIÁLNÍCH A PERIFERNÍCH NERVECH BEZ CC                                                  </t>
  </si>
  <si>
    <t>01042</t>
  </si>
  <si>
    <t xml:space="preserve">VÝKONY NA KRANIÁLNÍCH A PERIFERNÍCH NERVECH S CC                                                    </t>
  </si>
  <si>
    <t>01061</t>
  </si>
  <si>
    <t xml:space="preserve">JINÉ VÝKONY PŘI ONEMOCNĚNÍCH A PORUCHÁCH NERVOVÉHO SYSTÉMU BEZ CC                                   </t>
  </si>
  <si>
    <t>01301</t>
  </si>
  <si>
    <t xml:space="preserve">PORUCHY A PORANĚNÍ MÍCHY BEZ CC                                                                     </t>
  </si>
  <si>
    <t>01371</t>
  </si>
  <si>
    <t xml:space="preserve">PORUCHY KRANIÁLNÍCH A PERIFERNÍCH NERVŮ BEZ CC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</si>
  <si>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</si>
  <si>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</si>
  <si>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</si>
  <si>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</si>
  <si>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01451</t>
  </si>
  <si>
    <t xml:space="preserve">OTŘES MOZKU BEZ CC                                                                                  </t>
  </si>
  <si>
    <t>01452</t>
  </si>
  <si>
    <t xml:space="preserve">OTŘES MOZKU S CC                                                                                    </t>
  </si>
  <si>
    <t>01453</t>
  </si>
  <si>
    <t xml:space="preserve">OTŘES MOZKU S MCC 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</si>
  <si>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</si>
  <si>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</si>
  <si>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02321</t>
  </si>
  <si>
    <t xml:space="preserve">JINÉ PORUCHY OKA BEZ CC                                                                             </t>
  </si>
  <si>
    <t>03031</t>
  </si>
  <si>
    <t xml:space="preserve">VÝKONY NA OBLIČEJOVÝCH KOSTECH. KROMĚ VELKÝCH VÝKONŮ NA HLAVĚ A KRKU BEZ CC                         </t>
  </si>
  <si>
    <t>03032</t>
  </si>
  <si>
    <t xml:space="preserve">VÝKONY NA OBLIČEJOVÝCH KOSTECH. KROMĚ VELKÝCH VÝKONŮ NA HLAVĚ A KRKU S CC                           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</si>
  <si>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</si>
  <si>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</si>
  <si>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</si>
  <si>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</si>
  <si>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04032</t>
  </si>
  <si>
    <t xml:space="preserve">JINÉ VÝKONY PŘI PORUCHÁCH A ONEMOCNĚNÍCH DÝCHACÍHO SYSTÉMU S CC                                     </t>
  </si>
  <si>
    <t>04310</t>
  </si>
  <si>
    <t xml:space="preserve">RESPIRAČNÍ SELHÁNÍ                                                                                  </t>
  </si>
  <si>
    <t>04331</t>
  </si>
  <si>
    <t xml:space="preserve">ZÁVAŽNÉ TRAUMA HRUDNÍKU BEZ CC                                                                      </t>
  </si>
  <si>
    <t>04332</t>
  </si>
  <si>
    <t xml:space="preserve">ZÁVAŽNÉ TRAUMA HRUDNÍKU S CC                                                                        </t>
  </si>
  <si>
    <t>04333</t>
  </si>
  <si>
    <t xml:space="preserve">ZÁVAŽNÉ TRAUMA HRUDNÍKU S MCC                                                                       </t>
  </si>
  <si>
    <t>04401</t>
  </si>
  <si>
    <t xml:space="preserve">PNEUMOTORAX A PLEURÁNÍ VÝPOTEK BEZ CC                                                               </t>
  </si>
  <si>
    <t>04402</t>
  </si>
  <si>
    <t xml:space="preserve">PNEUMOTORAX A PLEURÁNÍ VÝPOTEK S CC                                                                 </t>
  </si>
  <si>
    <t>04411</t>
  </si>
  <si>
    <t xml:space="preserve">PŘÍZNAKY. SYMPTOMY A JINÉ DIAGNÓZY DÝCHACÍHO SYSTÉMU BEZ CC                                         </t>
  </si>
  <si>
    <t>04412</t>
  </si>
  <si>
    <t xml:space="preserve">PŘÍZNAKY. SYMPTOMY A JINÉ DIAGNÓZY DÝCHACÍHO SYSTÉMU S CC                                           </t>
  </si>
  <si>
    <t>05141</t>
  </si>
  <si>
    <t xml:space="preserve">JINÉ VASKULÁRNÍ VÝKONY BEZ CC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</si>
  <si>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</si>
  <si>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</si>
  <si>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05373</t>
  </si>
  <si>
    <t xml:space="preserve">NEOBJASNĚNÁ SRDEČNÍ ZÁSTAVA S MCC                                                                   </t>
  </si>
  <si>
    <t>06381</t>
  </si>
  <si>
    <t xml:space="preserve">JINÉ PORUCHY TRÁVICÍHO SYSTÉMU BEZ CC                                                               </t>
  </si>
  <si>
    <t>08061</t>
  </si>
  <si>
    <t xml:space="preserve">VELKÉ VÝKONY REPLANTACE HORNÍCH KONČETIN A JEJICH KLOUBŮ BEZ CC                                     </t>
  </si>
  <si>
    <t>08072</t>
  </si>
  <si>
    <t xml:space="preserve">AMPUTACE PŘI PORUCHÁCH MUSKULOSKELETÁLNÍHO SYSTÉMU A POJIVOVÉ TKÁNĚ S CC                            </t>
  </si>
  <si>
    <t>08081</t>
  </si>
  <si>
    <t xml:space="preserve">VÝKONY NA KYČLÍCH A STEHENNÍ KOSTI. KROMĚ REPLANTACE VELKÝCH KLOUBŮ BEZ CC                          </t>
  </si>
  <si>
    <t>08082</t>
  </si>
  <si>
    <t xml:space="preserve">VÝKONY NA KYČLÍCH A STEHENNÍ KOSTI. KROMĚ REPLANTACE VELKÝCH KLOUBŮ S CC                            </t>
  </si>
  <si>
    <t>08083</t>
  </si>
  <si>
    <t xml:space="preserve">VÝKONY NA KYČLÍCH A STEHENNÍ KOSTI. KROMĚ REPLANTACE VELKÝCH KLOUBŮ S MCC                           </t>
  </si>
  <si>
    <t>08091</t>
  </si>
  <si>
    <t>TRANSPLANTACE KŮŽE NEBO TKÁNĚ PRO PORUCHY MUSKULOSKELETÁLNÍHO SYSTÉMU NEBO POJIVOVÉ TKÁNĚ KROMĚ RUKY</t>
  </si>
  <si>
    <t>08092</t>
  </si>
  <si>
    <t>08111</t>
  </si>
  <si>
    <t xml:space="preserve">VÝKONY NA KOLENU. BÉRCI A HLEZNU. KROMĚ CHODIDLA BEZ CC                                             </t>
  </si>
  <si>
    <t>08112</t>
  </si>
  <si>
    <t xml:space="preserve">VÝKONY NA KOLENU. BÉRCI A HLEZNU. KROMĚ CHODIDLA S CC                                               </t>
  </si>
  <si>
    <t>08113</t>
  </si>
  <si>
    <t xml:space="preserve">VÝKONY NA KOLENU. BÉRCI A HLEZNU. KROMĚ CHODIDLA S MCC                                              </t>
  </si>
  <si>
    <t>08121</t>
  </si>
  <si>
    <t xml:space="preserve">VYJMUTÍ VNITŘNÍHO FIXAČNÍHO ZAŘÍZENÍ BEZ CC                                                         </t>
  </si>
  <si>
    <t>08122</t>
  </si>
  <si>
    <t xml:space="preserve">VYJMUTÍ VNITŘNÍHO FIXAČNÍHO ZAŘÍZENÍ S CC                                                           </t>
  </si>
  <si>
    <t>08123</t>
  </si>
  <si>
    <t xml:space="preserve">VYJMUTÍ VNITŘNÍHO FIXAČNÍHO ZAŘÍZENÍ S MCC                                                          </t>
  </si>
  <si>
    <t>08131</t>
  </si>
  <si>
    <t xml:space="preserve">MÍSTNÍ RESEKCE NA MUSKULOSKELETÁLNÍM SYSTÉMU BEZ CC                                                 </t>
  </si>
  <si>
    <t>08132</t>
  </si>
  <si>
    <t xml:space="preserve">MÍSTNÍ RESEKCE NA MUSKULOSKELETÁLNÍM SYSTÉMU S CC                                                   </t>
  </si>
  <si>
    <t>08133</t>
  </si>
  <si>
    <t xml:space="preserve">MÍSTNÍ RESEKCE NA MUSKULOSKELETÁLNÍM SYSTÉMU S MCC                                                  </t>
  </si>
  <si>
    <t>08141</t>
  </si>
  <si>
    <t xml:space="preserve">VÝKONY NA CHODIDLE BEZ CC                                                                           </t>
  </si>
  <si>
    <t>08142</t>
  </si>
  <si>
    <t xml:space="preserve">VÝKONY NA CHODIDLE S CC                                                                             </t>
  </si>
  <si>
    <t>08151</t>
  </si>
  <si>
    <t xml:space="preserve">VÝKONY NA HORNÍCH KONČETINÁCH BEZ CC                                                                </t>
  </si>
  <si>
    <t>08152</t>
  </si>
  <si>
    <t xml:space="preserve">VÝKONY NA HORNÍCH KONČETINÁCH S CC                                                                  </t>
  </si>
  <si>
    <t>08153</t>
  </si>
  <si>
    <t xml:space="preserve">VÝKONY NA HORNÍCH KONČETINÁCH S MCC                                                                 </t>
  </si>
  <si>
    <t>08161</t>
  </si>
  <si>
    <t xml:space="preserve">VÝKONY NA MĚKKÉ TKÁNI BEZ CC                                                                        </t>
  </si>
  <si>
    <t>08162</t>
  </si>
  <si>
    <t xml:space="preserve">VÝKONY NA MĚKKÉ TKÁNI S CC                                                                          </t>
  </si>
  <si>
    <t>08171</t>
  </si>
  <si>
    <t xml:space="preserve">JINÉ VÝKONY PŘI PORUCHÁCH A ONEMOCNĚNÍCH MUSKULOSKELETÁLNÍHO SYSTÉMU A POJIVOVÉ TKÁNĚ BEZ CC        </t>
  </si>
  <si>
    <t>08172</t>
  </si>
  <si>
    <t xml:space="preserve">JINÉ VÝKONY PŘI PORUCHÁCH A ONEMOCNĚNÍCH MUSKULOSKELETÁLNÍHO SYSTÉMU A POJIVOVÉ TKÁNĚ S CC          </t>
  </si>
  <si>
    <t>08173</t>
  </si>
  <si>
    <t xml:space="preserve">JINÉ VÝKONY PŘI PORUCHÁCH A ONEMOCNĚNÍCH MUSKULOSKELETÁLNÍHO SYSTÉMU A POJIVOVÉ TKÁNĚ S MCC         </t>
  </si>
  <si>
    <t>08191</t>
  </si>
  <si>
    <t xml:space="preserve">ARTROSKOPIE BEZ CC                                                                                  </t>
  </si>
  <si>
    <t>08192</t>
  </si>
  <si>
    <t xml:space="preserve">ARTROSKOPIE S CC                                                                                    </t>
  </si>
  <si>
    <t>08301</t>
  </si>
  <si>
    <t xml:space="preserve">ZLOMENINY KOSTI STEHENNÍ BEZ CC                                                                     </t>
  </si>
  <si>
    <t>08311</t>
  </si>
  <si>
    <t xml:space="preserve">ZLOMENINA PÁNVE. NEBO DISLOKACE KYČLE BEZ CC                                                        </t>
  </si>
  <si>
    <t>08312</t>
  </si>
  <si>
    <t xml:space="preserve">ZLOMENINA PÁNVE. NEBO DISLOKACE KYČLE S CC                                                          </t>
  </si>
  <si>
    <t>08321</t>
  </si>
  <si>
    <t xml:space="preserve">ZLOMENINA NEBO DISLOKACE. KROMĚ STEHENNÍ KOSTI A PÁNVE BEZ CC                                       </t>
  </si>
  <si>
    <t>08322</t>
  </si>
  <si>
    <t xml:space="preserve">ZLOMENINA NEBO DISLOKACE. KROMĚ STEHENNÍ KOSTI A PÁNVE S CC                                         </t>
  </si>
  <si>
    <t>08342</t>
  </si>
  <si>
    <t xml:space="preserve">OSTEOMYELITIDA S CC                                                                                 </t>
  </si>
  <si>
    <t>08343</t>
  </si>
  <si>
    <t xml:space="preserve">OSTEOMYELITIDA S MCC                                         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</si>
  <si>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</si>
  <si>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</si>
  <si>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</si>
  <si>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</si>
  <si>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08391</t>
  </si>
  <si>
    <t xml:space="preserve">SELHÁNÍ. REAKCE A KOMPLIKACE ORTOPEDICKÉHO PŘÍSTROJE NEBO VÝKONU BEZ CC                             </t>
  </si>
  <si>
    <t>08392</t>
  </si>
  <si>
    <t xml:space="preserve">SELHÁNÍ. REAKCE A KOMPLIKACE ORTOPEDICKÉHO PŘÍSTROJE NEBO VÝKONU S CC                               </t>
  </si>
  <si>
    <t>08393</t>
  </si>
  <si>
    <t xml:space="preserve">SELHÁNÍ. REAKCE A KOMPLIKACE ORTOPEDICKÉHO PŘÍSTROJE NEBO VÝKONU S MCC                              </t>
  </si>
  <si>
    <t>08401</t>
  </si>
  <si>
    <t xml:space="preserve">MUSKULOSKELETÁLNÍ PŘÍZNAKY. SYMPTOMY. VÝRONY A MÉNĚ VÝZNAMNÉ ZÁNĚTLIVÉ CHOROBY BEZ CC               </t>
  </si>
  <si>
    <t>08411</t>
  </si>
  <si>
    <t xml:space="preserve">JINÉ PORUCHY MUSKULOSKELETÁLNÍHO SYSTÉMU A POJIVOVÉ TKÁNĚ BEZ CC                                    </t>
  </si>
  <si>
    <t>08412</t>
  </si>
  <si>
    <t xml:space="preserve">JINÉ PORUCHY MUSKULOSKELETÁLNÍHO SYSTÉMU A POJIVOVÉ TKÁNĚ S CC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</si>
  <si>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</si>
  <si>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</si>
  <si>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</si>
  <si>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</si>
  <si>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09031</t>
  </si>
  <si>
    <t xml:space="preserve">JINÉ VÝKONY PŘI PORUCHÁCH A ONEMOCNĚNÍCH KŮŽE. PODKOŽNÍ TKÁNĚ A PRSU BEZ CC                         </t>
  </si>
  <si>
    <t>09033</t>
  </si>
  <si>
    <t xml:space="preserve">JINÉ VÝKONY PŘI PORUCHÁCH A ONEMOCNĚNÍCH KŮŽE. PODKOŽNÍ TKÁNĚ A PRSU S MCC                          </t>
  </si>
  <si>
    <t>09321</t>
  </si>
  <si>
    <t xml:space="preserve">FLEGMÓNA BEZ CC                                                                                     </t>
  </si>
  <si>
    <t>09322</t>
  </si>
  <si>
    <t xml:space="preserve">FLEGMÓNA S CC                                                                                       </t>
  </si>
  <si>
    <t>09331</t>
  </si>
  <si>
    <t xml:space="preserve">PORANĚNÍ KŮŽE. PODKOŽNÍ TKÁNĚ A PRSU BEZ CC                                                         </t>
  </si>
  <si>
    <t>09332</t>
  </si>
  <si>
    <t xml:space="preserve">PORANĚNÍ KŮŽE. PODKOŽNÍ TKÁNĚ A PRSU S CC                                                           </t>
  </si>
  <si>
    <t>16342</t>
  </si>
  <si>
    <t xml:space="preserve">JINÉ PORUCHY KRVE A KRVETVORNÝCH ORGÁNŮ S CC                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</si>
  <si>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</si>
  <si>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</si>
  <si>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</si>
  <si>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</si>
  <si>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18311</t>
  </si>
  <si>
    <t xml:space="preserve">POOPERAČNÍ A POÚRAZOVÉ INFEKCE BEZ CC                                                               </t>
  </si>
  <si>
    <t>18312</t>
  </si>
  <si>
    <t xml:space="preserve">POOPERAČNÍ A POÚRAZOVÉ INFEKCE S CC                                                                 </t>
  </si>
  <si>
    <t>18313</t>
  </si>
  <si>
    <t xml:space="preserve">POOPERAČNÍ A POÚRAZOVÉ INFEKCE S MCC                                                                </t>
  </si>
  <si>
    <t>21021</t>
  </si>
  <si>
    <t xml:space="preserve">JINÉ VÝKONY PŘI ÚRAZECH A KOMPLIKACÍCH BEZ CC                                                       </t>
  </si>
  <si>
    <t>21022</t>
  </si>
  <si>
    <t xml:space="preserve">JINÉ VÝKONY PŘI ÚRAZECH A KOMPLIKACÍCH S CC                                                         </t>
  </si>
  <si>
    <t>21301</t>
  </si>
  <si>
    <t xml:space="preserve">PORANĚNÍ NA NESPECIFIKOVANÉM MÍSTĚ NEBO NA VÍCE MÍSTECH BEZ CC                                      </t>
  </si>
  <si>
    <t>21331</t>
  </si>
  <si>
    <t xml:space="preserve">KOMPLIKACE PŘI LÉČENÍ BEZ CC                                                                        </t>
  </si>
  <si>
    <t>21351</t>
  </si>
  <si>
    <t xml:space="preserve">JINÉ DIAGNÓZY ZRANĚNÍ. OTRAVY A TOXICKÝCH ÚČINKŮ BEZ CC                                             </t>
  </si>
  <si>
    <t>21353</t>
  </si>
  <si>
    <t xml:space="preserve">JINÉ DIAGNÓZY ZRANĚNÍ. OTRAVY A TOXICKÝCH ÚČINKŮ S MCC                                              </t>
  </si>
  <si>
    <t>22541</t>
  </si>
  <si>
    <t>POPÁLENINY OMEZENÉHO ROZSAHU POSTIHUJÍCÍ VŠECHNY VRSTVY KŮŽE. BEZ KOŽNÍHO ŠTĚPU NEBO INHALAČNÍHO POR</t>
  </si>
  <si>
    <t>23301</t>
  </si>
  <si>
    <t xml:space="preserve">REHABILITACE BEZ CC                                                                                 </t>
  </si>
  <si>
    <t>23402</t>
  </si>
  <si>
    <t xml:space="preserve">REHABILITACE 5-13 DNÍ S CC                                                                          </t>
  </si>
  <si>
    <t>25012</t>
  </si>
  <si>
    <t xml:space="preserve">KRANIOTOMIE. VELKÝ VÝKON NA PÁTEŘI. KYČLI A KONČ. PŘI MNOHOČETNÉM ZÁVAŽNÉM TRAUMATU S CC            </t>
  </si>
  <si>
    <t>25013</t>
  </si>
  <si>
    <t xml:space="preserve">KRANIOTOMIE. VELKÝ VÝKON NA PÁTEŘI. KYČLI A KONČ. PŘI MNOHOČETNÉM ZÁVAŽNÉM TRAUMATU S MCC           </t>
  </si>
  <si>
    <t>25021</t>
  </si>
  <si>
    <t xml:space="preserve">JINÉ VÝKONY PŘI MNOHOČETNÉM ZÁVAŽNÉM TRAUMATU BEZ CC                                                </t>
  </si>
  <si>
    <t>25022</t>
  </si>
  <si>
    <t xml:space="preserve">JINÉ VÝKONY PŘI MNOHOČETNÉM ZÁVAŽNÉM TRAUMATU S CC                                                  </t>
  </si>
  <si>
    <t>25023</t>
  </si>
  <si>
    <t xml:space="preserve">JINÉ VÝKONY PŘI MNOHOČETNÉM ZÁVAŽNÉM TRAUMATU S MCC                                                 </t>
  </si>
  <si>
    <t>25073</t>
  </si>
  <si>
    <t>DLOUHODOBÁ MECHANICKÁ VENTILACE PŘI POLYTRAUMATU &gt; 96 HODIN (5-10 DNÍ) S EKONOMICKY NÁROČNÝM VÝKONEM</t>
  </si>
  <si>
    <t>25301</t>
  </si>
  <si>
    <t xml:space="preserve">DIAGNÓZY TÝKAJÍCÍ SE HLAVY. HRUDNÍKU A DOLNÍCH KONČETIN PŘI MNOHOČETNÉM ZÁVAŽNÉM TRAUMATU BEZ CC    </t>
  </si>
  <si>
    <t>25302</t>
  </si>
  <si>
    <t xml:space="preserve">DIAGNÓZY TÝKAJÍCÍ SE HLAVY. HRUDNÍKU A DOLNÍCH KONČETIN PŘI MNOHOČETNÉM ZÁVAŽNÉM TRAUMATU S CC      </t>
  </si>
  <si>
    <t>25303</t>
  </si>
  <si>
    <t xml:space="preserve">DIAGNÓZY TÝKAJÍCÍ SE HLAVY. HRUDNÍKU A DOLNÍCH KONČETIN PŘI MNOHOČETNÉM ZÁVAŽNÉM TRAUMATU S MCC     </t>
  </si>
  <si>
    <t>25312</t>
  </si>
  <si>
    <t xml:space="preserve">JINÉ DIAGNÓZY MNOHOČETNÉHO ZÁVAŽNÉHO TRAUMATU S CC                                                  </t>
  </si>
  <si>
    <t>25313</t>
  </si>
  <si>
    <t xml:space="preserve">JINÉ DIAGNÓZY MNOHOČETNÉHO ZÁVAŽNÉHO TRAUMATU S MCC                                                 </t>
  </si>
  <si>
    <t>88871</t>
  </si>
  <si>
    <t xml:space="preserve">ROZSÁHLÉ VÝKONY. KTERÉ SE NETÝKAJÍ HLAVNÍ DIAGNÓZY BEZ CC                                           </t>
  </si>
  <si>
    <t>88872</t>
  </si>
  <si>
    <t xml:space="preserve">ROZSÁHLÉ VÝKONY. KTERÉ SE NETÝKAJÍ HLAVNÍ DIAGNÓZY S CC                                             </t>
  </si>
  <si>
    <t>88873</t>
  </si>
  <si>
    <t xml:space="preserve">ROZSÁHLÉ VÝKONY. KTERÉ SE NETÝKAJÍ HLAVNÍ DIAGNÓZY S MCC                                            </t>
  </si>
  <si>
    <t>88891</t>
  </si>
  <si>
    <t xml:space="preserve">VÝKONY OMEZENÉHO ROZSAHU. KTERÉ SE NETÝKAJÍ HLAVNÍ DIAGNÓZY BEZ CC                                  </t>
  </si>
  <si>
    <t>88893</t>
  </si>
  <si>
    <t xml:space="preserve">VÝKONY OMEZENÉHO ROZSAHU. KTERÉ SE NETÝKAJÍ HLAVNÍ DIAGNÓZY S MCC                                   </t>
  </si>
  <si>
    <t>Porovnání jednotlivých IR DRG skupin</t>
  </si>
  <si>
    <t>22 - KLINIKA NUKLEÁRNÍ MEDICÍNY</t>
  </si>
  <si>
    <t>32 - HEMATO-ONKOLOGICKÁ KLINIKA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</si>
  <si>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</si>
  <si>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</si>
  <si>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</si>
  <si>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</si>
  <si>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</si>
  <si>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603</t>
  </si>
  <si>
    <t>82056</t>
  </si>
  <si>
    <t>MIKROSKOPICKÉ STANOVENÍ MIKROBIÁLNÍHO OBRAZU POŠEV</t>
  </si>
  <si>
    <t>22</t>
  </si>
  <si>
    <t>407</t>
  </si>
  <si>
    <t>0093626</t>
  </si>
  <si>
    <t>ULTRAVIST 370</t>
  </si>
  <si>
    <t>0002027</t>
  </si>
  <si>
    <t>0002061</t>
  </si>
  <si>
    <t>0002073</t>
  </si>
  <si>
    <t>0002087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</si>
  <si>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</si>
  <si>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</si>
  <si>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</si>
  <si>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</si>
  <si>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</si>
  <si>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</si>
  <si>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47241</t>
  </si>
  <si>
    <t>SCINTIGRAFIE SKELETU</t>
  </si>
  <si>
    <t>47237</t>
  </si>
  <si>
    <t>DETEKCE ZÁNĚTLIVÝCH LOŽISEK POMOCI AUTOLOGNÍCH LEU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</si>
  <si>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</si>
  <si>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</si>
  <si>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</si>
  <si>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</si>
  <si>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</si>
  <si>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</si>
  <si>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</si>
  <si>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</si>
  <si>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</si>
  <si>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</si>
  <si>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</si>
  <si>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</si>
  <si>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</si>
  <si>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</si>
  <si>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</si>
  <si>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</si>
  <si>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</si>
  <si>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</si>
  <si>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</si>
  <si>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</si>
  <si>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</si>
  <si>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</si>
  <si>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</si>
  <si>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</si>
  <si>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</si>
  <si>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</si>
  <si>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</si>
  <si>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</si>
  <si>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</si>
  <si>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</si>
  <si>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96145</t>
  </si>
  <si>
    <t>DAPTT - SCREENING LA</t>
  </si>
  <si>
    <t>96325</t>
  </si>
  <si>
    <t>FIBRINOGEN (SÉRIE)</t>
  </si>
  <si>
    <t>96193</t>
  </si>
  <si>
    <t>FAKTOR IX - STANOVENÍ AKTIVITY</t>
  </si>
  <si>
    <t>96863</t>
  </si>
  <si>
    <t>STANOVENÍ POČTU ERYTROBLASTŮ NA AUTOMATICKÉM ANALY</t>
  </si>
  <si>
    <t>96839</t>
  </si>
  <si>
    <t>FAKTOR XII - STANOVENÍ AKTIVITY</t>
  </si>
  <si>
    <t>96249</t>
  </si>
  <si>
    <t>AGREGACE TROMBOCYTŮ INDUKOVANÁ OSTATNÍMI INDUKTORY</t>
  </si>
  <si>
    <t>96155</t>
  </si>
  <si>
    <t>VON WILLEBRANDŮV  FAKTOR KVANTITATIVNĚ</t>
  </si>
  <si>
    <t>96189</t>
  </si>
  <si>
    <t>FAKTOR VII - STANOVENÍ AKTIVITY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</si>
  <si>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</si>
  <si>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</si>
  <si>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</si>
  <si>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</si>
  <si>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</si>
  <si>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</si>
  <si>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</si>
  <si>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</si>
  <si>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</si>
  <si>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</si>
  <si>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</si>
  <si>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</si>
  <si>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</si>
  <si>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</si>
  <si>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</si>
  <si>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</si>
  <si>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</si>
  <si>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</si>
  <si>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</si>
  <si>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</si>
  <si>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</si>
  <si>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</si>
  <si>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</si>
  <si>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</si>
  <si>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</si>
  <si>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</si>
  <si>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</si>
  <si>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</si>
  <si>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81427</t>
  </si>
  <si>
    <t>FOSFOR ANORGANICKÝ</t>
  </si>
  <si>
    <t>81527</t>
  </si>
  <si>
    <t>CHOLESTEROL LDL</t>
  </si>
  <si>
    <t>81681</t>
  </si>
  <si>
    <t>25-HYDROXYVITAMIN D (25 OHD)</t>
  </si>
  <si>
    <t>81717</t>
  </si>
  <si>
    <t>STANOVENÍ KONCENTRACE PROTEINU S-100B (S-100BB, S-</t>
  </si>
  <si>
    <t>81731</t>
  </si>
  <si>
    <t>STANOVENÍ NATRIURETICKÝCH PEPTIDŮ V SÉRU A V PLAZM</t>
  </si>
  <si>
    <t>91141</t>
  </si>
  <si>
    <t>STANOVENÍ CERULOPLASMINU</t>
  </si>
  <si>
    <t>91481</t>
  </si>
  <si>
    <t>STANOVENÍ KONCENTRACE PROCALCITONINU</t>
  </si>
  <si>
    <t>91495</t>
  </si>
  <si>
    <t>AUTOPROTILÁTKY PROTI GAD</t>
  </si>
  <si>
    <t>93171</t>
  </si>
  <si>
    <t>PARATHORMON</t>
  </si>
  <si>
    <t>93187</t>
  </si>
  <si>
    <t>TYROXIN CELKOVÝ (TT4)</t>
  </si>
  <si>
    <t>93191</t>
  </si>
  <si>
    <t>TESTOSTERON</t>
  </si>
  <si>
    <t>93217</t>
  </si>
  <si>
    <t>AUTOPROTILÁTKY PROTI MIKROSOMÁLNÍMU ANTIGENU</t>
  </si>
  <si>
    <t>93231</t>
  </si>
  <si>
    <t>TYREOGLOBULIN AUTOPROTILÁTKY</t>
  </si>
  <si>
    <t>93247</t>
  </si>
  <si>
    <t>OSTEÁZA (KOSTNÍ FRAKCE ALKALICKÉ FOSFATÁZY)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</si>
  <si>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</si>
  <si>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</si>
  <si>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</si>
  <si>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</si>
  <si>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</si>
  <si>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</si>
  <si>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</si>
  <si>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</si>
  <si>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</si>
  <si>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</si>
  <si>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</si>
  <si>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</si>
  <si>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</si>
  <si>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</si>
  <si>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</si>
  <si>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</si>
  <si>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</si>
  <si>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</si>
  <si>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</si>
  <si>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</si>
  <si>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</si>
  <si>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</si>
  <si>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81169</t>
  </si>
  <si>
    <t>KREATININ STATIM</t>
  </si>
  <si>
    <t>81143</t>
  </si>
  <si>
    <t>LAKTÁTDEHYDROGENÁZA STATIM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</si>
  <si>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</si>
  <si>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</si>
  <si>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</si>
  <si>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</si>
  <si>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</si>
  <si>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</si>
  <si>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</si>
  <si>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</si>
  <si>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</si>
  <si>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</si>
  <si>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</si>
  <si>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</si>
  <si>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</si>
  <si>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</si>
  <si>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</si>
  <si>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</si>
  <si>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</si>
  <si>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</si>
  <si>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93235</t>
  </si>
  <si>
    <t>AUTOPROTILÁTKY PROTI RECEPTORŮM (hTSH)</t>
  </si>
  <si>
    <t>81139</t>
  </si>
  <si>
    <t>VÁPNÍK CELKOVÝ STATIM</t>
  </si>
  <si>
    <t>91143</t>
  </si>
  <si>
    <t>STANOVENÍ PREALBUMINU</t>
  </si>
  <si>
    <t>81465</t>
  </si>
  <si>
    <t>HOŘČÍK</t>
  </si>
  <si>
    <t>93159</t>
  </si>
  <si>
    <t>CHORIOGONADOTROPIN (HCG)</t>
  </si>
  <si>
    <t>81533</t>
  </si>
  <si>
    <t>LIPÁZA</t>
  </si>
  <si>
    <t>91499</t>
  </si>
  <si>
    <t>AUTOPROTILÁTKY IA2</t>
  </si>
  <si>
    <t>93263</t>
  </si>
  <si>
    <t>KARBOHYDRÁT-DEFICIENTNÍ TRANSFERIN (CDT)</t>
  </si>
  <si>
    <t>81125</t>
  </si>
  <si>
    <t>BÍLKOVINY CELKOVÉ (SÉRUM) STATIM</t>
  </si>
  <si>
    <t>93145</t>
  </si>
  <si>
    <t>C-PEPTID</t>
  </si>
  <si>
    <t>81123</t>
  </si>
  <si>
    <t>BILIRUBIN KONJUGOVANÝ STATIM</t>
  </si>
  <si>
    <t>93185</t>
  </si>
  <si>
    <t>TRIJODTYRONIN CELKOVÝ (TT3)</t>
  </si>
  <si>
    <t>93135</t>
  </si>
  <si>
    <t>MYOGLOBIN V SÉRII</t>
  </si>
  <si>
    <t>93259</t>
  </si>
  <si>
    <t>CROSSLAPS</t>
  </si>
  <si>
    <t>81233</t>
  </si>
  <si>
    <t>KARBONYLHEMOGLOBIN KVANTITATIVNĚ</t>
  </si>
  <si>
    <t>93255</t>
  </si>
  <si>
    <t>PROKOLAGEN I. TYPU: PI - NP</t>
  </si>
  <si>
    <t>34</t>
  </si>
  <si>
    <t>809</t>
  </si>
  <si>
    <t>0002918</t>
  </si>
  <si>
    <t>MULTIHANCE</t>
  </si>
  <si>
    <t>0022075</t>
  </si>
  <si>
    <t>IOMERON 400</t>
  </si>
  <si>
    <t>0042433</t>
  </si>
  <si>
    <t>VISIPAQUE 320 MG I/ML</t>
  </si>
  <si>
    <t>0045123</t>
  </si>
  <si>
    <t>0065978</t>
  </si>
  <si>
    <t>DOTAREM</t>
  </si>
  <si>
    <t>0077018</t>
  </si>
  <si>
    <t>0077019</t>
  </si>
  <si>
    <t>0077024</t>
  </si>
  <si>
    <t>ULTRAVIST 300</t>
  </si>
  <si>
    <t>0038462</t>
  </si>
  <si>
    <t>DRÁT VODÍCÍ GUIDE WIRE M</t>
  </si>
  <si>
    <t>0038482</t>
  </si>
  <si>
    <t>0038483</t>
  </si>
  <si>
    <t>0038498</t>
  </si>
  <si>
    <t>KATETR ANGIOGRAFICKÝ GLIDECATH</t>
  </si>
  <si>
    <t>0053563</t>
  </si>
  <si>
    <t>KATETR DIAGNOSTICKÝ TEMPO4F,5F</t>
  </si>
  <si>
    <t>0056361</t>
  </si>
  <si>
    <t>ZAVADĚČ FLEXOR BALKIN RADIOOPÁKNÍ ZNAČKA</t>
  </si>
  <si>
    <t>0056365</t>
  </si>
  <si>
    <t>ZAVADĚČ MIKROPUNKČNÍ, NITINOLOVÝ VODIČ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</si>
  <si>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</si>
  <si>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</si>
  <si>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</si>
  <si>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</si>
  <si>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</si>
  <si>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0057844</t>
  </si>
  <si>
    <t>TĚLÍSKO EMBOLIZAČNÍ TORNADO</t>
  </si>
  <si>
    <t>0058736</t>
  </si>
  <si>
    <t>TĚLÍSKO EMBOLIZAČNÍ NESTER</t>
  </si>
  <si>
    <t>0059795</t>
  </si>
  <si>
    <t>DRÁT VODÍCÍ ANGIODYN J3 FC-FS 150-0,35</t>
  </si>
  <si>
    <t>0092125</t>
  </si>
  <si>
    <t>MIKROKATETR PROGREAT PC2411-2813, PP27111-27131</t>
  </si>
  <si>
    <t>0092559</t>
  </si>
  <si>
    <t>SADA AG - SYSTÉM PRO UZAVÍRÁNÍ CÉV - FEMORÁLNÍ - S</t>
  </si>
  <si>
    <t>0092932</t>
  </si>
  <si>
    <t>SADA DRENÁŽNÍ</t>
  </si>
  <si>
    <t>0057416</t>
  </si>
  <si>
    <t>DRÁT VODÍCÍ 110CM,150CM M001468XX0</t>
  </si>
  <si>
    <t>0151037</t>
  </si>
  <si>
    <t>EXTRAKTOR PRO FILTR VENAKAVÁLNÍ</t>
  </si>
  <si>
    <t>0059796</t>
  </si>
  <si>
    <t>DRÁT VODÍCÍ ANGIODYN J3 SFC-FS 150-0,35</t>
  </si>
  <si>
    <t>0057846</t>
  </si>
  <si>
    <t>TĚLÍSKO EMBOLIZAČNÍ HILAL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</si>
  <si>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</si>
  <si>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</si>
  <si>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</si>
  <si>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</si>
  <si>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</si>
  <si>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</si>
  <si>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</si>
  <si>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</si>
  <si>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</si>
  <si>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</si>
  <si>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</si>
  <si>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</si>
  <si>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</si>
  <si>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</si>
  <si>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89313</t>
  </si>
  <si>
    <t xml:space="preserve">PERKUTÁNNÍ PUNKCE NEBO BIOPSIE ŘÍZENÁ RDG METODOU </t>
  </si>
  <si>
    <t>89323</t>
  </si>
  <si>
    <t>TERAPEUTICKÁ EMBOLIZACE V CÉVNÍM ŘEČIŠTI</t>
  </si>
  <si>
    <t>89417</t>
  </si>
  <si>
    <t xml:space="preserve">PŘEHLEDNÁ ČI SELEKTIVNÍ ANGIOGRAFIE NAVAZUJÍCÍ NA </t>
  </si>
  <si>
    <t>89419</t>
  </si>
  <si>
    <t>PUNKČNÍ 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</si>
  <si>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</si>
  <si>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</si>
  <si>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</si>
  <si>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</si>
  <si>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</si>
  <si>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</si>
  <si>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</si>
  <si>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</si>
  <si>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</si>
  <si>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</si>
  <si>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</si>
  <si>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</si>
  <si>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</si>
  <si>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</si>
  <si>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</si>
  <si>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</si>
  <si>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</si>
  <si>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</si>
  <si>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</si>
  <si>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</si>
  <si>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</si>
  <si>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</si>
  <si>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</si>
  <si>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</si>
  <si>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</si>
  <si>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</si>
  <si>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</si>
  <si>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</si>
  <si>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</si>
  <si>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</si>
  <si>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</si>
  <si>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</si>
  <si>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</si>
  <si>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89321</t>
  </si>
  <si>
    <t>EXTRAKCE CIZÍHO TĚLESA Z CÉVNÍHO ŘEČIŠTĚ</t>
  </si>
  <si>
    <t>89411</t>
  </si>
  <si>
    <t>PŘEHLEDNÁ  ČI SELEKTIVNÍ ANGIOGRAFIE</t>
  </si>
  <si>
    <t>89325</t>
  </si>
  <si>
    <t>PERKUTÁNNÍ DRENÁŽ ABSCESU, CYSTY EV. JINÉ DUTINY R</t>
  </si>
  <si>
    <t>89141</t>
  </si>
  <si>
    <t>VYŠETŘENÍ DOLNÍCH KONČETIN VCELKU JEDNÍM RENTGENOV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</si>
  <si>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</si>
  <si>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</si>
  <si>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</si>
  <si>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</si>
  <si>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</si>
  <si>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</si>
  <si>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</si>
  <si>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</si>
  <si>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22219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</si>
  <si>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</si>
  <si>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</si>
  <si>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</si>
  <si>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</si>
  <si>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</si>
  <si>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</si>
  <si>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</si>
  <si>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</si>
  <si>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</si>
  <si>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</si>
  <si>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</si>
  <si>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</si>
  <si>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</si>
  <si>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</si>
  <si>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</si>
  <si>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</si>
  <si>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</si>
  <si>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</si>
  <si>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</si>
  <si>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</si>
  <si>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</si>
  <si>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</si>
  <si>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</si>
  <si>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</si>
  <si>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</si>
  <si>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</si>
  <si>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</si>
  <si>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</si>
  <si>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</si>
  <si>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</si>
  <si>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</si>
  <si>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</si>
  <si>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</si>
  <si>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</si>
  <si>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</si>
  <si>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</si>
  <si>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87431</t>
  </si>
  <si>
    <t>PREPARÁTY METODOU CYTOBLOKU - ZA KAŽDÝ PREPARÁT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</si>
  <si>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</si>
  <si>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</si>
  <si>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</si>
  <si>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</si>
  <si>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</si>
  <si>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</si>
  <si>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</si>
  <si>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</si>
  <si>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</si>
  <si>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</si>
  <si>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</si>
  <si>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</si>
  <si>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</si>
  <si>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</si>
  <si>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</si>
  <si>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</si>
  <si>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</si>
  <si>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</si>
  <si>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</si>
  <si>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</si>
  <si>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87519</t>
  </si>
  <si>
    <t>STANOVENÍ CYTOLOGICKÉ DIAGNÓZY II. STUPNĚ OBTÍŽNOS</t>
  </si>
  <si>
    <t>813</t>
  </si>
  <si>
    <t>91197</t>
  </si>
  <si>
    <t>STANOVENÍ CYTOKINU ELISA</t>
  </si>
  <si>
    <t>91427</t>
  </si>
  <si>
    <t>IZOLACE MONONUKLEÁRŮ Z PERIFERNÍ KRVE GRADIENTOVOU</t>
  </si>
  <si>
    <t>40</t>
  </si>
  <si>
    <t>82001</t>
  </si>
  <si>
    <t>KONSULTACE K MIKROBIOLOGICKÉMU, PARAZITOLOGICKÉMU,</t>
  </si>
  <si>
    <t>82057</t>
  </si>
  <si>
    <t>IDENTIFIKACE KMENE ORIENTAČNÍ JEDNODUCHÝM TESTEM</t>
  </si>
  <si>
    <t>82061</t>
  </si>
  <si>
    <t>IDENTIFIKACE ANAEROBNÍHO KMENE PODROBNÁ</t>
  </si>
  <si>
    <t>82077</t>
  </si>
  <si>
    <t>STANOVENÍ PROTILÁTEK PROTI ANTIGENŮM VIRŮ HEPATITI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</si>
  <si>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</si>
  <si>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</si>
  <si>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</si>
  <si>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</si>
  <si>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</si>
  <si>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</si>
  <si>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</si>
  <si>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</si>
  <si>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</si>
  <si>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</si>
  <si>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</si>
  <si>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</si>
  <si>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</si>
  <si>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</si>
  <si>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</si>
  <si>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</si>
  <si>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82083</t>
  </si>
  <si>
    <t>PRŮKAZ BAKTERIÁLNÍHO TOXINU BIOLOGICKÝM POKUSEM NA</t>
  </si>
  <si>
    <t>82135</t>
  </si>
  <si>
    <t>KONFIRMAČNÍ TEST PRŮKAZU ANTIGENŮ</t>
  </si>
  <si>
    <t>Zdravotní výkony (vybraných odborností) vyžádané pro pacienty hospitalizované na vlastním pracovišti - orientační přehled</t>
  </si>
  <si>
    <t xml:space="preserve">Ošetřovací den      </t>
  </si>
  <si>
    <t xml:space="preserve">TISS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</si>
</sst>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95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4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3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0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4" xfId="33" applyFont="1" applyFill="1" applyBorder="1" applyAlignment="1">
      <alignment horizontal="center" vertical="center"/>
    </xf>
    <xf numFmtId="9" fontId="3" fillId="0" borderId="71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0" xfId="53" applyFont="1" applyFill="1" applyBorder="1" applyAlignment="1">
      <alignment horizontal="right"/>
    </xf>
    <xf numFmtId="165" fontId="34" fillId="0" borderId="75" xfId="53" applyNumberFormat="1" applyFont="1" applyFill="1" applyBorder="1"/>
    <xf numFmtId="165" fontId="34" fillId="0" borderId="76" xfId="53" applyNumberFormat="1" applyFont="1" applyFill="1" applyBorder="1"/>
    <xf numFmtId="9" fontId="34" fillId="0" borderId="77" xfId="83" applyNumberFormat="1" applyFont="1" applyFill="1" applyBorder="1"/>
    <xf numFmtId="170" fontId="34" fillId="0" borderId="75" xfId="53" applyNumberFormat="1" applyFont="1" applyFill="1" applyBorder="1"/>
    <xf numFmtId="170" fontId="34" fillId="0" borderId="76" xfId="53" applyNumberFormat="1" applyFont="1" applyFill="1" applyBorder="1"/>
    <xf numFmtId="3" fontId="34" fillId="0" borderId="77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9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1" xfId="26" applyNumberFormat="1" applyFont="1" applyFill="1" applyBorder="1"/>
    <xf numFmtId="3" fontId="32" fillId="7" borderId="61" xfId="26" applyNumberFormat="1" applyFont="1" applyFill="1" applyBorder="1"/>
    <xf numFmtId="168" fontId="34" fillId="7" borderId="69" xfId="86" applyNumberFormat="1" applyFont="1" applyFill="1" applyBorder="1" applyAlignment="1">
      <alignment horizontal="right"/>
    </xf>
    <xf numFmtId="3" fontId="32" fillId="7" borderId="82" xfId="26" applyNumberFormat="1" applyFont="1" applyFill="1" applyBorder="1"/>
    <xf numFmtId="168" fontId="34" fillId="7" borderId="69" xfId="86" applyNumberFormat="1" applyFont="1" applyFill="1" applyBorder="1"/>
    <xf numFmtId="3" fontId="32" fillId="0" borderId="81" xfId="26" applyNumberFormat="1" applyFont="1" applyFill="1" applyBorder="1" applyAlignment="1">
      <alignment horizontal="center"/>
    </xf>
    <xf numFmtId="3" fontId="32" fillId="0" borderId="69" xfId="26" applyNumberFormat="1" applyFont="1" applyFill="1" applyBorder="1" applyAlignment="1">
      <alignment horizontal="center"/>
    </xf>
    <xf numFmtId="3" fontId="32" fillId="7" borderId="81" xfId="26" applyNumberFormat="1" applyFont="1" applyFill="1" applyBorder="1" applyAlignment="1">
      <alignment horizontal="center"/>
    </xf>
    <xf numFmtId="3" fontId="32" fillId="7" borderId="69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2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3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0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0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3" xfId="0" applyNumberFormat="1" applyFont="1" applyFill="1" applyBorder="1"/>
    <xf numFmtId="3" fontId="59" fillId="9" borderId="84" xfId="0" applyNumberFormat="1" applyFont="1" applyFill="1" applyBorder="1"/>
    <xf numFmtId="3" fontId="59" fillId="9" borderId="83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7" xfId="0" applyNumberFormat="1" applyFont="1" applyFill="1" applyBorder="1" applyAlignment="1">
      <alignment horizontal="center" vertical="center"/>
    </xf>
    <xf numFmtId="0" fontId="42" fillId="2" borderId="88" xfId="0" applyFont="1" applyFill="1" applyBorder="1" applyAlignment="1">
      <alignment horizontal="center" vertical="center"/>
    </xf>
    <xf numFmtId="3" fontId="61" fillId="2" borderId="90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42" fillId="2" borderId="93" xfId="0" applyFont="1" applyFill="1" applyBorder="1" applyAlignment="1"/>
    <xf numFmtId="0" fontId="42" fillId="2" borderId="95" xfId="0" applyFont="1" applyFill="1" applyBorder="1" applyAlignment="1">
      <alignment horizontal="left" indent="1"/>
    </xf>
    <xf numFmtId="0" fontId="42" fillId="2" borderId="101" xfId="0" applyFont="1" applyFill="1" applyBorder="1" applyAlignment="1">
      <alignment horizontal="left" indent="1"/>
    </xf>
    <xf numFmtId="0" fontId="42" fillId="4" borderId="93" xfId="0" applyFont="1" applyFill="1" applyBorder="1" applyAlignment="1"/>
    <xf numFmtId="0" fontId="42" fillId="4" borderId="95" xfId="0" applyFont="1" applyFill="1" applyBorder="1" applyAlignment="1">
      <alignment horizontal="left" indent="1"/>
    </xf>
    <xf numFmtId="0" fontId="42" fillId="4" borderId="106" xfId="0" applyFont="1" applyFill="1" applyBorder="1" applyAlignment="1">
      <alignment horizontal="left" indent="1"/>
    </xf>
    <xf numFmtId="0" fontId="35" fillId="2" borderId="95" xfId="0" quotePrefix="1" applyFont="1" applyFill="1" applyBorder="1" applyAlignment="1">
      <alignment horizontal="left" indent="2"/>
    </xf>
    <xf numFmtId="0" fontId="35" fillId="2" borderId="101" xfId="0" quotePrefix="1" applyFont="1" applyFill="1" applyBorder="1" applyAlignment="1">
      <alignment horizontal="left" indent="2"/>
    </xf>
    <xf numFmtId="0" fontId="42" fillId="2" borderId="93" xfId="0" applyFont="1" applyFill="1" applyBorder="1" applyAlignment="1">
      <alignment horizontal="left" indent="1"/>
    </xf>
    <xf numFmtId="0" fontId="42" fillId="2" borderId="106" xfId="0" applyFont="1" applyFill="1" applyBorder="1" applyAlignment="1">
      <alignment horizontal="left" indent="1"/>
    </xf>
    <xf numFmtId="0" fontId="42" fillId="4" borderId="101" xfId="0" applyFont="1" applyFill="1" applyBorder="1" applyAlignment="1">
      <alignment horizontal="left" indent="1"/>
    </xf>
    <xf numFmtId="0" fontId="35" fillId="0" borderId="111" xfId="0" applyFont="1" applyBorder="1"/>
    <xf numFmtId="3" fontId="35" fillId="0" borderId="111" xfId="0" applyNumberFormat="1" applyFont="1" applyBorder="1"/>
    <xf numFmtId="0" fontId="42" fillId="4" borderId="85" xfId="0" applyFont="1" applyFill="1" applyBorder="1" applyAlignment="1">
      <alignment horizontal="center" vertical="center"/>
    </xf>
    <xf numFmtId="0" fontId="42" fillId="4" borderId="64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0" xfId="0" applyNumberFormat="1" applyFont="1" applyFill="1" applyBorder="1" applyAlignment="1">
      <alignment horizontal="center" vertical="center"/>
    </xf>
    <xf numFmtId="3" fontId="61" fillId="2" borderId="108" xfId="0" applyNumberFormat="1" applyFont="1" applyFill="1" applyBorder="1" applyAlignment="1">
      <alignment horizontal="center" vertical="center" wrapText="1"/>
    </xf>
    <xf numFmtId="174" fontId="42" fillId="4" borderId="94" xfId="0" applyNumberFormat="1" applyFont="1" applyFill="1" applyBorder="1" applyAlignment="1"/>
    <xf numFmtId="174" fontId="42" fillId="4" borderId="87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0" borderId="96" xfId="0" applyNumberFormat="1" applyFont="1" applyBorder="1"/>
    <xf numFmtId="174" fontId="35" fillId="0" borderId="100" xfId="0" applyNumberFormat="1" applyFont="1" applyBorder="1"/>
    <xf numFmtId="174" fontId="35" fillId="0" borderId="98" xfId="0" applyNumberFormat="1" applyFont="1" applyBorder="1"/>
    <xf numFmtId="174" fontId="42" fillId="0" borderId="107" xfId="0" applyNumberFormat="1" applyFont="1" applyBorder="1"/>
    <xf numFmtId="174" fontId="35" fillId="0" borderId="108" xfId="0" applyNumberFormat="1" applyFont="1" applyBorder="1"/>
    <xf numFmtId="174" fontId="35" fillId="0" borderId="91" xfId="0" applyNumberFormat="1" applyFont="1" applyBorder="1"/>
    <xf numFmtId="174" fontId="42" fillId="2" borderId="109" xfId="0" applyNumberFormat="1" applyFont="1" applyFill="1" applyBorder="1" applyAlignment="1"/>
    <xf numFmtId="174" fontId="42" fillId="2" borderId="87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0" borderId="102" xfId="0" applyNumberFormat="1" applyFont="1" applyBorder="1"/>
    <xf numFmtId="174" fontId="35" fillId="0" borderId="103" xfId="0" applyNumberFormat="1" applyFont="1" applyBorder="1"/>
    <xf numFmtId="174" fontId="35" fillId="0" borderId="104" xfId="0" applyNumberFormat="1" applyFont="1" applyBorder="1"/>
    <xf numFmtId="174" fontId="42" fillId="0" borderId="94" xfId="0" applyNumberFormat="1" applyFont="1" applyBorder="1"/>
    <xf numFmtId="174" fontId="35" fillId="0" borderId="110" xfId="0" applyNumberFormat="1" applyFont="1" applyBorder="1"/>
    <xf numFmtId="174" fontId="35" fillId="0" borderId="88" xfId="0" applyNumberFormat="1" applyFont="1" applyBorder="1"/>
    <xf numFmtId="175" fontId="42" fillId="2" borderId="94" xfId="0" applyNumberFormat="1" applyFont="1" applyFill="1" applyBorder="1" applyAlignment="1"/>
    <xf numFmtId="175" fontId="35" fillId="2" borderId="87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42" fillId="0" borderId="96" xfId="0" applyNumberFormat="1" applyFont="1" applyBorder="1"/>
    <xf numFmtId="175" fontId="35" fillId="0" borderId="97" xfId="0" applyNumberFormat="1" applyFont="1" applyBorder="1"/>
    <xf numFmtId="175" fontId="35" fillId="0" borderId="98" xfId="0" applyNumberFormat="1" applyFont="1" applyBorder="1"/>
    <xf numFmtId="175" fontId="35" fillId="0" borderId="100" xfId="0" applyNumberFormat="1" applyFont="1" applyBorder="1"/>
    <xf numFmtId="175" fontId="42" fillId="0" borderId="102" xfId="0" applyNumberFormat="1" applyFont="1" applyBorder="1"/>
    <xf numFmtId="175" fontId="35" fillId="0" borderId="103" xfId="0" applyNumberFormat="1" applyFont="1" applyBorder="1"/>
    <xf numFmtId="175" fontId="35" fillId="0" borderId="104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4" xfId="0" applyNumberFormat="1" applyFont="1" applyFill="1" applyBorder="1" applyAlignment="1">
      <alignment horizontal="center"/>
    </xf>
    <xf numFmtId="176" fontId="42" fillId="0" borderId="102" xfId="0" applyNumberFormat="1" applyFont="1" applyBorder="1"/>
    <xf numFmtId="0" fontId="34" fillId="2" borderId="118" xfId="74" applyFont="1" applyFill="1" applyBorder="1" applyAlignment="1">
      <alignment horizontal="center"/>
    </xf>
    <xf numFmtId="0" fontId="34" fillId="2" borderId="89" xfId="81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8" xfId="81" applyFont="1" applyFill="1" applyBorder="1" applyAlignment="1">
      <alignment horizontal="center"/>
    </xf>
    <xf numFmtId="0" fontId="34" fillId="2" borderId="115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117" xfId="81" applyFont="1" applyFill="1" applyBorder="1" applyAlignment="1">
      <alignment horizontal="center"/>
    </xf>
    <xf numFmtId="0" fontId="34" fillId="2" borderId="107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5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5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6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3" xfId="0" applyFont="1" applyFill="1" applyBorder="1" applyAlignment="1">
      <alignment vertical="center"/>
    </xf>
    <xf numFmtId="3" fontId="34" fillId="2" borderId="65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5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65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5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5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4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4" xfId="26" applyNumberFormat="1" applyFont="1" applyFill="1" applyBorder="1" applyAlignment="1">
      <alignment horizontal="center" vertical="center"/>
    </xf>
    <xf numFmtId="3" fontId="3" fillId="2" borderId="65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5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5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5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8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0" xfId="0" applyNumberFormat="1" applyFont="1" applyFill="1" applyBorder="1" applyAlignment="1">
      <alignment horizontal="right" vertical="top"/>
    </xf>
    <xf numFmtId="3" fontId="36" fillId="10" borderId="121" xfId="0" applyNumberFormat="1" applyFont="1" applyFill="1" applyBorder="1" applyAlignment="1">
      <alignment horizontal="right" vertical="top"/>
    </xf>
    <xf numFmtId="177" fontId="36" fillId="10" borderId="122" xfId="0" applyNumberFormat="1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3" fontId="38" fillId="10" borderId="125" xfId="0" applyNumberFormat="1" applyFont="1" applyFill="1" applyBorder="1" applyAlignment="1">
      <alignment horizontal="right" vertical="top"/>
    </xf>
    <xf numFmtId="3" fontId="38" fillId="10" borderId="126" xfId="0" applyNumberFormat="1" applyFont="1" applyFill="1" applyBorder="1" applyAlignment="1">
      <alignment horizontal="right" vertical="top"/>
    </xf>
    <xf numFmtId="0" fontId="38" fillId="10" borderId="127" xfId="0" applyFont="1" applyFill="1" applyBorder="1" applyAlignment="1">
      <alignment horizontal="right" vertical="top"/>
    </xf>
    <xf numFmtId="3" fontId="38" fillId="0" borderId="125" xfId="0" applyNumberFormat="1" applyFont="1" applyBorder="1" applyAlignment="1">
      <alignment horizontal="right" vertical="top"/>
    </xf>
    <xf numFmtId="0" fontId="38" fillId="10" borderId="128" xfId="0" applyFont="1" applyFill="1" applyBorder="1" applyAlignment="1">
      <alignment horizontal="right" vertical="top"/>
    </xf>
    <xf numFmtId="0" fontId="36" fillId="10" borderId="122" xfId="0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177" fontId="38" fillId="10" borderId="128" xfId="0" applyNumberFormat="1" applyFont="1" applyFill="1" applyBorder="1" applyAlignment="1">
      <alignment horizontal="right" vertical="top"/>
    </xf>
    <xf numFmtId="177" fontId="38" fillId="10" borderId="127" xfId="0" applyNumberFormat="1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0" fontId="38" fillId="0" borderId="131" xfId="0" applyFont="1" applyBorder="1" applyAlignment="1">
      <alignment horizontal="right" vertical="top"/>
    </xf>
    <xf numFmtId="177" fontId="38" fillId="10" borderId="132" xfId="0" applyNumberFormat="1" applyFont="1" applyFill="1" applyBorder="1" applyAlignment="1">
      <alignment horizontal="right" vertical="top"/>
    </xf>
    <xf numFmtId="0" fontId="40" fillId="11" borderId="119" xfId="0" applyFont="1" applyFill="1" applyBorder="1" applyAlignment="1">
      <alignment vertical="top"/>
    </xf>
    <xf numFmtId="0" fontId="40" fillId="11" borderId="119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4"/>
    </xf>
    <xf numFmtId="0" fontId="41" fillId="11" borderId="124" xfId="0" applyFont="1" applyFill="1" applyBorder="1" applyAlignment="1">
      <alignment vertical="top" indent="6"/>
    </xf>
    <xf numFmtId="0" fontId="40" fillId="11" borderId="119" xfId="0" applyFont="1" applyFill="1" applyBorder="1" applyAlignment="1">
      <alignment vertical="top" indent="8"/>
    </xf>
    <xf numFmtId="0" fontId="41" fillId="11" borderId="124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6"/>
    </xf>
    <xf numFmtId="0" fontId="41" fillId="11" borderId="124" xfId="0" applyFont="1" applyFill="1" applyBorder="1" applyAlignment="1">
      <alignment vertical="top" indent="4"/>
    </xf>
    <xf numFmtId="0" fontId="41" fillId="11" borderId="124" xfId="0" applyFont="1" applyFill="1" applyBorder="1" applyAlignment="1">
      <alignment vertical="top"/>
    </xf>
    <xf numFmtId="0" fontId="35" fillId="11" borderId="119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3" xfId="53" applyNumberFormat="1" applyFont="1" applyFill="1" applyBorder="1" applyAlignment="1">
      <alignment horizontal="left"/>
    </xf>
    <xf numFmtId="165" fontId="34" fillId="2" borderId="134" xfId="53" applyNumberFormat="1" applyFont="1" applyFill="1" applyBorder="1" applyAlignment="1">
      <alignment horizontal="left"/>
    </xf>
    <xf numFmtId="165" fontId="34" fillId="2" borderId="61" xfId="53" applyNumberFormat="1" applyFont="1" applyFill="1" applyBorder="1" applyAlignment="1">
      <alignment horizontal="left"/>
    </xf>
    <xf numFmtId="3" fontId="34" fillId="2" borderId="61" xfId="53" applyNumberFormat="1" applyFont="1" applyFill="1" applyBorder="1" applyAlignment="1">
      <alignment horizontal="left"/>
    </xf>
    <xf numFmtId="3" fontId="34" fillId="2" borderId="69" xfId="53" applyNumberFormat="1" applyFont="1" applyFill="1" applyBorder="1" applyAlignment="1">
      <alignment horizontal="left"/>
    </xf>
    <xf numFmtId="0" fontId="35" fillId="0" borderId="87" xfId="0" applyFont="1" applyFill="1" applyBorder="1"/>
    <xf numFmtId="0" fontId="35" fillId="0" borderId="88" xfId="0" applyFont="1" applyFill="1" applyBorder="1"/>
    <xf numFmtId="165" fontId="35" fillId="0" borderId="88" xfId="0" applyNumberFormat="1" applyFont="1" applyFill="1" applyBorder="1"/>
    <xf numFmtId="165" fontId="35" fillId="0" borderId="88" xfId="0" applyNumberFormat="1" applyFont="1" applyFill="1" applyBorder="1" applyAlignment="1">
      <alignment horizontal="right"/>
    </xf>
    <xf numFmtId="3" fontId="35" fillId="0" borderId="88" xfId="0" applyNumberFormat="1" applyFont="1" applyFill="1" applyBorder="1"/>
    <xf numFmtId="3" fontId="35" fillId="0" borderId="89" xfId="0" applyNumberFormat="1" applyFont="1" applyFill="1" applyBorder="1"/>
    <xf numFmtId="0" fontId="35" fillId="0" borderId="97" xfId="0" applyFont="1" applyFill="1" applyBorder="1"/>
    <xf numFmtId="0" fontId="35" fillId="0" borderId="98" xfId="0" applyFont="1" applyFill="1" applyBorder="1"/>
    <xf numFmtId="165" fontId="35" fillId="0" borderId="98" xfId="0" applyNumberFormat="1" applyFont="1" applyFill="1" applyBorder="1"/>
    <xf numFmtId="165" fontId="35" fillId="0" borderId="98" xfId="0" applyNumberFormat="1" applyFont="1" applyFill="1" applyBorder="1" applyAlignment="1">
      <alignment horizontal="right"/>
    </xf>
    <xf numFmtId="3" fontId="35" fillId="0" borderId="98" xfId="0" applyNumberFormat="1" applyFont="1" applyFill="1" applyBorder="1"/>
    <xf numFmtId="3" fontId="35" fillId="0" borderId="99" xfId="0" applyNumberFormat="1" applyFont="1" applyFill="1" applyBorder="1"/>
    <xf numFmtId="0" fontId="35" fillId="0" borderId="90" xfId="0" applyFont="1" applyFill="1" applyBorder="1"/>
    <xf numFmtId="0" fontId="35" fillId="0" borderId="91" xfId="0" applyFont="1" applyFill="1" applyBorder="1"/>
    <xf numFmtId="165" fontId="35" fillId="0" borderId="91" xfId="0" applyNumberFormat="1" applyFont="1" applyFill="1" applyBorder="1"/>
    <xf numFmtId="165" fontId="35" fillId="0" borderId="91" xfId="0" applyNumberFormat="1" applyFont="1" applyFill="1" applyBorder="1" applyAlignment="1">
      <alignment horizontal="right"/>
    </xf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42" fillId="2" borderId="133" xfId="0" applyFont="1" applyFill="1" applyBorder="1"/>
    <xf numFmtId="3" fontId="42" fillId="2" borderId="135" xfId="0" applyNumberFormat="1" applyFont="1" applyFill="1" applyBorder="1"/>
    <xf numFmtId="9" fontId="42" fillId="2" borderId="82" xfId="0" applyNumberFormat="1" applyFont="1" applyFill="1" applyBorder="1"/>
    <xf numFmtId="3" fontId="42" fillId="2" borderId="69" xfId="0" applyNumberFormat="1" applyFont="1" applyFill="1" applyBorder="1"/>
    <xf numFmtId="9" fontId="35" fillId="0" borderId="88" xfId="0" applyNumberFormat="1" applyFont="1" applyFill="1" applyBorder="1"/>
    <xf numFmtId="9" fontId="35" fillId="0" borderId="98" xfId="0" applyNumberFormat="1" applyFont="1" applyFill="1" applyBorder="1"/>
    <xf numFmtId="9" fontId="35" fillId="0" borderId="91" xfId="0" applyNumberFormat="1" applyFont="1" applyFill="1" applyBorder="1"/>
    <xf numFmtId="3" fontId="35" fillId="0" borderId="104" xfId="0" applyNumberFormat="1" applyFont="1" applyFill="1" applyBorder="1"/>
    <xf numFmtId="9" fontId="35" fillId="0" borderId="104" xfId="0" applyNumberFormat="1" applyFont="1" applyFill="1" applyBorder="1"/>
    <xf numFmtId="3" fontId="35" fillId="0" borderId="105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7" xfId="0" applyFont="1" applyFill="1" applyBorder="1"/>
    <xf numFmtId="0" fontId="42" fillId="0" borderId="136" xfId="0" applyFont="1" applyFill="1" applyBorder="1"/>
    <xf numFmtId="0" fontId="35" fillId="5" borderId="12" xfId="0" applyFont="1" applyFill="1" applyBorder="1" applyAlignment="1">
      <alignment wrapText="1"/>
    </xf>
    <xf numFmtId="0" fontId="42" fillId="0" borderId="97" xfId="0" applyFont="1" applyFill="1" applyBorder="1"/>
    <xf numFmtId="0" fontId="42" fillId="2" borderId="134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9" fontId="32" fillId="0" borderId="0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42" fillId="11" borderId="118" xfId="0" applyFont="1" applyFill="1" applyBorder="1"/>
    <xf numFmtId="0" fontId="42" fillId="11" borderId="116" xfId="0" applyFont="1" applyFill="1" applyBorder="1"/>
    <xf numFmtId="0" fontId="42" fillId="11" borderId="117" xfId="0" applyFont="1" applyFill="1" applyBorder="1"/>
    <xf numFmtId="3" fontId="3" fillId="2" borderId="104" xfId="80" applyNumberFormat="1" applyFont="1" applyFill="1" applyBorder="1"/>
    <xf numFmtId="0" fontId="3" fillId="2" borderId="104" xfId="80" applyFont="1" applyFill="1" applyBorder="1"/>
    <xf numFmtId="3" fontId="35" fillId="0" borderId="87" xfId="0" applyNumberFormat="1" applyFont="1" applyFill="1" applyBorder="1"/>
    <xf numFmtId="3" fontId="35" fillId="0" borderId="97" xfId="0" applyNumberFormat="1" applyFont="1" applyFill="1" applyBorder="1"/>
    <xf numFmtId="3" fontId="35" fillId="0" borderId="90" xfId="0" applyNumberFormat="1" applyFont="1" applyFill="1" applyBorder="1"/>
    <xf numFmtId="3" fontId="35" fillId="0" borderId="114" xfId="0" applyNumberFormat="1" applyFont="1" applyFill="1" applyBorder="1"/>
    <xf numFmtId="3" fontId="35" fillId="0" borderId="112" xfId="0" applyNumberFormat="1" applyFont="1" applyFill="1" applyBorder="1"/>
    <xf numFmtId="3" fontId="35" fillId="0" borderId="113" xfId="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0" fontId="35" fillId="0" borderId="118" xfId="0" applyFont="1" applyFill="1" applyBorder="1"/>
    <xf numFmtId="0" fontId="35" fillId="0" borderId="116" xfId="0" applyFont="1" applyFill="1" applyBorder="1"/>
    <xf numFmtId="0" fontId="35" fillId="0" borderId="117" xfId="0" applyFont="1" applyFill="1" applyBorder="1"/>
    <xf numFmtId="3" fontId="35" fillId="0" borderId="110" xfId="0" applyNumberFormat="1" applyFont="1" applyFill="1" applyBorder="1"/>
    <xf numFmtId="3" fontId="35" fillId="0" borderId="100" xfId="0" applyNumberFormat="1" applyFont="1" applyFill="1" applyBorder="1"/>
    <xf numFmtId="3" fontId="35" fillId="0" borderId="108" xfId="0" applyNumberFormat="1" applyFont="1" applyFill="1" applyBorder="1"/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80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5" fillId="0" borderId="88" xfId="0" applyFont="1" applyFill="1" applyBorder="1" applyAlignment="1">
      <alignment horizontal="right"/>
    </xf>
    <xf numFmtId="0" fontId="35" fillId="0" borderId="88" xfId="0" applyFont="1" applyFill="1" applyBorder="1" applyAlignment="1">
      <alignment horizontal="left"/>
    </xf>
    <xf numFmtId="166" fontId="35" fillId="0" borderId="88" xfId="0" applyNumberFormat="1" applyFont="1" applyFill="1" applyBorder="1"/>
    <xf numFmtId="0" fontId="35" fillId="0" borderId="142" xfId="0" applyFont="1" applyFill="1" applyBorder="1"/>
    <xf numFmtId="0" fontId="35" fillId="0" borderId="143" xfId="0" applyFont="1" applyFill="1" applyBorder="1"/>
    <xf numFmtId="0" fontId="35" fillId="0" borderId="143" xfId="0" applyFont="1" applyFill="1" applyBorder="1" applyAlignment="1">
      <alignment horizontal="right"/>
    </xf>
    <xf numFmtId="0" fontId="35" fillId="0" borderId="143" xfId="0" applyFont="1" applyFill="1" applyBorder="1" applyAlignment="1">
      <alignment horizontal="left"/>
    </xf>
    <xf numFmtId="165" fontId="35" fillId="0" borderId="143" xfId="0" applyNumberFormat="1" applyFont="1" applyFill="1" applyBorder="1"/>
    <xf numFmtId="166" fontId="35" fillId="0" borderId="143" xfId="0" applyNumberFormat="1" applyFont="1" applyFill="1" applyBorder="1"/>
    <xf numFmtId="9" fontId="35" fillId="0" borderId="143" xfId="0" applyNumberFormat="1" applyFont="1" applyFill="1" applyBorder="1"/>
    <xf numFmtId="9" fontId="35" fillId="0" borderId="144" xfId="0" applyNumberFormat="1" applyFont="1" applyFill="1" applyBorder="1"/>
    <xf numFmtId="0" fontId="35" fillId="0" borderId="145" xfId="0" applyFont="1" applyFill="1" applyBorder="1"/>
    <xf numFmtId="0" fontId="35" fillId="0" borderId="146" xfId="0" applyFont="1" applyFill="1" applyBorder="1"/>
    <xf numFmtId="0" fontId="35" fillId="0" borderId="146" xfId="0" applyFont="1" applyFill="1" applyBorder="1" applyAlignment="1">
      <alignment horizontal="right"/>
    </xf>
    <xf numFmtId="0" fontId="35" fillId="0" borderId="146" xfId="0" applyFont="1" applyFill="1" applyBorder="1" applyAlignment="1">
      <alignment horizontal="left"/>
    </xf>
    <xf numFmtId="165" fontId="35" fillId="0" borderId="146" xfId="0" applyNumberFormat="1" applyFont="1" applyFill="1" applyBorder="1"/>
    <xf numFmtId="166" fontId="35" fillId="0" borderId="146" xfId="0" applyNumberFormat="1" applyFont="1" applyFill="1" applyBorder="1"/>
    <xf numFmtId="9" fontId="35" fillId="0" borderId="146" xfId="0" applyNumberFormat="1" applyFont="1" applyFill="1" applyBorder="1"/>
    <xf numFmtId="9" fontId="35" fillId="0" borderId="147" xfId="0" applyNumberFormat="1" applyFont="1" applyFill="1" applyBorder="1"/>
    <xf numFmtId="3" fontId="35" fillId="0" borderId="143" xfId="0" applyNumberFormat="1" applyFont="1" applyFill="1" applyBorder="1"/>
    <xf numFmtId="3" fontId="35" fillId="0" borderId="144" xfId="0" applyNumberFormat="1" applyFont="1" applyFill="1" applyBorder="1"/>
    <xf numFmtId="3" fontId="35" fillId="0" borderId="146" xfId="0" applyNumberFormat="1" applyFont="1" applyFill="1" applyBorder="1"/>
    <xf numFmtId="3" fontId="35" fillId="0" borderId="147" xfId="0" applyNumberFormat="1" applyFont="1" applyFill="1" applyBorder="1"/>
    <xf numFmtId="3" fontId="35" fillId="0" borderId="149" xfId="0" applyNumberFormat="1" applyFont="1" applyFill="1" applyBorder="1"/>
    <xf numFmtId="9" fontId="35" fillId="0" borderId="149" xfId="0" applyNumberFormat="1" applyFont="1" applyFill="1" applyBorder="1"/>
    <xf numFmtId="3" fontId="35" fillId="0" borderId="150" xfId="0" applyNumberFormat="1" applyFont="1" applyFill="1" applyBorder="1"/>
    <xf numFmtId="0" fontId="42" fillId="0" borderId="142" xfId="0" applyFont="1" applyFill="1" applyBorder="1"/>
    <xf numFmtId="0" fontId="42" fillId="0" borderId="148" xfId="0" applyFont="1" applyFill="1" applyBorder="1"/>
    <xf numFmtId="165" fontId="35" fillId="0" borderId="143" xfId="0" applyNumberFormat="1" applyFont="1" applyFill="1" applyBorder="1" applyAlignment="1">
      <alignment horizontal="right"/>
    </xf>
    <xf numFmtId="165" fontId="35" fillId="0" borderId="146" xfId="0" applyNumberFormat="1" applyFont="1" applyFill="1" applyBorder="1" applyAlignment="1">
      <alignment horizontal="right"/>
    </xf>
    <xf numFmtId="174" fontId="42" fillId="4" borderId="154" xfId="0" applyNumberFormat="1" applyFont="1" applyFill="1" applyBorder="1" applyAlignment="1">
      <alignment horizontal="center"/>
    </xf>
    <xf numFmtId="174" fontId="42" fillId="4" borderId="155" xfId="0" applyNumberFormat="1" applyFont="1" applyFill="1" applyBorder="1" applyAlignment="1">
      <alignment horizontal="center"/>
    </xf>
    <xf numFmtId="174" fontId="35" fillId="0" borderId="156" xfId="0" applyNumberFormat="1" applyFont="1" applyBorder="1" applyAlignment="1">
      <alignment horizontal="right"/>
    </xf>
    <xf numFmtId="174" fontId="35" fillId="0" borderId="157" xfId="0" applyNumberFormat="1" applyFont="1" applyBorder="1" applyAlignment="1">
      <alignment horizontal="right"/>
    </xf>
    <xf numFmtId="174" fontId="35" fillId="0" borderId="157" xfId="0" applyNumberFormat="1" applyFont="1" applyBorder="1" applyAlignment="1">
      <alignment horizontal="right" wrapText="1"/>
    </xf>
    <xf numFmtId="176" fontId="35" fillId="0" borderId="156" xfId="0" applyNumberFormat="1" applyFont="1" applyBorder="1" applyAlignment="1">
      <alignment horizontal="right"/>
    </xf>
    <xf numFmtId="176" fontId="35" fillId="0" borderId="157" xfId="0" applyNumberFormat="1" applyFont="1" applyBorder="1" applyAlignment="1">
      <alignment horizontal="right"/>
    </xf>
    <xf numFmtId="174" fontId="35" fillId="0" borderId="158" xfId="0" applyNumberFormat="1" applyFont="1" applyBorder="1" applyAlignment="1">
      <alignment horizontal="right"/>
    </xf>
    <xf numFmtId="174" fontId="35" fillId="0" borderId="159" xfId="0" applyNumberFormat="1" applyFont="1" applyBorder="1" applyAlignment="1">
      <alignment horizontal="right"/>
    </xf>
    <xf numFmtId="0" fontId="42" fillId="2" borderId="114" xfId="0" applyFont="1" applyFill="1" applyBorder="1" applyAlignment="1">
      <alignment horizontal="center" vertical="center"/>
    </xf>
    <xf numFmtId="0" fontId="61" fillId="2" borderId="153" xfId="0" applyFont="1" applyFill="1" applyBorder="1" applyAlignment="1">
      <alignment horizontal="center" vertical="center" wrapText="1"/>
    </xf>
    <xf numFmtId="175" fontId="35" fillId="2" borderId="114" xfId="0" applyNumberFormat="1" applyFont="1" applyFill="1" applyBorder="1" applyAlignment="1"/>
    <xf numFmtId="175" fontId="35" fillId="0" borderId="152" xfId="0" applyNumberFormat="1" applyFont="1" applyBorder="1"/>
    <xf numFmtId="175" fontId="35" fillId="0" borderId="160" xfId="0" applyNumberFormat="1" applyFont="1" applyBorder="1"/>
    <xf numFmtId="174" fontId="42" fillId="4" borderId="114" xfId="0" applyNumberFormat="1" applyFont="1" applyFill="1" applyBorder="1" applyAlignment="1"/>
    <xf numFmtId="174" fontId="35" fillId="0" borderId="152" xfId="0" applyNumberFormat="1" applyFont="1" applyBorder="1"/>
    <xf numFmtId="174" fontId="35" fillId="0" borderId="153" xfId="0" applyNumberFormat="1" applyFont="1" applyBorder="1"/>
    <xf numFmtId="174" fontId="42" fillId="2" borderId="114" xfId="0" applyNumberFormat="1" applyFont="1" applyFill="1" applyBorder="1" applyAlignment="1"/>
    <xf numFmtId="174" fontId="35" fillId="0" borderId="160" xfId="0" applyNumberFormat="1" applyFont="1" applyBorder="1"/>
    <xf numFmtId="174" fontId="35" fillId="0" borderId="114" xfId="0" applyNumberFormat="1" applyFont="1" applyBorder="1"/>
    <xf numFmtId="174" fontId="42" fillId="4" borderId="161" xfId="0" applyNumberFormat="1" applyFont="1" applyFill="1" applyBorder="1" applyAlignment="1">
      <alignment horizontal="center"/>
    </xf>
    <xf numFmtId="174" fontId="35" fillId="0" borderId="162" xfId="0" applyNumberFormat="1" applyFont="1" applyBorder="1" applyAlignment="1">
      <alignment horizontal="right"/>
    </xf>
    <xf numFmtId="176" fontId="35" fillId="0" borderId="162" xfId="0" applyNumberFormat="1" applyFont="1" applyBorder="1" applyAlignment="1">
      <alignment horizontal="right"/>
    </xf>
    <xf numFmtId="174" fontId="35" fillId="0" borderId="163" xfId="0" applyNumberFormat="1" applyFont="1" applyBorder="1" applyAlignment="1">
      <alignment horizontal="right"/>
    </xf>
    <xf numFmtId="0" fontId="0" fillId="0" borderId="17" xfId="0" applyBorder="1"/>
    <xf numFmtId="174" fontId="42" fillId="4" borderId="93" xfId="0" applyNumberFormat="1" applyFont="1" applyFill="1" applyBorder="1" applyAlignment="1">
      <alignment horizontal="center"/>
    </xf>
    <xf numFmtId="174" fontId="35" fillId="0" borderId="164" xfId="0" applyNumberFormat="1" applyFont="1" applyBorder="1" applyAlignment="1">
      <alignment horizontal="right"/>
    </xf>
    <xf numFmtId="176" fontId="35" fillId="0" borderId="164" xfId="0" applyNumberFormat="1" applyFont="1" applyBorder="1" applyAlignment="1">
      <alignment horizontal="right"/>
    </xf>
    <xf numFmtId="174" fontId="35" fillId="0" borderId="151" xfId="0" applyNumberFormat="1" applyFont="1" applyBorder="1" applyAlignment="1">
      <alignment horizontal="right"/>
    </xf>
    <xf numFmtId="0" fontId="35" fillId="2" borderId="69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88" xfId="0" applyNumberFormat="1" applyFont="1" applyFill="1" applyBorder="1"/>
    <xf numFmtId="170" fontId="35" fillId="0" borderId="143" xfId="0" applyNumberFormat="1" applyFont="1" applyFill="1" applyBorder="1"/>
    <xf numFmtId="170" fontId="35" fillId="0" borderId="146" xfId="0" applyNumberFormat="1" applyFont="1" applyFill="1" applyBorder="1"/>
    <xf numFmtId="0" fontId="42" fillId="0" borderId="145" xfId="0" applyFont="1" applyFill="1" applyBorder="1"/>
    <xf numFmtId="0" fontId="66" fillId="0" borderId="0" xfId="0" applyFont="1" applyFill="1"/>
    <xf numFmtId="0" fontId="67" fillId="0" borderId="0" xfId="0" applyFont="1" applyFill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37" xfId="0" applyNumberFormat="1" applyFont="1" applyBorder="1" applyAlignment="1">
      <alignment horizontal="right"/>
    </xf>
    <xf numFmtId="167" fontId="12" fillId="0" borderId="137" xfId="0" applyNumberFormat="1" applyFont="1" applyBorder="1" applyAlignment="1">
      <alignment horizontal="right"/>
    </xf>
    <xf numFmtId="167" fontId="12" fillId="0" borderId="102" xfId="0" applyNumberFormat="1" applyFont="1" applyBorder="1" applyAlignment="1">
      <alignment horizontal="right"/>
    </xf>
    <xf numFmtId="3" fontId="5" fillId="0" borderId="137" xfId="0" applyNumberFormat="1" applyFont="1" applyBorder="1" applyAlignment="1">
      <alignment horizontal="right"/>
    </xf>
    <xf numFmtId="167" fontId="5" fillId="0" borderId="137" xfId="0" applyNumberFormat="1" applyFont="1" applyBorder="1" applyAlignment="1">
      <alignment horizontal="right"/>
    </xf>
    <xf numFmtId="167" fontId="5" fillId="0" borderId="102" xfId="0" applyNumberFormat="1" applyFont="1" applyBorder="1" applyAlignment="1">
      <alignment horizontal="right"/>
    </xf>
    <xf numFmtId="178" fontId="5" fillId="0" borderId="137" xfId="0" applyNumberFormat="1" applyFont="1" applyBorder="1" applyAlignment="1">
      <alignment horizontal="right"/>
    </xf>
    <xf numFmtId="4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/>
    <xf numFmtId="3" fontId="11" fillId="0" borderId="165" xfId="0" applyNumberFormat="1" applyFont="1" applyBorder="1" applyAlignment="1">
      <alignment horizontal="center"/>
    </xf>
    <xf numFmtId="167" fontId="5" fillId="0" borderId="18" xfId="0" applyNumberFormat="1" applyFont="1" applyBorder="1" applyAlignment="1">
      <alignment horizontal="right"/>
    </xf>
    <xf numFmtId="167" fontId="11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2" fillId="0" borderId="18" xfId="0" applyNumberFormat="1" applyFont="1" applyBorder="1" applyAlignment="1">
      <alignment horizontal="right"/>
    </xf>
    <xf numFmtId="3" fontId="12" fillId="0" borderId="137" xfId="0" applyNumberFormat="1" applyFont="1" applyBorder="1"/>
    <xf numFmtId="167" fontId="12" fillId="0" borderId="137" xfId="0" applyNumberFormat="1" applyFont="1" applyBorder="1"/>
    <xf numFmtId="167" fontId="12" fillId="0" borderId="102" xfId="0" applyNumberFormat="1" applyFont="1" applyBorder="1"/>
    <xf numFmtId="167" fontId="12" fillId="0" borderId="18" xfId="0" applyNumberFormat="1" applyFont="1" applyBorder="1"/>
    <xf numFmtId="167" fontId="11" fillId="0" borderId="102" xfId="0" applyNumberFormat="1" applyFont="1" applyBorder="1" applyAlignment="1">
      <alignment horizontal="right"/>
    </xf>
    <xf numFmtId="3" fontId="35" fillId="0" borderId="137" xfId="0" applyNumberFormat="1" applyFont="1" applyBorder="1"/>
    <xf numFmtId="167" fontId="35" fillId="0" borderId="137" xfId="0" applyNumberFormat="1" applyFont="1" applyBorder="1"/>
    <xf numFmtId="167" fontId="35" fillId="0" borderId="102" xfId="0" applyNumberFormat="1" applyFont="1" applyBorder="1"/>
    <xf numFmtId="0" fontId="5" fillId="0" borderId="137" xfId="0" applyFont="1" applyBorder="1"/>
    <xf numFmtId="9" fontId="35" fillId="0" borderId="137" xfId="0" applyNumberFormat="1" applyFont="1" applyBorder="1"/>
    <xf numFmtId="3" fontId="35" fillId="0" borderId="137" xfId="0" applyNumberFormat="1" applyFont="1" applyBorder="1" applyAlignment="1">
      <alignment horizontal="right"/>
    </xf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167" fontId="35" fillId="0" borderId="111" xfId="0" applyNumberFormat="1" applyFont="1" applyBorder="1"/>
    <xf numFmtId="167" fontId="35" fillId="0" borderId="86" xfId="0" applyNumberFormat="1" applyFont="1" applyBorder="1"/>
    <xf numFmtId="3" fontId="12" fillId="0" borderId="111" xfId="0" applyNumberFormat="1" applyFont="1" applyBorder="1" applyAlignment="1">
      <alignment horizontal="right"/>
    </xf>
    <xf numFmtId="167" fontId="12" fillId="0" borderId="111" xfId="0" applyNumberFormat="1" applyFont="1" applyBorder="1" applyAlignment="1">
      <alignment horizontal="right"/>
    </xf>
    <xf numFmtId="167" fontId="12" fillId="0" borderId="86" xfId="0" applyNumberFormat="1" applyFont="1" applyBorder="1" applyAlignment="1">
      <alignment horizontal="right"/>
    </xf>
    <xf numFmtId="3" fontId="5" fillId="0" borderId="111" xfId="0" applyNumberFormat="1" applyFont="1" applyBorder="1" applyAlignment="1">
      <alignment horizontal="right"/>
    </xf>
    <xf numFmtId="167" fontId="5" fillId="0" borderId="111" xfId="0" applyNumberFormat="1" applyFont="1" applyBorder="1" applyAlignment="1">
      <alignment horizontal="right"/>
    </xf>
    <xf numFmtId="167" fontId="5" fillId="0" borderId="86" xfId="0" applyNumberFormat="1" applyFont="1" applyBorder="1" applyAlignment="1">
      <alignment horizontal="right"/>
    </xf>
    <xf numFmtId="178" fontId="5" fillId="0" borderId="111" xfId="0" applyNumberFormat="1" applyFont="1" applyBorder="1" applyAlignment="1">
      <alignment horizontal="right"/>
    </xf>
    <xf numFmtId="4" fontId="5" fillId="0" borderId="111" xfId="0" applyNumberFormat="1" applyFont="1" applyBorder="1" applyAlignment="1">
      <alignment horizontal="right"/>
    </xf>
    <xf numFmtId="0" fontId="5" fillId="0" borderId="111" xfId="0" applyFont="1" applyBorder="1"/>
    <xf numFmtId="3" fontId="5" fillId="0" borderId="111" xfId="0" applyNumberFormat="1" applyFont="1" applyBorder="1"/>
    <xf numFmtId="9" fontId="35" fillId="0" borderId="111" xfId="0" applyNumberFormat="1" applyFont="1" applyBorder="1"/>
    <xf numFmtId="3" fontId="11" fillId="0" borderId="85" xfId="0" applyNumberFormat="1" applyFont="1" applyBorder="1" applyAlignment="1">
      <alignment horizontal="center"/>
    </xf>
    <xf numFmtId="3" fontId="35" fillId="0" borderId="0" xfId="0" applyNumberFormat="1" applyFont="1" applyBorder="1"/>
    <xf numFmtId="167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7" fontId="12" fillId="0" borderId="0" xfId="0" applyNumberFormat="1" applyFont="1" applyBorder="1"/>
    <xf numFmtId="49" fontId="3" fillId="0" borderId="85" xfId="0" applyNumberFormat="1" applyFont="1" applyBorder="1" applyAlignment="1">
      <alignment horizontal="center"/>
    </xf>
    <xf numFmtId="49" fontId="3" fillId="0" borderId="165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64" xfId="0" applyNumberFormat="1" applyFont="1" applyBorder="1" applyAlignment="1">
      <alignment horizontal="center"/>
    </xf>
    <xf numFmtId="3" fontId="35" fillId="0" borderId="2" xfId="0" applyNumberFormat="1" applyFont="1" applyBorder="1"/>
    <xf numFmtId="167" fontId="35" fillId="0" borderId="2" xfId="0" applyNumberFormat="1" applyFont="1" applyBorder="1"/>
    <xf numFmtId="167" fontId="35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7" fontId="5" fillId="0" borderId="2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167" fontId="12" fillId="0" borderId="2" xfId="0" applyNumberFormat="1" applyFont="1" applyBorder="1" applyAlignment="1">
      <alignment horizontal="right"/>
    </xf>
    <xf numFmtId="167" fontId="12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35" fillId="0" borderId="2" xfId="0" applyNumberFormat="1" applyFont="1" applyBorder="1"/>
    <xf numFmtId="3" fontId="11" fillId="0" borderId="64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1" xfId="76" applyNumberFormat="1" applyFont="1" applyFill="1" applyBorder="1" applyAlignment="1">
      <alignment horizontal="center" vertical="center"/>
    </xf>
    <xf numFmtId="3" fontId="34" fillId="2" borderId="61" xfId="76" applyNumberFormat="1" applyFont="1" applyFill="1" applyBorder="1" applyAlignment="1">
      <alignment horizontal="center" vertical="center"/>
    </xf>
    <xf numFmtId="0" fontId="32" fillId="0" borderId="87" xfId="76" applyFont="1" applyFill="1" applyBorder="1"/>
    <xf numFmtId="0" fontId="32" fillId="0" borderId="142" xfId="76" applyFont="1" applyFill="1" applyBorder="1"/>
    <xf numFmtId="0" fontId="32" fillId="0" borderId="145" xfId="76" applyFont="1" applyFill="1" applyBorder="1"/>
    <xf numFmtId="0" fontId="32" fillId="0" borderId="114" xfId="76" applyFont="1" applyFill="1" applyBorder="1"/>
    <xf numFmtId="0" fontId="32" fillId="0" borderId="152" xfId="76" applyFont="1" applyFill="1" applyBorder="1"/>
    <xf numFmtId="0" fontId="32" fillId="0" borderId="153" xfId="76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66" xfId="76" applyNumberFormat="1" applyFont="1" applyFill="1" applyBorder="1" applyAlignment="1">
      <alignment horizontal="left"/>
    </xf>
    <xf numFmtId="3" fontId="32" fillId="0" borderId="87" xfId="76" applyNumberFormat="1" applyFont="1" applyFill="1" applyBorder="1"/>
    <xf numFmtId="3" fontId="32" fillId="0" borderId="88" xfId="76" applyNumberFormat="1" applyFont="1" applyFill="1" applyBorder="1"/>
    <xf numFmtId="3" fontId="32" fillId="0" borderId="142" xfId="76" applyNumberFormat="1" applyFont="1" applyFill="1" applyBorder="1"/>
    <xf numFmtId="3" fontId="32" fillId="0" borderId="143" xfId="76" applyNumberFormat="1" applyFont="1" applyFill="1" applyBorder="1"/>
    <xf numFmtId="3" fontId="32" fillId="0" borderId="145" xfId="76" applyNumberFormat="1" applyFont="1" applyFill="1" applyBorder="1"/>
    <xf numFmtId="3" fontId="32" fillId="0" borderId="146" xfId="76" applyNumberFormat="1" applyFont="1" applyFill="1" applyBorder="1"/>
    <xf numFmtId="9" fontId="32" fillId="0" borderId="114" xfId="76" applyNumberFormat="1" applyFont="1" applyFill="1" applyBorder="1"/>
    <xf numFmtId="9" fontId="32" fillId="0" borderId="152" xfId="76" applyNumberFormat="1" applyFont="1" applyFill="1" applyBorder="1"/>
    <xf numFmtId="9" fontId="32" fillId="0" borderId="153" xfId="76" applyNumberFormat="1" applyFont="1" applyFill="1" applyBorder="1"/>
    <xf numFmtId="0" fontId="34" fillId="2" borderId="103" xfId="76" applyNumberFormat="1" applyFont="1" applyFill="1" applyBorder="1" applyAlignment="1">
      <alignment horizontal="left"/>
    </xf>
    <xf numFmtId="170" fontId="32" fillId="0" borderId="87" xfId="76" applyNumberFormat="1" applyFont="1" applyFill="1" applyBorder="1"/>
    <xf numFmtId="170" fontId="32" fillId="0" borderId="88" xfId="76" applyNumberFormat="1" applyFont="1" applyFill="1" applyBorder="1"/>
    <xf numFmtId="170" fontId="32" fillId="0" borderId="142" xfId="76" applyNumberFormat="1" applyFont="1" applyFill="1" applyBorder="1"/>
    <xf numFmtId="170" fontId="32" fillId="0" borderId="143" xfId="76" applyNumberFormat="1" applyFont="1" applyFill="1" applyBorder="1"/>
    <xf numFmtId="170" fontId="32" fillId="0" borderId="145" xfId="76" applyNumberFormat="1" applyFont="1" applyFill="1" applyBorder="1"/>
    <xf numFmtId="170" fontId="32" fillId="0" borderId="146" xfId="76" applyNumberFormat="1" applyFont="1" applyFill="1" applyBorder="1"/>
    <xf numFmtId="0" fontId="34" fillId="2" borderId="150" xfId="76" applyNumberFormat="1" applyFont="1" applyFill="1" applyBorder="1" applyAlignment="1">
      <alignment horizontal="left"/>
    </xf>
    <xf numFmtId="3" fontId="32" fillId="0" borderId="89" xfId="76" applyNumberFormat="1" applyFont="1" applyFill="1" applyBorder="1"/>
    <xf numFmtId="3" fontId="32" fillId="0" borderId="144" xfId="76" applyNumberFormat="1" applyFont="1" applyFill="1" applyBorder="1"/>
    <xf numFmtId="3" fontId="32" fillId="0" borderId="147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0.83635626654873252</c:v>
                </c:pt>
                <c:pt idx="1">
                  <c:v>0.72087351636882924</c:v>
                </c:pt>
                <c:pt idx="2">
                  <c:v>0.85271056128335876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532416"/>
        <c:axId val="95771673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0.96932213198303341</c:v>
                </c:pt>
                <c:pt idx="1">
                  <c:v>0.96932213198303341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692800"/>
        <c:axId val="959695104"/>
      </c:scatterChart>
      <c:catAx>
        <c:axId val="957532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57716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7716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57532416"/>
        <c:crosses val="autoZero"/>
        <c:crossBetween val="between"/>
      </c:valAx>
      <c:valAx>
        <c:axId val="9596928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59695104"/>
        <c:crosses val="max"/>
        <c:crossBetween val="midCat"/>
      </c:valAx>
      <c:valAx>
        <c:axId val="9596951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596928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0.77878798855362763</c:v>
                </c:pt>
                <c:pt idx="1">
                  <c:v>0.82649235529415044</c:v>
                </c:pt>
                <c:pt idx="2">
                  <c:v>0.80213796290714734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440000"/>
        <c:axId val="120855987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9452032"/>
        <c:axId val="1220256896"/>
      </c:scatterChart>
      <c:catAx>
        <c:axId val="1197440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08559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85598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197440000"/>
        <c:crosses val="autoZero"/>
        <c:crossBetween val="between"/>
      </c:valAx>
      <c:valAx>
        <c:axId val="12094520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20256896"/>
        <c:crosses val="max"/>
        <c:crossBetween val="midCat"/>
      </c:valAx>
      <c:valAx>
        <c:axId val="122025689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20945203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7" bestFit="1" customWidth="1"/>
    <col min="2" max="2" width="98.6640625" style="257" customWidth="1"/>
    <col min="3" max="3" width="16.109375" style="51" hidden="1" customWidth="1"/>
    <col min="4" max="16384" width="8.88671875" style="257"/>
  </cols>
  <sheetData>
    <row r="1" spans="1:3" ht="18.600000000000001" customHeight="1" thickBot="1" x14ac:dyDescent="0.4">
      <c r="A1" s="458" t="s">
        <v>133</v>
      </c>
      <c r="B1" s="458"/>
    </row>
    <row r="2" spans="1:3" ht="14.4" customHeight="1" thickBot="1" x14ac:dyDescent="0.35">
      <c r="A2" s="386" t="s">
        <v>321</v>
      </c>
      <c r="B2" s="50"/>
    </row>
    <row r="3" spans="1:3" ht="14.4" customHeight="1" thickBot="1" x14ac:dyDescent="0.35">
      <c r="A3" s="454" t="s">
        <v>183</v>
      </c>
      <c r="B3" s="455"/>
    </row>
    <row r="4" spans="1:3" ht="14.4" customHeight="1" x14ac:dyDescent="0.3">
      <c r="A4" s="274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5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6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6" t="str">
        <f t="shared" si="0"/>
        <v>Man Tab</v>
      </c>
      <c r="B7" s="184" t="s">
        <v>323</v>
      </c>
      <c r="C7" s="51" t="s">
        <v>139</v>
      </c>
    </row>
    <row r="8" spans="1:3" ht="14.4" customHeight="1" thickBot="1" x14ac:dyDescent="0.35">
      <c r="A8" s="277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56" t="s">
        <v>134</v>
      </c>
      <c r="B10" s="455"/>
    </row>
    <row r="11" spans="1:3" ht="14.4" customHeight="1" x14ac:dyDescent="0.3">
      <c r="A11" s="278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6" t="str">
        <f t="shared" ref="A12:A22" si="2">HYPERLINK("#'"&amp;C12&amp;"'!A1",C12)</f>
        <v>LŽ Detail</v>
      </c>
      <c r="B12" s="184" t="s">
        <v>208</v>
      </c>
      <c r="C12" s="51" t="s">
        <v>141</v>
      </c>
    </row>
    <row r="13" spans="1:3" ht="28.8" customHeight="1" x14ac:dyDescent="0.3">
      <c r="A13" s="276" t="str">
        <f t="shared" si="2"/>
        <v>LŽ PL</v>
      </c>
      <c r="B13" s="658" t="s">
        <v>209</v>
      </c>
      <c r="C13" s="51" t="s">
        <v>187</v>
      </c>
    </row>
    <row r="14" spans="1:3" ht="14.4" customHeight="1" x14ac:dyDescent="0.3">
      <c r="A14" s="276" t="str">
        <f t="shared" si="2"/>
        <v>LŽ PL Detail</v>
      </c>
      <c r="B14" s="184" t="s">
        <v>1587</v>
      </c>
      <c r="C14" s="51" t="s">
        <v>189</v>
      </c>
    </row>
    <row r="15" spans="1:3" ht="14.4" customHeight="1" x14ac:dyDescent="0.3">
      <c r="A15" s="276" t="str">
        <f t="shared" si="2"/>
        <v>Léky Recepty</v>
      </c>
      <c r="B15" s="184" t="s">
        <v>178</v>
      </c>
      <c r="C15" s="51" t="s">
        <v>142</v>
      </c>
    </row>
    <row r="16" spans="1:3" ht="14.4" customHeight="1" x14ac:dyDescent="0.3">
      <c r="A16" s="276" t="str">
        <f t="shared" si="2"/>
        <v>LRp Lékaři</v>
      </c>
      <c r="B16" s="184" t="s">
        <v>192</v>
      </c>
      <c r="C16" s="51" t="s">
        <v>193</v>
      </c>
    </row>
    <row r="17" spans="1:3" ht="14.4" customHeight="1" x14ac:dyDescent="0.3">
      <c r="A17" s="276" t="str">
        <f t="shared" si="2"/>
        <v>LRp Detail</v>
      </c>
      <c r="B17" s="184" t="s">
        <v>2237</v>
      </c>
      <c r="C17" s="51" t="s">
        <v>143</v>
      </c>
    </row>
    <row r="18" spans="1:3" ht="28.8" customHeight="1" x14ac:dyDescent="0.3">
      <c r="A18" s="276" t="str">
        <f t="shared" si="2"/>
        <v>LRp PL</v>
      </c>
      <c r="B18" s="658" t="s">
        <v>2238</v>
      </c>
      <c r="C18" s="51" t="s">
        <v>188</v>
      </c>
    </row>
    <row r="19" spans="1:3" ht="14.4" customHeight="1" x14ac:dyDescent="0.3">
      <c r="A19" s="276" t="str">
        <f>HYPERLINK("#'"&amp;C19&amp;"'!A1",C19)</f>
        <v>LRp PL Detail</v>
      </c>
      <c r="B19" s="184" t="s">
        <v>2257</v>
      </c>
      <c r="C19" s="51" t="s">
        <v>190</v>
      </c>
    </row>
    <row r="20" spans="1:3" ht="14.4" customHeight="1" x14ac:dyDescent="0.3">
      <c r="A20" s="278" t="str">
        <f t="shared" ref="A20" si="3">HYPERLINK("#'"&amp;C20&amp;"'!A1",C20)</f>
        <v>Materiál Žádanky</v>
      </c>
      <c r="B20" s="184" t="s">
        <v>179</v>
      </c>
      <c r="C20" s="51" t="s">
        <v>144</v>
      </c>
    </row>
    <row r="21" spans="1:3" ht="14.4" customHeight="1" x14ac:dyDescent="0.3">
      <c r="A21" s="276" t="str">
        <f t="shared" si="2"/>
        <v>MŽ Detail</v>
      </c>
      <c r="B21" s="184" t="s">
        <v>3579</v>
      </c>
      <c r="C21" s="51" t="s">
        <v>145</v>
      </c>
    </row>
    <row r="22" spans="1:3" ht="14.4" customHeight="1" thickBot="1" x14ac:dyDescent="0.35">
      <c r="A22" s="278" t="str">
        <f t="shared" si="2"/>
        <v>Osobní náklady</v>
      </c>
      <c r="B22" s="184" t="s">
        <v>131</v>
      </c>
      <c r="C22" s="51" t="s">
        <v>146</v>
      </c>
    </row>
    <row r="23" spans="1:3" ht="14.4" customHeight="1" thickBot="1" x14ac:dyDescent="0.35">
      <c r="A23" s="187"/>
      <c r="B23" s="187"/>
    </row>
    <row r="24" spans="1:3" ht="14.4" customHeight="1" thickBot="1" x14ac:dyDescent="0.35">
      <c r="A24" s="457" t="s">
        <v>135</v>
      </c>
      <c r="B24" s="455"/>
    </row>
    <row r="25" spans="1:3" ht="14.4" customHeight="1" x14ac:dyDescent="0.3">
      <c r="A25" s="279" t="str">
        <f t="shared" ref="A25:A34" si="4">HYPERLINK("#'"&amp;C25&amp;"'!A1",C25)</f>
        <v>ZV Vykáz.-A</v>
      </c>
      <c r="B25" s="183" t="s">
        <v>3587</v>
      </c>
      <c r="C25" s="51" t="s">
        <v>154</v>
      </c>
    </row>
    <row r="26" spans="1:3" ht="14.4" customHeight="1" x14ac:dyDescent="0.3">
      <c r="A26" s="276" t="str">
        <f t="shared" si="4"/>
        <v>ZV Vykáz.-A Detail</v>
      </c>
      <c r="B26" s="184" t="s">
        <v>3754</v>
      </c>
      <c r="C26" s="51" t="s">
        <v>155</v>
      </c>
    </row>
    <row r="27" spans="1:3" ht="14.4" customHeight="1" x14ac:dyDescent="0.3">
      <c r="A27" s="276" t="str">
        <f t="shared" si="4"/>
        <v>ZV Vykáz.-H</v>
      </c>
      <c r="B27" s="184" t="s">
        <v>158</v>
      </c>
      <c r="C27" s="51" t="s">
        <v>156</v>
      </c>
    </row>
    <row r="28" spans="1:3" ht="14.4" customHeight="1" x14ac:dyDescent="0.3">
      <c r="A28" s="276" t="str">
        <f t="shared" si="4"/>
        <v>ZV Vykáz.-H Detail</v>
      </c>
      <c r="B28" s="184" t="s">
        <v>4824</v>
      </c>
      <c r="C28" s="51" t="s">
        <v>157</v>
      </c>
    </row>
    <row r="29" spans="1:3" ht="14.4" customHeight="1" x14ac:dyDescent="0.3">
      <c r="A29" s="279" t="str">
        <f t="shared" si="4"/>
        <v>CaseMix</v>
      </c>
      <c r="B29" s="184" t="s">
        <v>136</v>
      </c>
      <c r="C29" s="51" t="s">
        <v>147</v>
      </c>
    </row>
    <row r="30" spans="1:3" ht="14.4" customHeight="1" x14ac:dyDescent="0.3">
      <c r="A30" s="276" t="str">
        <f t="shared" si="4"/>
        <v>ALOS</v>
      </c>
      <c r="B30" s="184" t="s">
        <v>115</v>
      </c>
      <c r="C30" s="51" t="s">
        <v>86</v>
      </c>
    </row>
    <row r="31" spans="1:3" ht="14.4" customHeight="1" x14ac:dyDescent="0.3">
      <c r="A31" s="276" t="str">
        <f t="shared" si="4"/>
        <v>Total</v>
      </c>
      <c r="B31" s="184" t="s">
        <v>5049</v>
      </c>
      <c r="C31" s="51" t="s">
        <v>148</v>
      </c>
    </row>
    <row r="32" spans="1:3" ht="14.4" customHeight="1" x14ac:dyDescent="0.3">
      <c r="A32" s="276" t="str">
        <f t="shared" si="4"/>
        <v>ZV Vyžád.</v>
      </c>
      <c r="B32" s="184" t="s">
        <v>159</v>
      </c>
      <c r="C32" s="51" t="s">
        <v>151</v>
      </c>
    </row>
    <row r="33" spans="1:3" ht="14.4" customHeight="1" x14ac:dyDescent="0.3">
      <c r="A33" s="276" t="str">
        <f t="shared" si="4"/>
        <v>ZV Vyžád. Detail</v>
      </c>
      <c r="B33" s="184" t="s">
        <v>5474</v>
      </c>
      <c r="C33" s="51" t="s">
        <v>150</v>
      </c>
    </row>
    <row r="34" spans="1:3" ht="14.4" customHeight="1" thickBot="1" x14ac:dyDescent="0.35">
      <c r="A34" s="277" t="str">
        <f t="shared" si="4"/>
        <v>OD TISS</v>
      </c>
      <c r="B34" s="185" t="s">
        <v>182</v>
      </c>
      <c r="C34" s="51" t="s">
        <v>149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7" bestFit="1" customWidth="1"/>
    <col min="2" max="2" width="8.88671875" style="257" bestFit="1" customWidth="1"/>
    <col min="3" max="3" width="7" style="257" bestFit="1" customWidth="1"/>
    <col min="4" max="4" width="53.44140625" style="257" bestFit="1" customWidth="1"/>
    <col min="5" max="5" width="28.44140625" style="257" bestFit="1" customWidth="1"/>
    <col min="6" max="6" width="6.6640625" style="340" customWidth="1"/>
    <col min="7" max="7" width="10" style="340" customWidth="1"/>
    <col min="8" max="8" width="6.77734375" style="343" bestFit="1" customWidth="1"/>
    <col min="9" max="9" width="6.6640625" style="340" customWidth="1"/>
    <col min="10" max="10" width="10" style="340" customWidth="1"/>
    <col min="11" max="11" width="6.77734375" style="343" bestFit="1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1587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1</v>
      </c>
      <c r="G3" s="47">
        <f>SUBTOTAL(9,G6:G1048576)</f>
        <v>426.87</v>
      </c>
      <c r="H3" s="48">
        <f>IF(M3=0,0,G3/M3)</f>
        <v>2.0376343972439812E-3</v>
      </c>
      <c r="I3" s="47">
        <f>SUBTOTAL(9,I6:I1048576)</f>
        <v>1648.7</v>
      </c>
      <c r="J3" s="47">
        <f>SUBTOTAL(9,J6:J1048576)</f>
        <v>209066.05992764869</v>
      </c>
      <c r="K3" s="48">
        <f>IF(M3=0,0,J3/M3)</f>
        <v>0.99796236560275609</v>
      </c>
      <c r="L3" s="47">
        <f>SUBTOTAL(9,L6:L1048576)</f>
        <v>1649.7</v>
      </c>
      <c r="M3" s="49">
        <f>SUBTOTAL(9,M6:M1048576)</f>
        <v>209492.92992764869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2" t="s">
        <v>163</v>
      </c>
      <c r="B5" s="660" t="s">
        <v>164</v>
      </c>
      <c r="C5" s="660" t="s">
        <v>90</v>
      </c>
      <c r="D5" s="660" t="s">
        <v>165</v>
      </c>
      <c r="E5" s="660" t="s">
        <v>166</v>
      </c>
      <c r="F5" s="661" t="s">
        <v>28</v>
      </c>
      <c r="G5" s="661" t="s">
        <v>14</v>
      </c>
      <c r="H5" s="644" t="s">
        <v>167</v>
      </c>
      <c r="I5" s="643" t="s">
        <v>28</v>
      </c>
      <c r="J5" s="661" t="s">
        <v>14</v>
      </c>
      <c r="K5" s="644" t="s">
        <v>167</v>
      </c>
      <c r="L5" s="643" t="s">
        <v>28</v>
      </c>
      <c r="M5" s="662" t="s">
        <v>14</v>
      </c>
    </row>
    <row r="6" spans="1:13" ht="14.4" customHeight="1" x14ac:dyDescent="0.3">
      <c r="A6" s="624" t="s">
        <v>563</v>
      </c>
      <c r="B6" s="625" t="s">
        <v>1505</v>
      </c>
      <c r="C6" s="625" t="s">
        <v>951</v>
      </c>
      <c r="D6" s="625" t="s">
        <v>952</v>
      </c>
      <c r="E6" s="625" t="s">
        <v>953</v>
      </c>
      <c r="F6" s="628"/>
      <c r="G6" s="628"/>
      <c r="H6" s="646">
        <v>0</v>
      </c>
      <c r="I6" s="628">
        <v>4</v>
      </c>
      <c r="J6" s="628">
        <v>284.19723529689929</v>
      </c>
      <c r="K6" s="646">
        <v>1</v>
      </c>
      <c r="L6" s="628">
        <v>4</v>
      </c>
      <c r="M6" s="629">
        <v>284.19723529689929</v>
      </c>
    </row>
    <row r="7" spans="1:13" ht="14.4" customHeight="1" x14ac:dyDescent="0.3">
      <c r="A7" s="630" t="s">
        <v>563</v>
      </c>
      <c r="B7" s="631" t="s">
        <v>1506</v>
      </c>
      <c r="C7" s="631" t="s">
        <v>920</v>
      </c>
      <c r="D7" s="631" t="s">
        <v>1507</v>
      </c>
      <c r="E7" s="631" t="s">
        <v>1508</v>
      </c>
      <c r="F7" s="634"/>
      <c r="G7" s="634"/>
      <c r="H7" s="647">
        <v>0</v>
      </c>
      <c r="I7" s="634">
        <v>1</v>
      </c>
      <c r="J7" s="634">
        <v>100.70968869570605</v>
      </c>
      <c r="K7" s="647">
        <v>1</v>
      </c>
      <c r="L7" s="634">
        <v>1</v>
      </c>
      <c r="M7" s="635">
        <v>100.70968869570605</v>
      </c>
    </row>
    <row r="8" spans="1:13" ht="14.4" customHeight="1" x14ac:dyDescent="0.3">
      <c r="A8" s="630" t="s">
        <v>563</v>
      </c>
      <c r="B8" s="631" t="s">
        <v>1509</v>
      </c>
      <c r="C8" s="631" t="s">
        <v>955</v>
      </c>
      <c r="D8" s="631" t="s">
        <v>1510</v>
      </c>
      <c r="E8" s="631" t="s">
        <v>1511</v>
      </c>
      <c r="F8" s="634"/>
      <c r="G8" s="634"/>
      <c r="H8" s="647">
        <v>0</v>
      </c>
      <c r="I8" s="634">
        <v>1</v>
      </c>
      <c r="J8" s="634">
        <v>117.14</v>
      </c>
      <c r="K8" s="647">
        <v>1</v>
      </c>
      <c r="L8" s="634">
        <v>1</v>
      </c>
      <c r="M8" s="635">
        <v>117.14</v>
      </c>
    </row>
    <row r="9" spans="1:13" ht="14.4" customHeight="1" x14ac:dyDescent="0.3">
      <c r="A9" s="630" t="s">
        <v>563</v>
      </c>
      <c r="B9" s="631" t="s">
        <v>1512</v>
      </c>
      <c r="C9" s="631" t="s">
        <v>924</v>
      </c>
      <c r="D9" s="631" t="s">
        <v>925</v>
      </c>
      <c r="E9" s="631" t="s">
        <v>1513</v>
      </c>
      <c r="F9" s="634"/>
      <c r="G9" s="634"/>
      <c r="H9" s="647">
        <v>0</v>
      </c>
      <c r="I9" s="634">
        <v>8</v>
      </c>
      <c r="J9" s="634">
        <v>27599.985061978652</v>
      </c>
      <c r="K9" s="647">
        <v>1</v>
      </c>
      <c r="L9" s="634">
        <v>8</v>
      </c>
      <c r="M9" s="635">
        <v>27599.985061978652</v>
      </c>
    </row>
    <row r="10" spans="1:13" ht="14.4" customHeight="1" x14ac:dyDescent="0.3">
      <c r="A10" s="630" t="s">
        <v>563</v>
      </c>
      <c r="B10" s="631" t="s">
        <v>1514</v>
      </c>
      <c r="C10" s="631" t="s">
        <v>932</v>
      </c>
      <c r="D10" s="631" t="s">
        <v>1515</v>
      </c>
      <c r="E10" s="631" t="s">
        <v>740</v>
      </c>
      <c r="F10" s="634"/>
      <c r="G10" s="634"/>
      <c r="H10" s="647">
        <v>0</v>
      </c>
      <c r="I10" s="634">
        <v>1</v>
      </c>
      <c r="J10" s="634">
        <v>98.45</v>
      </c>
      <c r="K10" s="647">
        <v>1</v>
      </c>
      <c r="L10" s="634">
        <v>1</v>
      </c>
      <c r="M10" s="635">
        <v>98.45</v>
      </c>
    </row>
    <row r="11" spans="1:13" ht="14.4" customHeight="1" x14ac:dyDescent="0.3">
      <c r="A11" s="630" t="s">
        <v>563</v>
      </c>
      <c r="B11" s="631" t="s">
        <v>1516</v>
      </c>
      <c r="C11" s="631" t="s">
        <v>940</v>
      </c>
      <c r="D11" s="631" t="s">
        <v>941</v>
      </c>
      <c r="E11" s="631" t="s">
        <v>942</v>
      </c>
      <c r="F11" s="634"/>
      <c r="G11" s="634"/>
      <c r="H11" s="647">
        <v>0</v>
      </c>
      <c r="I11" s="634">
        <v>2</v>
      </c>
      <c r="J11" s="634">
        <v>205.09964467128199</v>
      </c>
      <c r="K11" s="647">
        <v>1</v>
      </c>
      <c r="L11" s="634">
        <v>2</v>
      </c>
      <c r="M11" s="635">
        <v>205.09964467128199</v>
      </c>
    </row>
    <row r="12" spans="1:13" ht="14.4" customHeight="1" x14ac:dyDescent="0.3">
      <c r="A12" s="630" t="s">
        <v>563</v>
      </c>
      <c r="B12" s="631" t="s">
        <v>1517</v>
      </c>
      <c r="C12" s="631" t="s">
        <v>936</v>
      </c>
      <c r="D12" s="631" t="s">
        <v>1518</v>
      </c>
      <c r="E12" s="631" t="s">
        <v>717</v>
      </c>
      <c r="F12" s="634"/>
      <c r="G12" s="634"/>
      <c r="H12" s="647">
        <v>0</v>
      </c>
      <c r="I12" s="634">
        <v>4</v>
      </c>
      <c r="J12" s="634">
        <v>392.27999999999992</v>
      </c>
      <c r="K12" s="647">
        <v>1</v>
      </c>
      <c r="L12" s="634">
        <v>4</v>
      </c>
      <c r="M12" s="635">
        <v>392.27999999999992</v>
      </c>
    </row>
    <row r="13" spans="1:13" ht="14.4" customHeight="1" x14ac:dyDescent="0.3">
      <c r="A13" s="630" t="s">
        <v>563</v>
      </c>
      <c r="B13" s="631" t="s">
        <v>1519</v>
      </c>
      <c r="C13" s="631" t="s">
        <v>967</v>
      </c>
      <c r="D13" s="631" t="s">
        <v>968</v>
      </c>
      <c r="E13" s="631" t="s">
        <v>969</v>
      </c>
      <c r="F13" s="634"/>
      <c r="G13" s="634"/>
      <c r="H13" s="647">
        <v>0</v>
      </c>
      <c r="I13" s="634">
        <v>1</v>
      </c>
      <c r="J13" s="634">
        <v>550.61000000000013</v>
      </c>
      <c r="K13" s="647">
        <v>1</v>
      </c>
      <c r="L13" s="634">
        <v>1</v>
      </c>
      <c r="M13" s="635">
        <v>550.61000000000013</v>
      </c>
    </row>
    <row r="14" spans="1:13" ht="14.4" customHeight="1" x14ac:dyDescent="0.3">
      <c r="A14" s="630" t="s">
        <v>563</v>
      </c>
      <c r="B14" s="631" t="s">
        <v>1520</v>
      </c>
      <c r="C14" s="631" t="s">
        <v>963</v>
      </c>
      <c r="D14" s="631" t="s">
        <v>1521</v>
      </c>
      <c r="E14" s="631" t="s">
        <v>1522</v>
      </c>
      <c r="F14" s="634"/>
      <c r="G14" s="634"/>
      <c r="H14" s="647">
        <v>0</v>
      </c>
      <c r="I14" s="634">
        <v>3</v>
      </c>
      <c r="J14" s="634">
        <v>201.03000000000003</v>
      </c>
      <c r="K14" s="647">
        <v>1</v>
      </c>
      <c r="L14" s="634">
        <v>3</v>
      </c>
      <c r="M14" s="635">
        <v>201.03000000000003</v>
      </c>
    </row>
    <row r="15" spans="1:13" ht="14.4" customHeight="1" x14ac:dyDescent="0.3">
      <c r="A15" s="630" t="s">
        <v>563</v>
      </c>
      <c r="B15" s="631" t="s">
        <v>1523</v>
      </c>
      <c r="C15" s="631" t="s">
        <v>1027</v>
      </c>
      <c r="D15" s="631" t="s">
        <v>989</v>
      </c>
      <c r="E15" s="631" t="s">
        <v>1028</v>
      </c>
      <c r="F15" s="634"/>
      <c r="G15" s="634"/>
      <c r="H15" s="647">
        <v>0</v>
      </c>
      <c r="I15" s="634">
        <v>309</v>
      </c>
      <c r="J15" s="634">
        <v>14161.282975290929</v>
      </c>
      <c r="K15" s="647">
        <v>1</v>
      </c>
      <c r="L15" s="634">
        <v>309</v>
      </c>
      <c r="M15" s="635">
        <v>14161.282975290929</v>
      </c>
    </row>
    <row r="16" spans="1:13" ht="14.4" customHeight="1" x14ac:dyDescent="0.3">
      <c r="A16" s="630" t="s">
        <v>563</v>
      </c>
      <c r="B16" s="631" t="s">
        <v>1524</v>
      </c>
      <c r="C16" s="631" t="s">
        <v>1019</v>
      </c>
      <c r="D16" s="631" t="s">
        <v>1525</v>
      </c>
      <c r="E16" s="631" t="s">
        <v>1526</v>
      </c>
      <c r="F16" s="634"/>
      <c r="G16" s="634"/>
      <c r="H16" s="647">
        <v>0</v>
      </c>
      <c r="I16" s="634">
        <v>6</v>
      </c>
      <c r="J16" s="634">
        <v>1018.4199999999998</v>
      </c>
      <c r="K16" s="647">
        <v>1</v>
      </c>
      <c r="L16" s="634">
        <v>6</v>
      </c>
      <c r="M16" s="635">
        <v>1018.4199999999998</v>
      </c>
    </row>
    <row r="17" spans="1:13" ht="14.4" customHeight="1" x14ac:dyDescent="0.3">
      <c r="A17" s="630" t="s">
        <v>563</v>
      </c>
      <c r="B17" s="631" t="s">
        <v>1524</v>
      </c>
      <c r="C17" s="631" t="s">
        <v>1037</v>
      </c>
      <c r="D17" s="631" t="s">
        <v>1527</v>
      </c>
      <c r="E17" s="631" t="s">
        <v>1528</v>
      </c>
      <c r="F17" s="634"/>
      <c r="G17" s="634"/>
      <c r="H17" s="647">
        <v>0</v>
      </c>
      <c r="I17" s="634">
        <v>32.200000000000003</v>
      </c>
      <c r="J17" s="634">
        <v>3803.0604454718464</v>
      </c>
      <c r="K17" s="647">
        <v>1</v>
      </c>
      <c r="L17" s="634">
        <v>32.200000000000003</v>
      </c>
      <c r="M17" s="635">
        <v>3803.0604454718464</v>
      </c>
    </row>
    <row r="18" spans="1:13" ht="14.4" customHeight="1" x14ac:dyDescent="0.3">
      <c r="A18" s="630" t="s">
        <v>563</v>
      </c>
      <c r="B18" s="631" t="s">
        <v>1524</v>
      </c>
      <c r="C18" s="631" t="s">
        <v>1041</v>
      </c>
      <c r="D18" s="631" t="s">
        <v>1529</v>
      </c>
      <c r="E18" s="631" t="s">
        <v>1530</v>
      </c>
      <c r="F18" s="634"/>
      <c r="G18" s="634"/>
      <c r="H18" s="647">
        <v>0</v>
      </c>
      <c r="I18" s="634">
        <v>2</v>
      </c>
      <c r="J18" s="634">
        <v>240.3990972390682</v>
      </c>
      <c r="K18" s="647">
        <v>1</v>
      </c>
      <c r="L18" s="634">
        <v>2</v>
      </c>
      <c r="M18" s="635">
        <v>240.3990972390682</v>
      </c>
    </row>
    <row r="19" spans="1:13" ht="14.4" customHeight="1" x14ac:dyDescent="0.3">
      <c r="A19" s="630" t="s">
        <v>563</v>
      </c>
      <c r="B19" s="631" t="s">
        <v>1531</v>
      </c>
      <c r="C19" s="631" t="s">
        <v>1034</v>
      </c>
      <c r="D19" s="631" t="s">
        <v>1035</v>
      </c>
      <c r="E19" s="631" t="s">
        <v>1532</v>
      </c>
      <c r="F19" s="634"/>
      <c r="G19" s="634"/>
      <c r="H19" s="647">
        <v>0</v>
      </c>
      <c r="I19" s="634">
        <v>36.40000000000002</v>
      </c>
      <c r="J19" s="634">
        <v>8167.3241131795185</v>
      </c>
      <c r="K19" s="647">
        <v>1</v>
      </c>
      <c r="L19" s="634">
        <v>36.40000000000002</v>
      </c>
      <c r="M19" s="635">
        <v>8167.3241131795185</v>
      </c>
    </row>
    <row r="20" spans="1:13" ht="14.4" customHeight="1" x14ac:dyDescent="0.3">
      <c r="A20" s="630" t="s">
        <v>563</v>
      </c>
      <c r="B20" s="631" t="s">
        <v>1533</v>
      </c>
      <c r="C20" s="631" t="s">
        <v>1045</v>
      </c>
      <c r="D20" s="631" t="s">
        <v>1046</v>
      </c>
      <c r="E20" s="631" t="s">
        <v>1047</v>
      </c>
      <c r="F20" s="634"/>
      <c r="G20" s="634"/>
      <c r="H20" s="647">
        <v>0</v>
      </c>
      <c r="I20" s="634">
        <v>6</v>
      </c>
      <c r="J20" s="634">
        <v>626.51969973927976</v>
      </c>
      <c r="K20" s="647">
        <v>1</v>
      </c>
      <c r="L20" s="634">
        <v>6</v>
      </c>
      <c r="M20" s="635">
        <v>626.51969973927976</v>
      </c>
    </row>
    <row r="21" spans="1:13" ht="14.4" customHeight="1" x14ac:dyDescent="0.3">
      <c r="A21" s="630" t="s">
        <v>563</v>
      </c>
      <c r="B21" s="631" t="s">
        <v>1533</v>
      </c>
      <c r="C21" s="631" t="s">
        <v>1023</v>
      </c>
      <c r="D21" s="631" t="s">
        <v>1534</v>
      </c>
      <c r="E21" s="631" t="s">
        <v>1535</v>
      </c>
      <c r="F21" s="634"/>
      <c r="G21" s="634"/>
      <c r="H21" s="647">
        <v>0</v>
      </c>
      <c r="I21" s="634">
        <v>227</v>
      </c>
      <c r="J21" s="634">
        <v>20112.201877536161</v>
      </c>
      <c r="K21" s="647">
        <v>1</v>
      </c>
      <c r="L21" s="634">
        <v>227</v>
      </c>
      <c r="M21" s="635">
        <v>20112.201877536161</v>
      </c>
    </row>
    <row r="22" spans="1:13" ht="14.4" customHeight="1" x14ac:dyDescent="0.3">
      <c r="A22" s="630" t="s">
        <v>563</v>
      </c>
      <c r="B22" s="631" t="s">
        <v>1536</v>
      </c>
      <c r="C22" s="631" t="s">
        <v>1030</v>
      </c>
      <c r="D22" s="631" t="s">
        <v>1031</v>
      </c>
      <c r="E22" s="631" t="s">
        <v>1537</v>
      </c>
      <c r="F22" s="634"/>
      <c r="G22" s="634"/>
      <c r="H22" s="647">
        <v>0</v>
      </c>
      <c r="I22" s="634">
        <v>7</v>
      </c>
      <c r="J22" s="634">
        <v>401.58989002133995</v>
      </c>
      <c r="K22" s="647">
        <v>1</v>
      </c>
      <c r="L22" s="634">
        <v>7</v>
      </c>
      <c r="M22" s="635">
        <v>401.58989002133995</v>
      </c>
    </row>
    <row r="23" spans="1:13" ht="14.4" customHeight="1" x14ac:dyDescent="0.3">
      <c r="A23" s="630" t="s">
        <v>563</v>
      </c>
      <c r="B23" s="631" t="s">
        <v>1538</v>
      </c>
      <c r="C23" s="631" t="s">
        <v>1000</v>
      </c>
      <c r="D23" s="631" t="s">
        <v>1539</v>
      </c>
      <c r="E23" s="631" t="s">
        <v>1540</v>
      </c>
      <c r="F23" s="634"/>
      <c r="G23" s="634"/>
      <c r="H23" s="647">
        <v>0</v>
      </c>
      <c r="I23" s="634">
        <v>66</v>
      </c>
      <c r="J23" s="634">
        <v>15548.517861128492</v>
      </c>
      <c r="K23" s="647">
        <v>1</v>
      </c>
      <c r="L23" s="634">
        <v>66</v>
      </c>
      <c r="M23" s="635">
        <v>15548.517861128492</v>
      </c>
    </row>
    <row r="24" spans="1:13" ht="14.4" customHeight="1" x14ac:dyDescent="0.3">
      <c r="A24" s="630" t="s">
        <v>563</v>
      </c>
      <c r="B24" s="631" t="s">
        <v>1541</v>
      </c>
      <c r="C24" s="631" t="s">
        <v>944</v>
      </c>
      <c r="D24" s="631" t="s">
        <v>917</v>
      </c>
      <c r="E24" s="631" t="s">
        <v>1542</v>
      </c>
      <c r="F24" s="634"/>
      <c r="G24" s="634"/>
      <c r="H24" s="647">
        <v>0</v>
      </c>
      <c r="I24" s="634">
        <v>4</v>
      </c>
      <c r="J24" s="634">
        <v>296.43853797193725</v>
      </c>
      <c r="K24" s="647">
        <v>1</v>
      </c>
      <c r="L24" s="634">
        <v>4</v>
      </c>
      <c r="M24" s="635">
        <v>296.43853797193725</v>
      </c>
    </row>
    <row r="25" spans="1:13" ht="14.4" customHeight="1" x14ac:dyDescent="0.3">
      <c r="A25" s="630" t="s">
        <v>563</v>
      </c>
      <c r="B25" s="631" t="s">
        <v>1541</v>
      </c>
      <c r="C25" s="631" t="s">
        <v>916</v>
      </c>
      <c r="D25" s="631" t="s">
        <v>917</v>
      </c>
      <c r="E25" s="631" t="s">
        <v>1543</v>
      </c>
      <c r="F25" s="634"/>
      <c r="G25" s="634"/>
      <c r="H25" s="647">
        <v>0</v>
      </c>
      <c r="I25" s="634">
        <v>103</v>
      </c>
      <c r="J25" s="634">
        <v>13563.239573594708</v>
      </c>
      <c r="K25" s="647">
        <v>1</v>
      </c>
      <c r="L25" s="634">
        <v>103</v>
      </c>
      <c r="M25" s="635">
        <v>13563.239573594708</v>
      </c>
    </row>
    <row r="26" spans="1:13" ht="14.4" customHeight="1" x14ac:dyDescent="0.3">
      <c r="A26" s="630" t="s">
        <v>563</v>
      </c>
      <c r="B26" s="631" t="s">
        <v>1544</v>
      </c>
      <c r="C26" s="631" t="s">
        <v>928</v>
      </c>
      <c r="D26" s="631" t="s">
        <v>929</v>
      </c>
      <c r="E26" s="631" t="s">
        <v>1545</v>
      </c>
      <c r="F26" s="634"/>
      <c r="G26" s="634"/>
      <c r="H26" s="647">
        <v>0</v>
      </c>
      <c r="I26" s="634">
        <v>12</v>
      </c>
      <c r="J26" s="634">
        <v>412.68088771256294</v>
      </c>
      <c r="K26" s="647">
        <v>1</v>
      </c>
      <c r="L26" s="634">
        <v>12</v>
      </c>
      <c r="M26" s="635">
        <v>412.68088771256294</v>
      </c>
    </row>
    <row r="27" spans="1:13" ht="14.4" customHeight="1" x14ac:dyDescent="0.3">
      <c r="A27" s="630" t="s">
        <v>563</v>
      </c>
      <c r="B27" s="631" t="s">
        <v>1546</v>
      </c>
      <c r="C27" s="631" t="s">
        <v>947</v>
      </c>
      <c r="D27" s="631" t="s">
        <v>948</v>
      </c>
      <c r="E27" s="631" t="s">
        <v>1547</v>
      </c>
      <c r="F27" s="634"/>
      <c r="G27" s="634"/>
      <c r="H27" s="647">
        <v>0</v>
      </c>
      <c r="I27" s="634">
        <v>1</v>
      </c>
      <c r="J27" s="634">
        <v>121.54</v>
      </c>
      <c r="K27" s="647">
        <v>1</v>
      </c>
      <c r="L27" s="634">
        <v>1</v>
      </c>
      <c r="M27" s="635">
        <v>121.54</v>
      </c>
    </row>
    <row r="28" spans="1:13" ht="14.4" customHeight="1" x14ac:dyDescent="0.3">
      <c r="A28" s="630" t="s">
        <v>563</v>
      </c>
      <c r="B28" s="631" t="s">
        <v>1548</v>
      </c>
      <c r="C28" s="631" t="s">
        <v>959</v>
      </c>
      <c r="D28" s="631" t="s">
        <v>960</v>
      </c>
      <c r="E28" s="631" t="s">
        <v>961</v>
      </c>
      <c r="F28" s="634"/>
      <c r="G28" s="634"/>
      <c r="H28" s="647">
        <v>0</v>
      </c>
      <c r="I28" s="634">
        <v>1</v>
      </c>
      <c r="J28" s="634">
        <v>103.35</v>
      </c>
      <c r="K28" s="647">
        <v>1</v>
      </c>
      <c r="L28" s="634">
        <v>1</v>
      </c>
      <c r="M28" s="635">
        <v>103.35</v>
      </c>
    </row>
    <row r="29" spans="1:13" ht="14.4" customHeight="1" x14ac:dyDescent="0.3">
      <c r="A29" s="630" t="s">
        <v>571</v>
      </c>
      <c r="B29" s="631" t="s">
        <v>1549</v>
      </c>
      <c r="C29" s="631" t="s">
        <v>1147</v>
      </c>
      <c r="D29" s="631" t="s">
        <v>1148</v>
      </c>
      <c r="E29" s="631" t="s">
        <v>1149</v>
      </c>
      <c r="F29" s="634"/>
      <c r="G29" s="634"/>
      <c r="H29" s="647">
        <v>0</v>
      </c>
      <c r="I29" s="634">
        <v>12</v>
      </c>
      <c r="J29" s="634">
        <v>2014.44</v>
      </c>
      <c r="K29" s="647">
        <v>1</v>
      </c>
      <c r="L29" s="634">
        <v>12</v>
      </c>
      <c r="M29" s="635">
        <v>2014.44</v>
      </c>
    </row>
    <row r="30" spans="1:13" ht="14.4" customHeight="1" x14ac:dyDescent="0.3">
      <c r="A30" s="630" t="s">
        <v>571</v>
      </c>
      <c r="B30" s="631" t="s">
        <v>1505</v>
      </c>
      <c r="C30" s="631" t="s">
        <v>1324</v>
      </c>
      <c r="D30" s="631" t="s">
        <v>1325</v>
      </c>
      <c r="E30" s="631" t="s">
        <v>1550</v>
      </c>
      <c r="F30" s="634"/>
      <c r="G30" s="634"/>
      <c r="H30" s="647">
        <v>0</v>
      </c>
      <c r="I30" s="634">
        <v>1</v>
      </c>
      <c r="J30" s="634">
        <v>73.439529447004702</v>
      </c>
      <c r="K30" s="647">
        <v>1</v>
      </c>
      <c r="L30" s="634">
        <v>1</v>
      </c>
      <c r="M30" s="635">
        <v>73.439529447004702</v>
      </c>
    </row>
    <row r="31" spans="1:13" ht="14.4" customHeight="1" x14ac:dyDescent="0.3">
      <c r="A31" s="630" t="s">
        <v>571</v>
      </c>
      <c r="B31" s="631" t="s">
        <v>1505</v>
      </c>
      <c r="C31" s="631" t="s">
        <v>951</v>
      </c>
      <c r="D31" s="631" t="s">
        <v>952</v>
      </c>
      <c r="E31" s="631" t="s">
        <v>953</v>
      </c>
      <c r="F31" s="634"/>
      <c r="G31" s="634"/>
      <c r="H31" s="647">
        <v>0</v>
      </c>
      <c r="I31" s="634">
        <v>170</v>
      </c>
      <c r="J31" s="634">
        <v>12064.474015520802</v>
      </c>
      <c r="K31" s="647">
        <v>1</v>
      </c>
      <c r="L31" s="634">
        <v>170</v>
      </c>
      <c r="M31" s="635">
        <v>12064.474015520802</v>
      </c>
    </row>
    <row r="32" spans="1:13" ht="14.4" customHeight="1" x14ac:dyDescent="0.3">
      <c r="A32" s="630" t="s">
        <v>571</v>
      </c>
      <c r="B32" s="631" t="s">
        <v>1551</v>
      </c>
      <c r="C32" s="631" t="s">
        <v>1320</v>
      </c>
      <c r="D32" s="631" t="s">
        <v>1321</v>
      </c>
      <c r="E32" s="631" t="s">
        <v>1322</v>
      </c>
      <c r="F32" s="634"/>
      <c r="G32" s="634"/>
      <c r="H32" s="647">
        <v>0</v>
      </c>
      <c r="I32" s="634">
        <v>2</v>
      </c>
      <c r="J32" s="634">
        <v>221.57999999999996</v>
      </c>
      <c r="K32" s="647">
        <v>1</v>
      </c>
      <c r="L32" s="634">
        <v>2</v>
      </c>
      <c r="M32" s="635">
        <v>221.57999999999996</v>
      </c>
    </row>
    <row r="33" spans="1:13" ht="14.4" customHeight="1" x14ac:dyDescent="0.3">
      <c r="A33" s="630" t="s">
        <v>571</v>
      </c>
      <c r="B33" s="631" t="s">
        <v>1552</v>
      </c>
      <c r="C33" s="631" t="s">
        <v>1359</v>
      </c>
      <c r="D33" s="631" t="s">
        <v>1360</v>
      </c>
      <c r="E33" s="631" t="s">
        <v>1361</v>
      </c>
      <c r="F33" s="634"/>
      <c r="G33" s="634"/>
      <c r="H33" s="647">
        <v>0</v>
      </c>
      <c r="I33" s="634">
        <v>2</v>
      </c>
      <c r="J33" s="634">
        <v>944.96000000000026</v>
      </c>
      <c r="K33" s="647">
        <v>1</v>
      </c>
      <c r="L33" s="634">
        <v>2</v>
      </c>
      <c r="M33" s="635">
        <v>944.96000000000026</v>
      </c>
    </row>
    <row r="34" spans="1:13" ht="14.4" customHeight="1" x14ac:dyDescent="0.3">
      <c r="A34" s="630" t="s">
        <v>571</v>
      </c>
      <c r="B34" s="631" t="s">
        <v>1512</v>
      </c>
      <c r="C34" s="631" t="s">
        <v>1367</v>
      </c>
      <c r="D34" s="631" t="s">
        <v>1317</v>
      </c>
      <c r="E34" s="631" t="s">
        <v>1368</v>
      </c>
      <c r="F34" s="634"/>
      <c r="G34" s="634"/>
      <c r="H34" s="647">
        <v>0</v>
      </c>
      <c r="I34" s="634">
        <v>2</v>
      </c>
      <c r="J34" s="634">
        <v>828</v>
      </c>
      <c r="K34" s="647">
        <v>1</v>
      </c>
      <c r="L34" s="634">
        <v>2</v>
      </c>
      <c r="M34" s="635">
        <v>828</v>
      </c>
    </row>
    <row r="35" spans="1:13" ht="14.4" customHeight="1" x14ac:dyDescent="0.3">
      <c r="A35" s="630" t="s">
        <v>571</v>
      </c>
      <c r="B35" s="631" t="s">
        <v>1512</v>
      </c>
      <c r="C35" s="631" t="s">
        <v>1316</v>
      </c>
      <c r="D35" s="631" t="s">
        <v>1317</v>
      </c>
      <c r="E35" s="631" t="s">
        <v>1318</v>
      </c>
      <c r="F35" s="634"/>
      <c r="G35" s="634"/>
      <c r="H35" s="647">
        <v>0</v>
      </c>
      <c r="I35" s="634">
        <v>2</v>
      </c>
      <c r="J35" s="634">
        <v>984.4</v>
      </c>
      <c r="K35" s="647">
        <v>1</v>
      </c>
      <c r="L35" s="634">
        <v>2</v>
      </c>
      <c r="M35" s="635">
        <v>984.4</v>
      </c>
    </row>
    <row r="36" spans="1:13" ht="14.4" customHeight="1" x14ac:dyDescent="0.3">
      <c r="A36" s="630" t="s">
        <v>571</v>
      </c>
      <c r="B36" s="631" t="s">
        <v>1512</v>
      </c>
      <c r="C36" s="631" t="s">
        <v>924</v>
      </c>
      <c r="D36" s="631" t="s">
        <v>925</v>
      </c>
      <c r="E36" s="631" t="s">
        <v>1513</v>
      </c>
      <c r="F36" s="634"/>
      <c r="G36" s="634"/>
      <c r="H36" s="647">
        <v>0</v>
      </c>
      <c r="I36" s="634">
        <v>4</v>
      </c>
      <c r="J36" s="634">
        <v>13799.999999999998</v>
      </c>
      <c r="K36" s="647">
        <v>1</v>
      </c>
      <c r="L36" s="634">
        <v>4</v>
      </c>
      <c r="M36" s="635">
        <v>13799.999999999998</v>
      </c>
    </row>
    <row r="37" spans="1:13" ht="14.4" customHeight="1" x14ac:dyDescent="0.3">
      <c r="A37" s="630" t="s">
        <v>571</v>
      </c>
      <c r="B37" s="631" t="s">
        <v>1553</v>
      </c>
      <c r="C37" s="631" t="s">
        <v>1352</v>
      </c>
      <c r="D37" s="631" t="s">
        <v>1313</v>
      </c>
      <c r="E37" s="631" t="s">
        <v>1353</v>
      </c>
      <c r="F37" s="634"/>
      <c r="G37" s="634"/>
      <c r="H37" s="647">
        <v>0</v>
      </c>
      <c r="I37" s="634">
        <v>4</v>
      </c>
      <c r="J37" s="634">
        <v>541.61971974578819</v>
      </c>
      <c r="K37" s="647">
        <v>1</v>
      </c>
      <c r="L37" s="634">
        <v>4</v>
      </c>
      <c r="M37" s="635">
        <v>541.61971974578819</v>
      </c>
    </row>
    <row r="38" spans="1:13" ht="14.4" customHeight="1" x14ac:dyDescent="0.3">
      <c r="A38" s="630" t="s">
        <v>571</v>
      </c>
      <c r="B38" s="631" t="s">
        <v>1553</v>
      </c>
      <c r="C38" s="631" t="s">
        <v>1312</v>
      </c>
      <c r="D38" s="631" t="s">
        <v>1313</v>
      </c>
      <c r="E38" s="631" t="s">
        <v>1554</v>
      </c>
      <c r="F38" s="634"/>
      <c r="G38" s="634"/>
      <c r="H38" s="647">
        <v>0</v>
      </c>
      <c r="I38" s="634">
        <v>1</v>
      </c>
      <c r="J38" s="634">
        <v>47.330136060679799</v>
      </c>
      <c r="K38" s="647">
        <v>1</v>
      </c>
      <c r="L38" s="634">
        <v>1</v>
      </c>
      <c r="M38" s="635">
        <v>47.330136060679799</v>
      </c>
    </row>
    <row r="39" spans="1:13" ht="14.4" customHeight="1" x14ac:dyDescent="0.3">
      <c r="A39" s="630" t="s">
        <v>571</v>
      </c>
      <c r="B39" s="631" t="s">
        <v>1555</v>
      </c>
      <c r="C39" s="631" t="s">
        <v>1328</v>
      </c>
      <c r="D39" s="631" t="s">
        <v>1329</v>
      </c>
      <c r="E39" s="631" t="s">
        <v>1330</v>
      </c>
      <c r="F39" s="634"/>
      <c r="G39" s="634"/>
      <c r="H39" s="647">
        <v>0</v>
      </c>
      <c r="I39" s="634">
        <v>3</v>
      </c>
      <c r="J39" s="634">
        <v>239.49</v>
      </c>
      <c r="K39" s="647">
        <v>1</v>
      </c>
      <c r="L39" s="634">
        <v>3</v>
      </c>
      <c r="M39" s="635">
        <v>239.49</v>
      </c>
    </row>
    <row r="40" spans="1:13" ht="14.4" customHeight="1" x14ac:dyDescent="0.3">
      <c r="A40" s="630" t="s">
        <v>571</v>
      </c>
      <c r="B40" s="631" t="s">
        <v>1556</v>
      </c>
      <c r="C40" s="631" t="s">
        <v>1355</v>
      </c>
      <c r="D40" s="631" t="s">
        <v>1356</v>
      </c>
      <c r="E40" s="631" t="s">
        <v>1357</v>
      </c>
      <c r="F40" s="634"/>
      <c r="G40" s="634"/>
      <c r="H40" s="647">
        <v>0</v>
      </c>
      <c r="I40" s="634">
        <v>1</v>
      </c>
      <c r="J40" s="634">
        <v>36.249999999999979</v>
      </c>
      <c r="K40" s="647">
        <v>1</v>
      </c>
      <c r="L40" s="634">
        <v>1</v>
      </c>
      <c r="M40" s="635">
        <v>36.249999999999979</v>
      </c>
    </row>
    <row r="41" spans="1:13" ht="14.4" customHeight="1" x14ac:dyDescent="0.3">
      <c r="A41" s="630" t="s">
        <v>571</v>
      </c>
      <c r="B41" s="631" t="s">
        <v>1516</v>
      </c>
      <c r="C41" s="631" t="s">
        <v>940</v>
      </c>
      <c r="D41" s="631" t="s">
        <v>941</v>
      </c>
      <c r="E41" s="631" t="s">
        <v>942</v>
      </c>
      <c r="F41" s="634"/>
      <c r="G41" s="634"/>
      <c r="H41" s="647">
        <v>0</v>
      </c>
      <c r="I41" s="634">
        <v>1</v>
      </c>
      <c r="J41" s="634">
        <v>83.269999999999953</v>
      </c>
      <c r="K41" s="647">
        <v>1</v>
      </c>
      <c r="L41" s="634">
        <v>1</v>
      </c>
      <c r="M41" s="635">
        <v>83.269999999999953</v>
      </c>
    </row>
    <row r="42" spans="1:13" ht="14.4" customHeight="1" x14ac:dyDescent="0.3">
      <c r="A42" s="630" t="s">
        <v>571</v>
      </c>
      <c r="B42" s="631" t="s">
        <v>1557</v>
      </c>
      <c r="C42" s="631" t="s">
        <v>1432</v>
      </c>
      <c r="D42" s="631" t="s">
        <v>1433</v>
      </c>
      <c r="E42" s="631" t="s">
        <v>1434</v>
      </c>
      <c r="F42" s="634"/>
      <c r="G42" s="634"/>
      <c r="H42" s="647">
        <v>0</v>
      </c>
      <c r="I42" s="634">
        <v>1.5</v>
      </c>
      <c r="J42" s="634">
        <v>18852.030000000006</v>
      </c>
      <c r="K42" s="647">
        <v>1</v>
      </c>
      <c r="L42" s="634">
        <v>1.5</v>
      </c>
      <c r="M42" s="635">
        <v>18852.030000000006</v>
      </c>
    </row>
    <row r="43" spans="1:13" ht="14.4" customHeight="1" x14ac:dyDescent="0.3">
      <c r="A43" s="630" t="s">
        <v>571</v>
      </c>
      <c r="B43" s="631" t="s">
        <v>1523</v>
      </c>
      <c r="C43" s="631" t="s">
        <v>1027</v>
      </c>
      <c r="D43" s="631" t="s">
        <v>989</v>
      </c>
      <c r="E43" s="631" t="s">
        <v>1028</v>
      </c>
      <c r="F43" s="634"/>
      <c r="G43" s="634"/>
      <c r="H43" s="647">
        <v>0</v>
      </c>
      <c r="I43" s="634">
        <v>427</v>
      </c>
      <c r="J43" s="634">
        <v>19575.00729174407</v>
      </c>
      <c r="K43" s="647">
        <v>1</v>
      </c>
      <c r="L43" s="634">
        <v>427</v>
      </c>
      <c r="M43" s="635">
        <v>19575.00729174407</v>
      </c>
    </row>
    <row r="44" spans="1:13" ht="14.4" customHeight="1" x14ac:dyDescent="0.3">
      <c r="A44" s="630" t="s">
        <v>571</v>
      </c>
      <c r="B44" s="631" t="s">
        <v>1524</v>
      </c>
      <c r="C44" s="631" t="s">
        <v>1019</v>
      </c>
      <c r="D44" s="631" t="s">
        <v>1525</v>
      </c>
      <c r="E44" s="631" t="s">
        <v>1526</v>
      </c>
      <c r="F44" s="634"/>
      <c r="G44" s="634"/>
      <c r="H44" s="647">
        <v>0</v>
      </c>
      <c r="I44" s="634">
        <v>1</v>
      </c>
      <c r="J44" s="634">
        <v>169.95205735037158</v>
      </c>
      <c r="K44" s="647">
        <v>1</v>
      </c>
      <c r="L44" s="634">
        <v>1</v>
      </c>
      <c r="M44" s="635">
        <v>169.95205735037158</v>
      </c>
    </row>
    <row r="45" spans="1:13" ht="14.4" customHeight="1" x14ac:dyDescent="0.3">
      <c r="A45" s="630" t="s">
        <v>571</v>
      </c>
      <c r="B45" s="631" t="s">
        <v>1524</v>
      </c>
      <c r="C45" s="631" t="s">
        <v>1037</v>
      </c>
      <c r="D45" s="631" t="s">
        <v>1527</v>
      </c>
      <c r="E45" s="631" t="s">
        <v>1528</v>
      </c>
      <c r="F45" s="634"/>
      <c r="G45" s="634"/>
      <c r="H45" s="647">
        <v>0</v>
      </c>
      <c r="I45" s="634">
        <v>15.2</v>
      </c>
      <c r="J45" s="634">
        <v>1398.4017065565235</v>
      </c>
      <c r="K45" s="647">
        <v>1</v>
      </c>
      <c r="L45" s="634">
        <v>15.2</v>
      </c>
      <c r="M45" s="635">
        <v>1398.4017065565235</v>
      </c>
    </row>
    <row r="46" spans="1:13" ht="14.4" customHeight="1" x14ac:dyDescent="0.3">
      <c r="A46" s="630" t="s">
        <v>571</v>
      </c>
      <c r="B46" s="631" t="s">
        <v>1524</v>
      </c>
      <c r="C46" s="631" t="s">
        <v>1041</v>
      </c>
      <c r="D46" s="631" t="s">
        <v>1529</v>
      </c>
      <c r="E46" s="631" t="s">
        <v>1530</v>
      </c>
      <c r="F46" s="634"/>
      <c r="G46" s="634"/>
      <c r="H46" s="647">
        <v>0</v>
      </c>
      <c r="I46" s="634">
        <v>1</v>
      </c>
      <c r="J46" s="634">
        <v>120.43000000000002</v>
      </c>
      <c r="K46" s="647">
        <v>1</v>
      </c>
      <c r="L46" s="634">
        <v>1</v>
      </c>
      <c r="M46" s="635">
        <v>120.43000000000002</v>
      </c>
    </row>
    <row r="47" spans="1:13" ht="14.4" customHeight="1" x14ac:dyDescent="0.3">
      <c r="A47" s="630" t="s">
        <v>571</v>
      </c>
      <c r="B47" s="631" t="s">
        <v>1531</v>
      </c>
      <c r="C47" s="631" t="s">
        <v>1034</v>
      </c>
      <c r="D47" s="631" t="s">
        <v>1035</v>
      </c>
      <c r="E47" s="631" t="s">
        <v>1532</v>
      </c>
      <c r="F47" s="634"/>
      <c r="G47" s="634"/>
      <c r="H47" s="647">
        <v>0</v>
      </c>
      <c r="I47" s="634">
        <v>2.3999999999999995</v>
      </c>
      <c r="J47" s="634">
        <v>496.80029704763717</v>
      </c>
      <c r="K47" s="647">
        <v>1</v>
      </c>
      <c r="L47" s="634">
        <v>2.3999999999999995</v>
      </c>
      <c r="M47" s="635">
        <v>496.80029704763717</v>
      </c>
    </row>
    <row r="48" spans="1:13" ht="14.4" customHeight="1" x14ac:dyDescent="0.3">
      <c r="A48" s="630" t="s">
        <v>571</v>
      </c>
      <c r="B48" s="631" t="s">
        <v>1558</v>
      </c>
      <c r="C48" s="631" t="s">
        <v>1417</v>
      </c>
      <c r="D48" s="631" t="s">
        <v>1418</v>
      </c>
      <c r="E48" s="631" t="s">
        <v>1537</v>
      </c>
      <c r="F48" s="634"/>
      <c r="G48" s="634"/>
      <c r="H48" s="647">
        <v>0</v>
      </c>
      <c r="I48" s="634">
        <v>2</v>
      </c>
      <c r="J48" s="634">
        <v>276.71995772245805</v>
      </c>
      <c r="K48" s="647">
        <v>1</v>
      </c>
      <c r="L48" s="634">
        <v>2</v>
      </c>
      <c r="M48" s="635">
        <v>276.71995772245805</v>
      </c>
    </row>
    <row r="49" spans="1:13" ht="14.4" customHeight="1" x14ac:dyDescent="0.3">
      <c r="A49" s="630" t="s">
        <v>571</v>
      </c>
      <c r="B49" s="631" t="s">
        <v>1558</v>
      </c>
      <c r="C49" s="631" t="s">
        <v>1424</v>
      </c>
      <c r="D49" s="631" t="s">
        <v>1559</v>
      </c>
      <c r="E49" s="631" t="s">
        <v>1028</v>
      </c>
      <c r="F49" s="634"/>
      <c r="G49" s="634"/>
      <c r="H49" s="647">
        <v>0</v>
      </c>
      <c r="I49" s="634">
        <v>12</v>
      </c>
      <c r="J49" s="634">
        <v>902.64</v>
      </c>
      <c r="K49" s="647">
        <v>1</v>
      </c>
      <c r="L49" s="634">
        <v>12</v>
      </c>
      <c r="M49" s="635">
        <v>902.64</v>
      </c>
    </row>
    <row r="50" spans="1:13" ht="14.4" customHeight="1" x14ac:dyDescent="0.3">
      <c r="A50" s="630" t="s">
        <v>571</v>
      </c>
      <c r="B50" s="631" t="s">
        <v>1560</v>
      </c>
      <c r="C50" s="631" t="s">
        <v>1435</v>
      </c>
      <c r="D50" s="631" t="s">
        <v>1436</v>
      </c>
      <c r="E50" s="631" t="s">
        <v>1437</v>
      </c>
      <c r="F50" s="634"/>
      <c r="G50" s="634"/>
      <c r="H50" s="647">
        <v>0</v>
      </c>
      <c r="I50" s="634">
        <v>8</v>
      </c>
      <c r="J50" s="634">
        <v>11960</v>
      </c>
      <c r="K50" s="647">
        <v>1</v>
      </c>
      <c r="L50" s="634">
        <v>8</v>
      </c>
      <c r="M50" s="635">
        <v>11960</v>
      </c>
    </row>
    <row r="51" spans="1:13" ht="14.4" customHeight="1" x14ac:dyDescent="0.3">
      <c r="A51" s="630" t="s">
        <v>571</v>
      </c>
      <c r="B51" s="631" t="s">
        <v>1561</v>
      </c>
      <c r="C51" s="631" t="s">
        <v>1420</v>
      </c>
      <c r="D51" s="631" t="s">
        <v>1421</v>
      </c>
      <c r="E51" s="631" t="s">
        <v>1562</v>
      </c>
      <c r="F51" s="634"/>
      <c r="G51" s="634"/>
      <c r="H51" s="647">
        <v>0</v>
      </c>
      <c r="I51" s="634">
        <v>20</v>
      </c>
      <c r="J51" s="634">
        <v>5221</v>
      </c>
      <c r="K51" s="647">
        <v>1</v>
      </c>
      <c r="L51" s="634">
        <v>20</v>
      </c>
      <c r="M51" s="635">
        <v>5221</v>
      </c>
    </row>
    <row r="52" spans="1:13" ht="14.4" customHeight="1" x14ac:dyDescent="0.3">
      <c r="A52" s="630" t="s">
        <v>571</v>
      </c>
      <c r="B52" s="631" t="s">
        <v>1533</v>
      </c>
      <c r="C52" s="631" t="s">
        <v>1023</v>
      </c>
      <c r="D52" s="631" t="s">
        <v>1534</v>
      </c>
      <c r="E52" s="631" t="s">
        <v>1535</v>
      </c>
      <c r="F52" s="634"/>
      <c r="G52" s="634"/>
      <c r="H52" s="647">
        <v>0</v>
      </c>
      <c r="I52" s="634">
        <v>30</v>
      </c>
      <c r="J52" s="634">
        <v>2658.0000000000005</v>
      </c>
      <c r="K52" s="647">
        <v>1</v>
      </c>
      <c r="L52" s="634">
        <v>30</v>
      </c>
      <c r="M52" s="635">
        <v>2658.0000000000005</v>
      </c>
    </row>
    <row r="53" spans="1:13" ht="14.4" customHeight="1" x14ac:dyDescent="0.3">
      <c r="A53" s="630" t="s">
        <v>571</v>
      </c>
      <c r="B53" s="631" t="s">
        <v>1563</v>
      </c>
      <c r="C53" s="631" t="s">
        <v>1428</v>
      </c>
      <c r="D53" s="631" t="s">
        <v>1429</v>
      </c>
      <c r="E53" s="631" t="s">
        <v>1564</v>
      </c>
      <c r="F53" s="634"/>
      <c r="G53" s="634"/>
      <c r="H53" s="647">
        <v>0</v>
      </c>
      <c r="I53" s="634">
        <v>30</v>
      </c>
      <c r="J53" s="634">
        <v>1632.8999999999999</v>
      </c>
      <c r="K53" s="647">
        <v>1</v>
      </c>
      <c r="L53" s="634">
        <v>30</v>
      </c>
      <c r="M53" s="635">
        <v>1632.8999999999999</v>
      </c>
    </row>
    <row r="54" spans="1:13" ht="14.4" customHeight="1" x14ac:dyDescent="0.3">
      <c r="A54" s="630" t="s">
        <v>571</v>
      </c>
      <c r="B54" s="631" t="s">
        <v>1565</v>
      </c>
      <c r="C54" s="631" t="s">
        <v>1447</v>
      </c>
      <c r="D54" s="631" t="s">
        <v>1566</v>
      </c>
      <c r="E54" s="631" t="s">
        <v>1567</v>
      </c>
      <c r="F54" s="634"/>
      <c r="G54" s="634"/>
      <c r="H54" s="647">
        <v>0</v>
      </c>
      <c r="I54" s="634">
        <v>30</v>
      </c>
      <c r="J54" s="634">
        <v>947.69999999999993</v>
      </c>
      <c r="K54" s="647">
        <v>1</v>
      </c>
      <c r="L54" s="634">
        <v>30</v>
      </c>
      <c r="M54" s="635">
        <v>947.69999999999993</v>
      </c>
    </row>
    <row r="55" spans="1:13" ht="14.4" customHeight="1" x14ac:dyDescent="0.3">
      <c r="A55" s="630" t="s">
        <v>571</v>
      </c>
      <c r="B55" s="631" t="s">
        <v>1565</v>
      </c>
      <c r="C55" s="631" t="s">
        <v>1450</v>
      </c>
      <c r="D55" s="631" t="s">
        <v>1451</v>
      </c>
      <c r="E55" s="631" t="s">
        <v>1568</v>
      </c>
      <c r="F55" s="634"/>
      <c r="G55" s="634"/>
      <c r="H55" s="647">
        <v>0</v>
      </c>
      <c r="I55" s="634">
        <v>1</v>
      </c>
      <c r="J55" s="634">
        <v>1831.3400000000004</v>
      </c>
      <c r="K55" s="647">
        <v>1</v>
      </c>
      <c r="L55" s="634">
        <v>1</v>
      </c>
      <c r="M55" s="635">
        <v>1831.3400000000004</v>
      </c>
    </row>
    <row r="56" spans="1:13" ht="14.4" customHeight="1" x14ac:dyDescent="0.3">
      <c r="A56" s="630" t="s">
        <v>571</v>
      </c>
      <c r="B56" s="631" t="s">
        <v>1541</v>
      </c>
      <c r="C56" s="631" t="s">
        <v>916</v>
      </c>
      <c r="D56" s="631" t="s">
        <v>917</v>
      </c>
      <c r="E56" s="631" t="s">
        <v>1543</v>
      </c>
      <c r="F56" s="634"/>
      <c r="G56" s="634"/>
      <c r="H56" s="647">
        <v>0</v>
      </c>
      <c r="I56" s="634">
        <v>2</v>
      </c>
      <c r="J56" s="634">
        <v>268.24000000000007</v>
      </c>
      <c r="K56" s="647">
        <v>1</v>
      </c>
      <c r="L56" s="634">
        <v>2</v>
      </c>
      <c r="M56" s="635">
        <v>268.24000000000007</v>
      </c>
    </row>
    <row r="57" spans="1:13" ht="14.4" customHeight="1" x14ac:dyDescent="0.3">
      <c r="A57" s="630" t="s">
        <v>571</v>
      </c>
      <c r="B57" s="631" t="s">
        <v>1569</v>
      </c>
      <c r="C57" s="631" t="s">
        <v>1374</v>
      </c>
      <c r="D57" s="631" t="s">
        <v>1570</v>
      </c>
      <c r="E57" s="631" t="s">
        <v>1376</v>
      </c>
      <c r="F57" s="634"/>
      <c r="G57" s="634"/>
      <c r="H57" s="647">
        <v>0</v>
      </c>
      <c r="I57" s="634">
        <v>6</v>
      </c>
      <c r="J57" s="634">
        <v>503.28000000000009</v>
      </c>
      <c r="K57" s="647">
        <v>1</v>
      </c>
      <c r="L57" s="634">
        <v>6</v>
      </c>
      <c r="M57" s="635">
        <v>503.28000000000009</v>
      </c>
    </row>
    <row r="58" spans="1:13" ht="14.4" customHeight="1" x14ac:dyDescent="0.3">
      <c r="A58" s="630" t="s">
        <v>571</v>
      </c>
      <c r="B58" s="631" t="s">
        <v>1571</v>
      </c>
      <c r="C58" s="631" t="s">
        <v>1340</v>
      </c>
      <c r="D58" s="631" t="s">
        <v>1572</v>
      </c>
      <c r="E58" s="631" t="s">
        <v>1573</v>
      </c>
      <c r="F58" s="634"/>
      <c r="G58" s="634"/>
      <c r="H58" s="647">
        <v>0</v>
      </c>
      <c r="I58" s="634">
        <v>1</v>
      </c>
      <c r="J58" s="634">
        <v>347.60000000000008</v>
      </c>
      <c r="K58" s="647">
        <v>1</v>
      </c>
      <c r="L58" s="634">
        <v>1</v>
      </c>
      <c r="M58" s="635">
        <v>347.60000000000008</v>
      </c>
    </row>
    <row r="59" spans="1:13" ht="14.4" customHeight="1" x14ac:dyDescent="0.3">
      <c r="A59" s="630" t="s">
        <v>571</v>
      </c>
      <c r="B59" s="631" t="s">
        <v>1571</v>
      </c>
      <c r="C59" s="631" t="s">
        <v>1344</v>
      </c>
      <c r="D59" s="631" t="s">
        <v>1345</v>
      </c>
      <c r="E59" s="631" t="s">
        <v>1346</v>
      </c>
      <c r="F59" s="634"/>
      <c r="G59" s="634"/>
      <c r="H59" s="647">
        <v>0</v>
      </c>
      <c r="I59" s="634">
        <v>1</v>
      </c>
      <c r="J59" s="634">
        <v>706.99843124486051</v>
      </c>
      <c r="K59" s="647">
        <v>1</v>
      </c>
      <c r="L59" s="634">
        <v>1</v>
      </c>
      <c r="M59" s="635">
        <v>706.99843124486051</v>
      </c>
    </row>
    <row r="60" spans="1:13" ht="14.4" customHeight="1" x14ac:dyDescent="0.3">
      <c r="A60" s="630" t="s">
        <v>571</v>
      </c>
      <c r="B60" s="631" t="s">
        <v>1574</v>
      </c>
      <c r="C60" s="631" t="s">
        <v>1348</v>
      </c>
      <c r="D60" s="631" t="s">
        <v>1575</v>
      </c>
      <c r="E60" s="631" t="s">
        <v>1576</v>
      </c>
      <c r="F60" s="634"/>
      <c r="G60" s="634"/>
      <c r="H60" s="647">
        <v>0</v>
      </c>
      <c r="I60" s="634">
        <v>2</v>
      </c>
      <c r="J60" s="634">
        <v>90.390610157357003</v>
      </c>
      <c r="K60" s="647">
        <v>1</v>
      </c>
      <c r="L60" s="634">
        <v>2</v>
      </c>
      <c r="M60" s="635">
        <v>90.390610157357003</v>
      </c>
    </row>
    <row r="61" spans="1:13" ht="14.4" customHeight="1" x14ac:dyDescent="0.3">
      <c r="A61" s="630" t="s">
        <v>571</v>
      </c>
      <c r="B61" s="631" t="s">
        <v>1577</v>
      </c>
      <c r="C61" s="631" t="s">
        <v>1363</v>
      </c>
      <c r="D61" s="631" t="s">
        <v>1578</v>
      </c>
      <c r="E61" s="631" t="s">
        <v>1579</v>
      </c>
      <c r="F61" s="634"/>
      <c r="G61" s="634"/>
      <c r="H61" s="647">
        <v>0</v>
      </c>
      <c r="I61" s="634">
        <v>1</v>
      </c>
      <c r="J61" s="634">
        <v>139.66999999999999</v>
      </c>
      <c r="K61" s="647">
        <v>1</v>
      </c>
      <c r="L61" s="634">
        <v>1</v>
      </c>
      <c r="M61" s="635">
        <v>139.66999999999999</v>
      </c>
    </row>
    <row r="62" spans="1:13" ht="14.4" customHeight="1" x14ac:dyDescent="0.3">
      <c r="A62" s="630" t="s">
        <v>571</v>
      </c>
      <c r="B62" s="631" t="s">
        <v>1580</v>
      </c>
      <c r="C62" s="631" t="s">
        <v>1370</v>
      </c>
      <c r="D62" s="631" t="s">
        <v>1371</v>
      </c>
      <c r="E62" s="631" t="s">
        <v>1372</v>
      </c>
      <c r="F62" s="634"/>
      <c r="G62" s="634"/>
      <c r="H62" s="647">
        <v>0</v>
      </c>
      <c r="I62" s="634">
        <v>1</v>
      </c>
      <c r="J62" s="634">
        <v>318.32</v>
      </c>
      <c r="K62" s="647">
        <v>1</v>
      </c>
      <c r="L62" s="634">
        <v>1</v>
      </c>
      <c r="M62" s="635">
        <v>318.32</v>
      </c>
    </row>
    <row r="63" spans="1:13" ht="14.4" customHeight="1" x14ac:dyDescent="0.3">
      <c r="A63" s="630" t="s">
        <v>571</v>
      </c>
      <c r="B63" s="631" t="s">
        <v>1581</v>
      </c>
      <c r="C63" s="631" t="s">
        <v>1301</v>
      </c>
      <c r="D63" s="631" t="s">
        <v>1302</v>
      </c>
      <c r="E63" s="631" t="s">
        <v>1303</v>
      </c>
      <c r="F63" s="634">
        <v>1</v>
      </c>
      <c r="G63" s="634">
        <v>426.87</v>
      </c>
      <c r="H63" s="647">
        <v>1</v>
      </c>
      <c r="I63" s="634"/>
      <c r="J63" s="634"/>
      <c r="K63" s="647">
        <v>0</v>
      </c>
      <c r="L63" s="634">
        <v>1</v>
      </c>
      <c r="M63" s="635">
        <v>426.87</v>
      </c>
    </row>
    <row r="64" spans="1:13" ht="14.4" customHeight="1" x14ac:dyDescent="0.3">
      <c r="A64" s="630" t="s">
        <v>571</v>
      </c>
      <c r="B64" s="631" t="s">
        <v>1582</v>
      </c>
      <c r="C64" s="631" t="s">
        <v>1332</v>
      </c>
      <c r="D64" s="631" t="s">
        <v>1333</v>
      </c>
      <c r="E64" s="631" t="s">
        <v>1334</v>
      </c>
      <c r="F64" s="634"/>
      <c r="G64" s="634"/>
      <c r="H64" s="647">
        <v>0</v>
      </c>
      <c r="I64" s="634">
        <v>4</v>
      </c>
      <c r="J64" s="634">
        <v>341.91999999999996</v>
      </c>
      <c r="K64" s="647">
        <v>1</v>
      </c>
      <c r="L64" s="634">
        <v>4</v>
      </c>
      <c r="M64" s="635">
        <v>341.91999999999996</v>
      </c>
    </row>
    <row r="65" spans="1:13" ht="14.4" customHeight="1" x14ac:dyDescent="0.3">
      <c r="A65" s="630" t="s">
        <v>571</v>
      </c>
      <c r="B65" s="631" t="s">
        <v>1583</v>
      </c>
      <c r="C65" s="631" t="s">
        <v>1336</v>
      </c>
      <c r="D65" s="631" t="s">
        <v>1337</v>
      </c>
      <c r="E65" s="631" t="s">
        <v>695</v>
      </c>
      <c r="F65" s="634"/>
      <c r="G65" s="634"/>
      <c r="H65" s="647">
        <v>0</v>
      </c>
      <c r="I65" s="634">
        <v>1</v>
      </c>
      <c r="J65" s="634">
        <v>57.980116708548024</v>
      </c>
      <c r="K65" s="647">
        <v>1</v>
      </c>
      <c r="L65" s="634">
        <v>1</v>
      </c>
      <c r="M65" s="635">
        <v>57.980116708548024</v>
      </c>
    </row>
    <row r="66" spans="1:13" ht="14.4" customHeight="1" x14ac:dyDescent="0.3">
      <c r="A66" s="630" t="s">
        <v>571</v>
      </c>
      <c r="B66" s="631" t="s">
        <v>1584</v>
      </c>
      <c r="C66" s="631" t="s">
        <v>1396</v>
      </c>
      <c r="D66" s="631" t="s">
        <v>1585</v>
      </c>
      <c r="E66" s="631" t="s">
        <v>1398</v>
      </c>
      <c r="F66" s="634"/>
      <c r="G66" s="634"/>
      <c r="H66" s="647">
        <v>0</v>
      </c>
      <c r="I66" s="634">
        <v>3</v>
      </c>
      <c r="J66" s="634">
        <v>121.70986720354487</v>
      </c>
      <c r="K66" s="647">
        <v>1</v>
      </c>
      <c r="L66" s="634">
        <v>3</v>
      </c>
      <c r="M66" s="635">
        <v>121.70986720354487</v>
      </c>
    </row>
    <row r="67" spans="1:13" ht="14.4" customHeight="1" thickBot="1" x14ac:dyDescent="0.35">
      <c r="A67" s="636" t="s">
        <v>571</v>
      </c>
      <c r="B67" s="637" t="s">
        <v>1584</v>
      </c>
      <c r="C67" s="637" t="s">
        <v>1400</v>
      </c>
      <c r="D67" s="637" t="s">
        <v>1586</v>
      </c>
      <c r="E67" s="637" t="s">
        <v>1398</v>
      </c>
      <c r="F67" s="640"/>
      <c r="G67" s="640"/>
      <c r="H67" s="648">
        <v>0</v>
      </c>
      <c r="I67" s="640">
        <v>3</v>
      </c>
      <c r="J67" s="640">
        <v>121.70960161063458</v>
      </c>
      <c r="K67" s="648">
        <v>1</v>
      </c>
      <c r="L67" s="640">
        <v>3</v>
      </c>
      <c r="M67" s="641">
        <v>121.70960161063458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4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7" customWidth="1"/>
    <col min="2" max="2" width="34.21875" style="257" customWidth="1"/>
    <col min="3" max="3" width="11.109375" style="257" bestFit="1" customWidth="1"/>
    <col min="4" max="4" width="7.33203125" style="257" bestFit="1" customWidth="1"/>
    <col min="5" max="5" width="11.109375" style="257" bestFit="1" customWidth="1"/>
    <col min="6" max="6" width="5.33203125" style="257" customWidth="1"/>
    <col min="7" max="7" width="7.33203125" style="257" bestFit="1" customWidth="1"/>
    <col min="8" max="8" width="5.33203125" style="257" customWidth="1"/>
    <col min="9" max="9" width="11.109375" style="257" customWidth="1"/>
    <col min="10" max="10" width="5.33203125" style="257" customWidth="1"/>
    <col min="11" max="11" width="7.33203125" style="257" customWidth="1"/>
    <col min="12" max="12" width="5.33203125" style="257" customWidth="1"/>
    <col min="13" max="13" width="0" style="257" hidden="1" customWidth="1"/>
    <col min="14" max="16384" width="8.88671875" style="257"/>
  </cols>
  <sheetData>
    <row r="1" spans="1:14" ht="18.600000000000001" customHeight="1" thickBot="1" x14ac:dyDescent="0.4">
      <c r="A1" s="496" t="s">
        <v>178</v>
      </c>
      <c r="B1" s="496"/>
      <c r="C1" s="496"/>
      <c r="D1" s="496"/>
      <c r="E1" s="496"/>
      <c r="F1" s="496"/>
      <c r="G1" s="496"/>
      <c r="H1" s="496"/>
      <c r="I1" s="459"/>
      <c r="J1" s="459"/>
      <c r="K1" s="459"/>
      <c r="L1" s="459"/>
    </row>
    <row r="2" spans="1:14" ht="14.4" customHeight="1" thickBot="1" x14ac:dyDescent="0.35">
      <c r="A2" s="386" t="s">
        <v>321</v>
      </c>
      <c r="B2" s="339"/>
      <c r="C2" s="339"/>
      <c r="D2" s="339"/>
      <c r="E2" s="339"/>
      <c r="F2" s="339"/>
      <c r="G2" s="339"/>
      <c r="H2" s="339"/>
    </row>
    <row r="3" spans="1:14" ht="14.4" customHeight="1" thickBot="1" x14ac:dyDescent="0.35">
      <c r="A3" s="272"/>
      <c r="B3" s="272"/>
      <c r="C3" s="507" t="s">
        <v>15</v>
      </c>
      <c r="D3" s="506"/>
      <c r="E3" s="506" t="s">
        <v>16</v>
      </c>
      <c r="F3" s="506"/>
      <c r="G3" s="506"/>
      <c r="H3" s="506"/>
      <c r="I3" s="506" t="s">
        <v>191</v>
      </c>
      <c r="J3" s="506"/>
      <c r="K3" s="506"/>
      <c r="L3" s="508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14">
        <v>31</v>
      </c>
      <c r="B5" s="615" t="s">
        <v>557</v>
      </c>
      <c r="C5" s="618">
        <v>837748.62999999966</v>
      </c>
      <c r="D5" s="618">
        <v>1621</v>
      </c>
      <c r="E5" s="618">
        <v>676805.80999999959</v>
      </c>
      <c r="F5" s="663">
        <v>0.80788650170636489</v>
      </c>
      <c r="G5" s="618">
        <v>1267</v>
      </c>
      <c r="H5" s="663">
        <v>0.78161628624305979</v>
      </c>
      <c r="I5" s="618">
        <v>160942.81999999998</v>
      </c>
      <c r="J5" s="663">
        <v>0.19211349829363497</v>
      </c>
      <c r="K5" s="618">
        <v>354</v>
      </c>
      <c r="L5" s="663">
        <v>0.21838371375694016</v>
      </c>
      <c r="M5" s="618" t="s">
        <v>74</v>
      </c>
      <c r="N5" s="280"/>
    </row>
    <row r="6" spans="1:14" ht="14.4" customHeight="1" x14ac:dyDescent="0.3">
      <c r="A6" s="614">
        <v>31</v>
      </c>
      <c r="B6" s="615" t="s">
        <v>1588</v>
      </c>
      <c r="C6" s="618">
        <v>429510.62999999989</v>
      </c>
      <c r="D6" s="618">
        <v>769</v>
      </c>
      <c r="E6" s="618">
        <v>329719.34999999992</v>
      </c>
      <c r="F6" s="663">
        <v>0.76766283991620887</v>
      </c>
      <c r="G6" s="618">
        <v>486</v>
      </c>
      <c r="H6" s="663">
        <v>0.63198959687906375</v>
      </c>
      <c r="I6" s="618">
        <v>99791.27999999997</v>
      </c>
      <c r="J6" s="663">
        <v>0.23233716008379116</v>
      </c>
      <c r="K6" s="618">
        <v>283</v>
      </c>
      <c r="L6" s="663">
        <v>0.3680104031209363</v>
      </c>
      <c r="M6" s="618" t="s">
        <v>1</v>
      </c>
      <c r="N6" s="280"/>
    </row>
    <row r="7" spans="1:14" ht="14.4" customHeight="1" x14ac:dyDescent="0.3">
      <c r="A7" s="614">
        <v>31</v>
      </c>
      <c r="B7" s="615" t="s">
        <v>1589</v>
      </c>
      <c r="C7" s="618">
        <v>0</v>
      </c>
      <c r="D7" s="618">
        <v>2</v>
      </c>
      <c r="E7" s="618">
        <v>0</v>
      </c>
      <c r="F7" s="663" t="s">
        <v>558</v>
      </c>
      <c r="G7" s="618">
        <v>2</v>
      </c>
      <c r="H7" s="663">
        <v>1</v>
      </c>
      <c r="I7" s="618" t="s">
        <v>558</v>
      </c>
      <c r="J7" s="663" t="s">
        <v>558</v>
      </c>
      <c r="K7" s="618" t="s">
        <v>558</v>
      </c>
      <c r="L7" s="663">
        <v>0</v>
      </c>
      <c r="M7" s="618" t="s">
        <v>1</v>
      </c>
      <c r="N7" s="280"/>
    </row>
    <row r="8" spans="1:14" ht="14.4" customHeight="1" x14ac:dyDescent="0.3">
      <c r="A8" s="614">
        <v>31</v>
      </c>
      <c r="B8" s="615" t="s">
        <v>1590</v>
      </c>
      <c r="C8" s="618">
        <v>408237.99999999971</v>
      </c>
      <c r="D8" s="618">
        <v>850</v>
      </c>
      <c r="E8" s="618">
        <v>347086.45999999973</v>
      </c>
      <c r="F8" s="663">
        <v>0.85020615425315615</v>
      </c>
      <c r="G8" s="618">
        <v>779</v>
      </c>
      <c r="H8" s="663">
        <v>0.91647058823529415</v>
      </c>
      <c r="I8" s="618">
        <v>61151.54</v>
      </c>
      <c r="J8" s="663">
        <v>0.14979384574684387</v>
      </c>
      <c r="K8" s="618">
        <v>71</v>
      </c>
      <c r="L8" s="663">
        <v>8.352941176470588E-2</v>
      </c>
      <c r="M8" s="618" t="s">
        <v>1</v>
      </c>
      <c r="N8" s="280"/>
    </row>
    <row r="9" spans="1:14" ht="14.4" customHeight="1" x14ac:dyDescent="0.3">
      <c r="A9" s="614" t="s">
        <v>556</v>
      </c>
      <c r="B9" s="615" t="s">
        <v>3</v>
      </c>
      <c r="C9" s="618">
        <v>837748.62999999966</v>
      </c>
      <c r="D9" s="618">
        <v>1621</v>
      </c>
      <c r="E9" s="618">
        <v>676805.80999999959</v>
      </c>
      <c r="F9" s="663">
        <v>0.80788650170636489</v>
      </c>
      <c r="G9" s="618">
        <v>1267</v>
      </c>
      <c r="H9" s="663">
        <v>0.78161628624305979</v>
      </c>
      <c r="I9" s="618">
        <v>160942.81999999998</v>
      </c>
      <c r="J9" s="663">
        <v>0.19211349829363497</v>
      </c>
      <c r="K9" s="618">
        <v>354</v>
      </c>
      <c r="L9" s="663">
        <v>0.21838371375694016</v>
      </c>
      <c r="M9" s="618" t="s">
        <v>562</v>
      </c>
      <c r="N9" s="280"/>
    </row>
    <row r="11" spans="1:14" ht="14.4" customHeight="1" x14ac:dyDescent="0.3">
      <c r="A11" s="614">
        <v>31</v>
      </c>
      <c r="B11" s="615" t="s">
        <v>557</v>
      </c>
      <c r="C11" s="618" t="s">
        <v>558</v>
      </c>
      <c r="D11" s="618" t="s">
        <v>558</v>
      </c>
      <c r="E11" s="618" t="s">
        <v>558</v>
      </c>
      <c r="F11" s="663" t="s">
        <v>558</v>
      </c>
      <c r="G11" s="618" t="s">
        <v>558</v>
      </c>
      <c r="H11" s="663" t="s">
        <v>558</v>
      </c>
      <c r="I11" s="618" t="s">
        <v>558</v>
      </c>
      <c r="J11" s="663" t="s">
        <v>558</v>
      </c>
      <c r="K11" s="618" t="s">
        <v>558</v>
      </c>
      <c r="L11" s="663" t="s">
        <v>558</v>
      </c>
      <c r="M11" s="618" t="s">
        <v>74</v>
      </c>
      <c r="N11" s="280"/>
    </row>
    <row r="12" spans="1:14" ht="14.4" customHeight="1" x14ac:dyDescent="0.3">
      <c r="A12" s="614">
        <v>89301311</v>
      </c>
      <c r="B12" s="615" t="s">
        <v>1588</v>
      </c>
      <c r="C12" s="618">
        <v>247946.47999999998</v>
      </c>
      <c r="D12" s="618">
        <v>439</v>
      </c>
      <c r="E12" s="618">
        <v>175314.18999999997</v>
      </c>
      <c r="F12" s="663">
        <v>0.70706464556383286</v>
      </c>
      <c r="G12" s="618">
        <v>247</v>
      </c>
      <c r="H12" s="663">
        <v>0.56264236902050113</v>
      </c>
      <c r="I12" s="618">
        <v>72632.289999999994</v>
      </c>
      <c r="J12" s="663">
        <v>0.29293535443616703</v>
      </c>
      <c r="K12" s="618">
        <v>192</v>
      </c>
      <c r="L12" s="663">
        <v>0.43735763097949887</v>
      </c>
      <c r="M12" s="618" t="s">
        <v>1</v>
      </c>
      <c r="N12" s="280"/>
    </row>
    <row r="13" spans="1:14" ht="14.4" customHeight="1" x14ac:dyDescent="0.3">
      <c r="A13" s="614">
        <v>89301311</v>
      </c>
      <c r="B13" s="615" t="s">
        <v>1590</v>
      </c>
      <c r="C13" s="618">
        <v>211781.71000000002</v>
      </c>
      <c r="D13" s="618">
        <v>548</v>
      </c>
      <c r="E13" s="618">
        <v>186714.6</v>
      </c>
      <c r="F13" s="663">
        <v>0.88163704032798673</v>
      </c>
      <c r="G13" s="618">
        <v>520</v>
      </c>
      <c r="H13" s="663">
        <v>0.94890510948905105</v>
      </c>
      <c r="I13" s="618">
        <v>25067.11</v>
      </c>
      <c r="J13" s="663">
        <v>0.11836295967201321</v>
      </c>
      <c r="K13" s="618">
        <v>28</v>
      </c>
      <c r="L13" s="663">
        <v>5.1094890510948905E-2</v>
      </c>
      <c r="M13" s="618" t="s">
        <v>1</v>
      </c>
      <c r="N13" s="280"/>
    </row>
    <row r="14" spans="1:14" ht="14.4" customHeight="1" x14ac:dyDescent="0.3">
      <c r="A14" s="614" t="s">
        <v>1591</v>
      </c>
      <c r="B14" s="615" t="s">
        <v>1592</v>
      </c>
      <c r="C14" s="618">
        <v>459728.19</v>
      </c>
      <c r="D14" s="618">
        <v>987</v>
      </c>
      <c r="E14" s="618">
        <v>362028.79</v>
      </c>
      <c r="F14" s="663">
        <v>0.78748442639551852</v>
      </c>
      <c r="G14" s="618">
        <v>767</v>
      </c>
      <c r="H14" s="663">
        <v>0.7771023302938197</v>
      </c>
      <c r="I14" s="618">
        <v>97699.4</v>
      </c>
      <c r="J14" s="663">
        <v>0.21251557360448137</v>
      </c>
      <c r="K14" s="618">
        <v>220</v>
      </c>
      <c r="L14" s="663">
        <v>0.22289766970618036</v>
      </c>
      <c r="M14" s="618" t="s">
        <v>566</v>
      </c>
      <c r="N14" s="280"/>
    </row>
    <row r="15" spans="1:14" ht="14.4" customHeight="1" x14ac:dyDescent="0.3">
      <c r="A15" s="614" t="s">
        <v>558</v>
      </c>
      <c r="B15" s="615" t="s">
        <v>558</v>
      </c>
      <c r="C15" s="618" t="s">
        <v>558</v>
      </c>
      <c r="D15" s="618" t="s">
        <v>558</v>
      </c>
      <c r="E15" s="618" t="s">
        <v>558</v>
      </c>
      <c r="F15" s="663" t="s">
        <v>558</v>
      </c>
      <c r="G15" s="618" t="s">
        <v>558</v>
      </c>
      <c r="H15" s="663" t="s">
        <v>558</v>
      </c>
      <c r="I15" s="618" t="s">
        <v>558</v>
      </c>
      <c r="J15" s="663" t="s">
        <v>558</v>
      </c>
      <c r="K15" s="618" t="s">
        <v>558</v>
      </c>
      <c r="L15" s="663" t="s">
        <v>558</v>
      </c>
      <c r="M15" s="618" t="s">
        <v>567</v>
      </c>
      <c r="N15" s="280"/>
    </row>
    <row r="16" spans="1:14" ht="14.4" customHeight="1" x14ac:dyDescent="0.3">
      <c r="A16" s="614">
        <v>89301312</v>
      </c>
      <c r="B16" s="615" t="s">
        <v>1588</v>
      </c>
      <c r="C16" s="618">
        <v>181564.14999999991</v>
      </c>
      <c r="D16" s="618">
        <v>330</v>
      </c>
      <c r="E16" s="618">
        <v>154405.15999999992</v>
      </c>
      <c r="F16" s="663">
        <v>0.85041656075827743</v>
      </c>
      <c r="G16" s="618">
        <v>239</v>
      </c>
      <c r="H16" s="663">
        <v>0.72424242424242424</v>
      </c>
      <c r="I16" s="618">
        <v>27158.990000000005</v>
      </c>
      <c r="J16" s="663">
        <v>0.14958343924172265</v>
      </c>
      <c r="K16" s="618">
        <v>91</v>
      </c>
      <c r="L16" s="663">
        <v>0.27575757575757576</v>
      </c>
      <c r="M16" s="618" t="s">
        <v>1</v>
      </c>
      <c r="N16" s="280"/>
    </row>
    <row r="17" spans="1:14" ht="14.4" customHeight="1" x14ac:dyDescent="0.3">
      <c r="A17" s="614">
        <v>89301312</v>
      </c>
      <c r="B17" s="615" t="s">
        <v>1589</v>
      </c>
      <c r="C17" s="618">
        <v>0</v>
      </c>
      <c r="D17" s="618">
        <v>2</v>
      </c>
      <c r="E17" s="618">
        <v>0</v>
      </c>
      <c r="F17" s="663" t="s">
        <v>558</v>
      </c>
      <c r="G17" s="618">
        <v>2</v>
      </c>
      <c r="H17" s="663">
        <v>1</v>
      </c>
      <c r="I17" s="618" t="s">
        <v>558</v>
      </c>
      <c r="J17" s="663" t="s">
        <v>558</v>
      </c>
      <c r="K17" s="618" t="s">
        <v>558</v>
      </c>
      <c r="L17" s="663">
        <v>0</v>
      </c>
      <c r="M17" s="618" t="s">
        <v>1</v>
      </c>
      <c r="N17" s="280"/>
    </row>
    <row r="18" spans="1:14" ht="14.4" customHeight="1" x14ac:dyDescent="0.3">
      <c r="A18" s="614">
        <v>89301312</v>
      </c>
      <c r="B18" s="615" t="s">
        <v>1590</v>
      </c>
      <c r="C18" s="618">
        <v>193691.36000000004</v>
      </c>
      <c r="D18" s="618">
        <v>296</v>
      </c>
      <c r="E18" s="618">
        <v>158016.93000000005</v>
      </c>
      <c r="F18" s="663">
        <v>0.81581816555988873</v>
      </c>
      <c r="G18" s="618">
        <v>254</v>
      </c>
      <c r="H18" s="663">
        <v>0.85810810810810811</v>
      </c>
      <c r="I18" s="618">
        <v>35674.43</v>
      </c>
      <c r="J18" s="663">
        <v>0.18418183444011127</v>
      </c>
      <c r="K18" s="618">
        <v>42</v>
      </c>
      <c r="L18" s="663">
        <v>0.14189189189189189</v>
      </c>
      <c r="M18" s="618" t="s">
        <v>1</v>
      </c>
      <c r="N18" s="280"/>
    </row>
    <row r="19" spans="1:14" ht="14.4" customHeight="1" x14ac:dyDescent="0.3">
      <c r="A19" s="614" t="s">
        <v>1593</v>
      </c>
      <c r="B19" s="615" t="s">
        <v>1594</v>
      </c>
      <c r="C19" s="618">
        <v>375255.50999999995</v>
      </c>
      <c r="D19" s="618">
        <v>628</v>
      </c>
      <c r="E19" s="618">
        <v>312422.08999999997</v>
      </c>
      <c r="F19" s="663">
        <v>0.83255830140908527</v>
      </c>
      <c r="G19" s="618">
        <v>495</v>
      </c>
      <c r="H19" s="663">
        <v>0.78821656050955413</v>
      </c>
      <c r="I19" s="618">
        <v>62833.420000000006</v>
      </c>
      <c r="J19" s="663">
        <v>0.16744169859091479</v>
      </c>
      <c r="K19" s="618">
        <v>133</v>
      </c>
      <c r="L19" s="663">
        <v>0.21178343949044587</v>
      </c>
      <c r="M19" s="618" t="s">
        <v>566</v>
      </c>
      <c r="N19" s="280"/>
    </row>
    <row r="20" spans="1:14" ht="14.4" customHeight="1" x14ac:dyDescent="0.3">
      <c r="A20" s="614" t="s">
        <v>558</v>
      </c>
      <c r="B20" s="615" t="s">
        <v>558</v>
      </c>
      <c r="C20" s="618" t="s">
        <v>558</v>
      </c>
      <c r="D20" s="618" t="s">
        <v>558</v>
      </c>
      <c r="E20" s="618" t="s">
        <v>558</v>
      </c>
      <c r="F20" s="663" t="s">
        <v>558</v>
      </c>
      <c r="G20" s="618" t="s">
        <v>558</v>
      </c>
      <c r="H20" s="663" t="s">
        <v>558</v>
      </c>
      <c r="I20" s="618" t="s">
        <v>558</v>
      </c>
      <c r="J20" s="663" t="s">
        <v>558</v>
      </c>
      <c r="K20" s="618" t="s">
        <v>558</v>
      </c>
      <c r="L20" s="663" t="s">
        <v>558</v>
      </c>
      <c r="M20" s="618" t="s">
        <v>567</v>
      </c>
      <c r="N20" s="280"/>
    </row>
    <row r="21" spans="1:14" ht="14.4" customHeight="1" x14ac:dyDescent="0.3">
      <c r="A21" s="614">
        <v>89301313</v>
      </c>
      <c r="B21" s="615" t="s">
        <v>1590</v>
      </c>
      <c r="C21" s="618">
        <v>2764.9300000000003</v>
      </c>
      <c r="D21" s="618">
        <v>6</v>
      </c>
      <c r="E21" s="618">
        <v>2354.9300000000003</v>
      </c>
      <c r="F21" s="663">
        <v>0.85171414827861824</v>
      </c>
      <c r="G21" s="618">
        <v>5</v>
      </c>
      <c r="H21" s="663">
        <v>0.83333333333333337</v>
      </c>
      <c r="I21" s="618">
        <v>410</v>
      </c>
      <c r="J21" s="663">
        <v>0.14828585172138173</v>
      </c>
      <c r="K21" s="618">
        <v>1</v>
      </c>
      <c r="L21" s="663">
        <v>0.16666666666666666</v>
      </c>
      <c r="M21" s="618" t="s">
        <v>1</v>
      </c>
      <c r="N21" s="280"/>
    </row>
    <row r="22" spans="1:14" ht="14.4" customHeight="1" x14ac:dyDescent="0.3">
      <c r="A22" s="614" t="s">
        <v>1595</v>
      </c>
      <c r="B22" s="615" t="s">
        <v>1596</v>
      </c>
      <c r="C22" s="618">
        <v>2764.9300000000003</v>
      </c>
      <c r="D22" s="618">
        <v>6</v>
      </c>
      <c r="E22" s="618">
        <v>2354.9300000000003</v>
      </c>
      <c r="F22" s="663">
        <v>0.85171414827861824</v>
      </c>
      <c r="G22" s="618">
        <v>5</v>
      </c>
      <c r="H22" s="663">
        <v>0.83333333333333337</v>
      </c>
      <c r="I22" s="618">
        <v>410</v>
      </c>
      <c r="J22" s="663">
        <v>0.14828585172138173</v>
      </c>
      <c r="K22" s="618">
        <v>1</v>
      </c>
      <c r="L22" s="663">
        <v>0.16666666666666666</v>
      </c>
      <c r="M22" s="618" t="s">
        <v>566</v>
      </c>
      <c r="N22" s="280"/>
    </row>
    <row r="23" spans="1:14" ht="14.4" customHeight="1" x14ac:dyDescent="0.3">
      <c r="A23" s="614" t="s">
        <v>558</v>
      </c>
      <c r="B23" s="615" t="s">
        <v>558</v>
      </c>
      <c r="C23" s="618" t="s">
        <v>558</v>
      </c>
      <c r="D23" s="618" t="s">
        <v>558</v>
      </c>
      <c r="E23" s="618" t="s">
        <v>558</v>
      </c>
      <c r="F23" s="663" t="s">
        <v>558</v>
      </c>
      <c r="G23" s="618" t="s">
        <v>558</v>
      </c>
      <c r="H23" s="663" t="s">
        <v>558</v>
      </c>
      <c r="I23" s="618" t="s">
        <v>558</v>
      </c>
      <c r="J23" s="663" t="s">
        <v>558</v>
      </c>
      <c r="K23" s="618" t="s">
        <v>558</v>
      </c>
      <c r="L23" s="663" t="s">
        <v>558</v>
      </c>
      <c r="M23" s="618" t="s">
        <v>567</v>
      </c>
      <c r="N23" s="280"/>
    </row>
    <row r="24" spans="1:14" ht="14.4" customHeight="1" x14ac:dyDescent="0.3">
      <c r="A24" s="614" t="s">
        <v>556</v>
      </c>
      <c r="B24" s="615" t="s">
        <v>561</v>
      </c>
      <c r="C24" s="618">
        <v>837748.63</v>
      </c>
      <c r="D24" s="618">
        <v>1621</v>
      </c>
      <c r="E24" s="618">
        <v>676805.80999999994</v>
      </c>
      <c r="F24" s="663">
        <v>0.807886501706365</v>
      </c>
      <c r="G24" s="618">
        <v>1267</v>
      </c>
      <c r="H24" s="663">
        <v>0.78161628624305979</v>
      </c>
      <c r="I24" s="618">
        <v>160942.82</v>
      </c>
      <c r="J24" s="663">
        <v>0.19211349829363494</v>
      </c>
      <c r="K24" s="618">
        <v>354</v>
      </c>
      <c r="L24" s="663">
        <v>0.21838371375694016</v>
      </c>
      <c r="M24" s="618" t="s">
        <v>562</v>
      </c>
      <c r="N24" s="280"/>
    </row>
  </sheetData>
  <autoFilter ref="A4:M4"/>
  <mergeCells count="4">
    <mergeCell ref="E3:H3"/>
    <mergeCell ref="C3:D3"/>
    <mergeCell ref="I3:L3"/>
    <mergeCell ref="A1:L1"/>
  </mergeCells>
  <conditionalFormatting sqref="F4 F10 F25:F1048576">
    <cfRule type="cellIs" dxfId="51" priority="15" stopIfTrue="1" operator="lessThan">
      <formula>0.6</formula>
    </cfRule>
  </conditionalFormatting>
  <conditionalFormatting sqref="B5:B9">
    <cfRule type="expression" dxfId="50" priority="10">
      <formula>AND(LEFT(M5,6)&lt;&gt;"mezera",M5&lt;&gt;"")</formula>
    </cfRule>
  </conditionalFormatting>
  <conditionalFormatting sqref="A5:A9">
    <cfRule type="expression" dxfId="49" priority="8">
      <formula>AND(M5&lt;&gt;"",M5&lt;&gt;"mezeraKL")</formula>
    </cfRule>
  </conditionalFormatting>
  <conditionalFormatting sqref="F5:F9">
    <cfRule type="cellIs" dxfId="48" priority="7" operator="lessThan">
      <formula>0.6</formula>
    </cfRule>
  </conditionalFormatting>
  <conditionalFormatting sqref="B5:L9">
    <cfRule type="expression" dxfId="47" priority="9">
      <formula>OR($M5="KL",$M5="SumaKL")</formula>
    </cfRule>
    <cfRule type="expression" dxfId="46" priority="11">
      <formula>$M5="SumaNS"</formula>
    </cfRule>
  </conditionalFormatting>
  <conditionalFormatting sqref="A5:L9">
    <cfRule type="expression" dxfId="45" priority="12">
      <formula>$M5&lt;&gt;""</formula>
    </cfRule>
  </conditionalFormatting>
  <conditionalFormatting sqref="B11:B24">
    <cfRule type="expression" dxfId="44" priority="4">
      <formula>AND(LEFT(M11,6)&lt;&gt;"mezera",M11&lt;&gt;"")</formula>
    </cfRule>
  </conditionalFormatting>
  <conditionalFormatting sqref="A11:A24">
    <cfRule type="expression" dxfId="43" priority="2">
      <formula>AND(M11&lt;&gt;"",M11&lt;&gt;"mezeraKL")</formula>
    </cfRule>
  </conditionalFormatting>
  <conditionalFormatting sqref="F11:F24">
    <cfRule type="cellIs" dxfId="42" priority="1" operator="lessThan">
      <formula>0.6</formula>
    </cfRule>
  </conditionalFormatting>
  <conditionalFormatting sqref="B11:L24">
    <cfRule type="expression" dxfId="41" priority="3">
      <formula>OR($M11="KL",$M11="SumaKL")</formula>
    </cfRule>
    <cfRule type="expression" dxfId="40" priority="5">
      <formula>$M11="SumaNS"</formula>
    </cfRule>
  </conditionalFormatting>
  <conditionalFormatting sqref="A11:L24">
    <cfRule type="expression" dxfId="39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7" customWidth="1"/>
    <col min="2" max="2" width="11.109375" style="340" bestFit="1" customWidth="1"/>
    <col min="3" max="3" width="11.109375" style="257" hidden="1" customWidth="1"/>
    <col min="4" max="4" width="7.33203125" style="340" bestFit="1" customWidth="1"/>
    <col min="5" max="5" width="7.33203125" style="257" hidden="1" customWidth="1"/>
    <col min="6" max="6" width="11.109375" style="340" bestFit="1" customWidth="1"/>
    <col min="7" max="7" width="5.33203125" style="343" customWidth="1"/>
    <col min="8" max="8" width="7.33203125" style="340" bestFit="1" customWidth="1"/>
    <col min="9" max="9" width="5.33203125" style="343" customWidth="1"/>
    <col min="10" max="10" width="11.109375" style="340" customWidth="1"/>
    <col min="11" max="11" width="5.33203125" style="343" customWidth="1"/>
    <col min="12" max="12" width="7.33203125" style="340" customWidth="1"/>
    <col min="13" max="13" width="5.33203125" style="343" customWidth="1"/>
    <col min="14" max="14" width="0" style="257" hidden="1" customWidth="1"/>
    <col min="15" max="16384" width="8.88671875" style="257"/>
  </cols>
  <sheetData>
    <row r="1" spans="1:13" ht="18.600000000000001" customHeight="1" thickBot="1" x14ac:dyDescent="0.4">
      <c r="A1" s="496" t="s">
        <v>192</v>
      </c>
      <c r="B1" s="496"/>
      <c r="C1" s="496"/>
      <c r="D1" s="496"/>
      <c r="E1" s="496"/>
      <c r="F1" s="496"/>
      <c r="G1" s="496"/>
      <c r="H1" s="496"/>
      <c r="I1" s="496"/>
      <c r="J1" s="459"/>
      <c r="K1" s="459"/>
      <c r="L1" s="459"/>
      <c r="M1" s="459"/>
    </row>
    <row r="2" spans="1:13" ht="14.4" customHeight="1" thickBot="1" x14ac:dyDescent="0.35">
      <c r="A2" s="386" t="s">
        <v>321</v>
      </c>
      <c r="B2" s="347"/>
      <c r="C2" s="339"/>
      <c r="D2" s="347"/>
      <c r="E2" s="339"/>
      <c r="F2" s="347"/>
      <c r="G2" s="348"/>
      <c r="H2" s="347"/>
      <c r="I2" s="348"/>
    </row>
    <row r="3" spans="1:13" ht="14.4" customHeight="1" thickBot="1" x14ac:dyDescent="0.35">
      <c r="A3" s="272"/>
      <c r="B3" s="507" t="s">
        <v>15</v>
      </c>
      <c r="C3" s="509"/>
      <c r="D3" s="506"/>
      <c r="E3" s="271"/>
      <c r="F3" s="506" t="s">
        <v>16</v>
      </c>
      <c r="G3" s="506"/>
      <c r="H3" s="506"/>
      <c r="I3" s="506"/>
      <c r="J3" s="506" t="s">
        <v>191</v>
      </c>
      <c r="K3" s="506"/>
      <c r="L3" s="506"/>
      <c r="M3" s="508"/>
    </row>
    <row r="4" spans="1:13" ht="14.4" customHeight="1" thickBot="1" x14ac:dyDescent="0.35">
      <c r="A4" s="664" t="s">
        <v>168</v>
      </c>
      <c r="B4" s="668" t="s">
        <v>19</v>
      </c>
      <c r="C4" s="669"/>
      <c r="D4" s="668" t="s">
        <v>20</v>
      </c>
      <c r="E4" s="669"/>
      <c r="F4" s="668" t="s">
        <v>19</v>
      </c>
      <c r="G4" s="676" t="s">
        <v>2</v>
      </c>
      <c r="H4" s="668" t="s">
        <v>20</v>
      </c>
      <c r="I4" s="676" t="s">
        <v>2</v>
      </c>
      <c r="J4" s="668" t="s">
        <v>19</v>
      </c>
      <c r="K4" s="676" t="s">
        <v>2</v>
      </c>
      <c r="L4" s="668" t="s">
        <v>20</v>
      </c>
      <c r="M4" s="677" t="s">
        <v>2</v>
      </c>
    </row>
    <row r="5" spans="1:13" ht="14.4" customHeight="1" x14ac:dyDescent="0.3">
      <c r="A5" s="665" t="s">
        <v>1597</v>
      </c>
      <c r="B5" s="670">
        <v>2145.31</v>
      </c>
      <c r="C5" s="625">
        <v>1</v>
      </c>
      <c r="D5" s="673">
        <v>4</v>
      </c>
      <c r="E5" s="681" t="s">
        <v>1597</v>
      </c>
      <c r="F5" s="670">
        <v>1950.58</v>
      </c>
      <c r="G5" s="646">
        <v>0.90922990150607608</v>
      </c>
      <c r="H5" s="628">
        <v>3</v>
      </c>
      <c r="I5" s="678">
        <v>0.75</v>
      </c>
      <c r="J5" s="684">
        <v>194.73</v>
      </c>
      <c r="K5" s="646">
        <v>9.0770098493923951E-2</v>
      </c>
      <c r="L5" s="628">
        <v>1</v>
      </c>
      <c r="M5" s="678">
        <v>0.25</v>
      </c>
    </row>
    <row r="6" spans="1:13" ht="14.4" customHeight="1" x14ac:dyDescent="0.3">
      <c r="A6" s="666" t="s">
        <v>1598</v>
      </c>
      <c r="B6" s="671">
        <v>9001.32</v>
      </c>
      <c r="C6" s="631">
        <v>1</v>
      </c>
      <c r="D6" s="674">
        <v>16</v>
      </c>
      <c r="E6" s="682" t="s">
        <v>1598</v>
      </c>
      <c r="F6" s="671">
        <v>6683.32</v>
      </c>
      <c r="G6" s="647">
        <v>0.74248221371976553</v>
      </c>
      <c r="H6" s="634">
        <v>11</v>
      </c>
      <c r="I6" s="679">
        <v>0.6875</v>
      </c>
      <c r="J6" s="685">
        <v>2318</v>
      </c>
      <c r="K6" s="647">
        <v>0.25751778628023447</v>
      </c>
      <c r="L6" s="634">
        <v>5</v>
      </c>
      <c r="M6" s="679">
        <v>0.3125</v>
      </c>
    </row>
    <row r="7" spans="1:13" ht="14.4" customHeight="1" x14ac:dyDescent="0.3">
      <c r="A7" s="666" t="s">
        <v>1599</v>
      </c>
      <c r="B7" s="671">
        <v>2291.91</v>
      </c>
      <c r="C7" s="631">
        <v>1</v>
      </c>
      <c r="D7" s="674">
        <v>1</v>
      </c>
      <c r="E7" s="682" t="s">
        <v>1599</v>
      </c>
      <c r="F7" s="671">
        <v>2291.91</v>
      </c>
      <c r="G7" s="647">
        <v>1</v>
      </c>
      <c r="H7" s="634">
        <v>1</v>
      </c>
      <c r="I7" s="679">
        <v>1</v>
      </c>
      <c r="J7" s="685"/>
      <c r="K7" s="647">
        <v>0</v>
      </c>
      <c r="L7" s="634"/>
      <c r="M7" s="679">
        <v>0</v>
      </c>
    </row>
    <row r="8" spans="1:13" ht="14.4" customHeight="1" x14ac:dyDescent="0.3">
      <c r="A8" s="666" t="s">
        <v>1600</v>
      </c>
      <c r="B8" s="671">
        <v>157583.91999999998</v>
      </c>
      <c r="C8" s="631">
        <v>1</v>
      </c>
      <c r="D8" s="674">
        <v>376</v>
      </c>
      <c r="E8" s="682" t="s">
        <v>1600</v>
      </c>
      <c r="F8" s="671">
        <v>125641.45999999998</v>
      </c>
      <c r="G8" s="647">
        <v>0.79729873454093536</v>
      </c>
      <c r="H8" s="634">
        <v>298</v>
      </c>
      <c r="I8" s="679">
        <v>0.79255319148936165</v>
      </c>
      <c r="J8" s="685">
        <v>31942.46</v>
      </c>
      <c r="K8" s="647">
        <v>0.20270126545906461</v>
      </c>
      <c r="L8" s="634">
        <v>78</v>
      </c>
      <c r="M8" s="679">
        <v>0.20744680851063829</v>
      </c>
    </row>
    <row r="9" spans="1:13" ht="14.4" customHeight="1" x14ac:dyDescent="0.3">
      <c r="A9" s="666" t="s">
        <v>1601</v>
      </c>
      <c r="B9" s="671">
        <v>134615.21000000002</v>
      </c>
      <c r="C9" s="631">
        <v>1</v>
      </c>
      <c r="D9" s="674">
        <v>274</v>
      </c>
      <c r="E9" s="682" t="s">
        <v>1601</v>
      </c>
      <c r="F9" s="671">
        <v>108253.01000000002</v>
      </c>
      <c r="G9" s="647">
        <v>0.80416626026137761</v>
      </c>
      <c r="H9" s="634">
        <v>225</v>
      </c>
      <c r="I9" s="679">
        <v>0.82116788321167888</v>
      </c>
      <c r="J9" s="685">
        <v>26362.199999999997</v>
      </c>
      <c r="K9" s="647">
        <v>0.19583373973862236</v>
      </c>
      <c r="L9" s="634">
        <v>49</v>
      </c>
      <c r="M9" s="679">
        <v>0.17883211678832117</v>
      </c>
    </row>
    <row r="10" spans="1:13" ht="14.4" customHeight="1" x14ac:dyDescent="0.3">
      <c r="A10" s="666" t="s">
        <v>1602</v>
      </c>
      <c r="B10" s="671">
        <v>42039.53</v>
      </c>
      <c r="C10" s="631">
        <v>1</v>
      </c>
      <c r="D10" s="674">
        <v>84</v>
      </c>
      <c r="E10" s="682" t="s">
        <v>1602</v>
      </c>
      <c r="F10" s="671">
        <v>23488.519999999997</v>
      </c>
      <c r="G10" s="647">
        <v>0.55872460990881667</v>
      </c>
      <c r="H10" s="634">
        <v>44</v>
      </c>
      <c r="I10" s="679">
        <v>0.52380952380952384</v>
      </c>
      <c r="J10" s="685">
        <v>18551.010000000002</v>
      </c>
      <c r="K10" s="647">
        <v>0.44127539009118327</v>
      </c>
      <c r="L10" s="634">
        <v>40</v>
      </c>
      <c r="M10" s="679">
        <v>0.47619047619047616</v>
      </c>
    </row>
    <row r="11" spans="1:13" ht="14.4" customHeight="1" x14ac:dyDescent="0.3">
      <c r="A11" s="666" t="s">
        <v>1603</v>
      </c>
      <c r="B11" s="671">
        <v>36934.949999999997</v>
      </c>
      <c r="C11" s="631">
        <v>1</v>
      </c>
      <c r="D11" s="674">
        <v>60</v>
      </c>
      <c r="E11" s="682" t="s">
        <v>1603</v>
      </c>
      <c r="F11" s="671">
        <v>32531.069999999996</v>
      </c>
      <c r="G11" s="647">
        <v>0.88076659099308374</v>
      </c>
      <c r="H11" s="634">
        <v>42</v>
      </c>
      <c r="I11" s="679">
        <v>0.7</v>
      </c>
      <c r="J11" s="685">
        <v>4403.88</v>
      </c>
      <c r="K11" s="647">
        <v>0.11923340900691623</v>
      </c>
      <c r="L11" s="634">
        <v>18</v>
      </c>
      <c r="M11" s="679">
        <v>0.3</v>
      </c>
    </row>
    <row r="12" spans="1:13" ht="14.4" customHeight="1" x14ac:dyDescent="0.3">
      <c r="A12" s="666" t="s">
        <v>1604</v>
      </c>
      <c r="B12" s="671">
        <v>23450.569999999996</v>
      </c>
      <c r="C12" s="631">
        <v>1</v>
      </c>
      <c r="D12" s="674">
        <v>41</v>
      </c>
      <c r="E12" s="682" t="s">
        <v>1604</v>
      </c>
      <c r="F12" s="671">
        <v>16386.569999999996</v>
      </c>
      <c r="G12" s="647">
        <v>0.69877064821878521</v>
      </c>
      <c r="H12" s="634">
        <v>28</v>
      </c>
      <c r="I12" s="679">
        <v>0.68292682926829273</v>
      </c>
      <c r="J12" s="685">
        <v>7064</v>
      </c>
      <c r="K12" s="647">
        <v>0.30122935178121474</v>
      </c>
      <c r="L12" s="634">
        <v>13</v>
      </c>
      <c r="M12" s="679">
        <v>0.31707317073170732</v>
      </c>
    </row>
    <row r="13" spans="1:13" ht="14.4" customHeight="1" x14ac:dyDescent="0.3">
      <c r="A13" s="666" t="s">
        <v>1605</v>
      </c>
      <c r="B13" s="671">
        <v>22809.51</v>
      </c>
      <c r="C13" s="631">
        <v>1</v>
      </c>
      <c r="D13" s="674">
        <v>39</v>
      </c>
      <c r="E13" s="682" t="s">
        <v>1605</v>
      </c>
      <c r="F13" s="671">
        <v>18307.739999999998</v>
      </c>
      <c r="G13" s="647">
        <v>0.80263626881945294</v>
      </c>
      <c r="H13" s="634">
        <v>30</v>
      </c>
      <c r="I13" s="679">
        <v>0.76923076923076927</v>
      </c>
      <c r="J13" s="685">
        <v>4501.7700000000004</v>
      </c>
      <c r="K13" s="647">
        <v>0.19736373118054709</v>
      </c>
      <c r="L13" s="634">
        <v>9</v>
      </c>
      <c r="M13" s="679">
        <v>0.23076923076923078</v>
      </c>
    </row>
    <row r="14" spans="1:13" ht="14.4" customHeight="1" x14ac:dyDescent="0.3">
      <c r="A14" s="666" t="s">
        <v>1606</v>
      </c>
      <c r="B14" s="671">
        <v>25876.43</v>
      </c>
      <c r="C14" s="631">
        <v>1</v>
      </c>
      <c r="D14" s="674">
        <v>52</v>
      </c>
      <c r="E14" s="682" t="s">
        <v>1606</v>
      </c>
      <c r="F14" s="671">
        <v>23953.100000000002</v>
      </c>
      <c r="G14" s="647">
        <v>0.92567251355770486</v>
      </c>
      <c r="H14" s="634">
        <v>42</v>
      </c>
      <c r="I14" s="679">
        <v>0.80769230769230771</v>
      </c>
      <c r="J14" s="685">
        <v>1923.33</v>
      </c>
      <c r="K14" s="647">
        <v>7.4327486442295171E-2</v>
      </c>
      <c r="L14" s="634">
        <v>10</v>
      </c>
      <c r="M14" s="679">
        <v>0.19230769230769232</v>
      </c>
    </row>
    <row r="15" spans="1:13" ht="14.4" customHeight="1" x14ac:dyDescent="0.3">
      <c r="A15" s="666" t="s">
        <v>1607</v>
      </c>
      <c r="B15" s="671">
        <v>19039.45</v>
      </c>
      <c r="C15" s="631">
        <v>1</v>
      </c>
      <c r="D15" s="674">
        <v>45</v>
      </c>
      <c r="E15" s="682" t="s">
        <v>1607</v>
      </c>
      <c r="F15" s="671">
        <v>15063.82</v>
      </c>
      <c r="G15" s="647">
        <v>0.7911898715561636</v>
      </c>
      <c r="H15" s="634">
        <v>38</v>
      </c>
      <c r="I15" s="679">
        <v>0.84444444444444444</v>
      </c>
      <c r="J15" s="685">
        <v>3975.6299999999997</v>
      </c>
      <c r="K15" s="647">
        <v>0.20881012844383631</v>
      </c>
      <c r="L15" s="634">
        <v>7</v>
      </c>
      <c r="M15" s="679">
        <v>0.15555555555555556</v>
      </c>
    </row>
    <row r="16" spans="1:13" ht="14.4" customHeight="1" x14ac:dyDescent="0.3">
      <c r="A16" s="666" t="s">
        <v>1608</v>
      </c>
      <c r="B16" s="671">
        <v>8715.58</v>
      </c>
      <c r="C16" s="631">
        <v>1</v>
      </c>
      <c r="D16" s="674">
        <v>22</v>
      </c>
      <c r="E16" s="682" t="s">
        <v>1608</v>
      </c>
      <c r="F16" s="671">
        <v>6139.66</v>
      </c>
      <c r="G16" s="647">
        <v>0.70444651991032148</v>
      </c>
      <c r="H16" s="634">
        <v>16</v>
      </c>
      <c r="I16" s="679">
        <v>0.72727272727272729</v>
      </c>
      <c r="J16" s="685">
        <v>2575.92</v>
      </c>
      <c r="K16" s="647">
        <v>0.29555348008967852</v>
      </c>
      <c r="L16" s="634">
        <v>6</v>
      </c>
      <c r="M16" s="679">
        <v>0.27272727272727271</v>
      </c>
    </row>
    <row r="17" spans="1:13" ht="14.4" customHeight="1" x14ac:dyDescent="0.3">
      <c r="A17" s="666" t="s">
        <v>1609</v>
      </c>
      <c r="B17" s="671">
        <v>104311.19</v>
      </c>
      <c r="C17" s="631">
        <v>1</v>
      </c>
      <c r="D17" s="674">
        <v>101</v>
      </c>
      <c r="E17" s="682" t="s">
        <v>1609</v>
      </c>
      <c r="F17" s="671">
        <v>91546.91</v>
      </c>
      <c r="G17" s="647">
        <v>0.8776326873463911</v>
      </c>
      <c r="H17" s="634">
        <v>77</v>
      </c>
      <c r="I17" s="679">
        <v>0.76237623762376239</v>
      </c>
      <c r="J17" s="685">
        <v>12764.28</v>
      </c>
      <c r="K17" s="647">
        <v>0.12236731265360888</v>
      </c>
      <c r="L17" s="634">
        <v>24</v>
      </c>
      <c r="M17" s="679">
        <v>0.23762376237623761</v>
      </c>
    </row>
    <row r="18" spans="1:13" ht="14.4" customHeight="1" x14ac:dyDescent="0.3">
      <c r="A18" s="666" t="s">
        <v>1610</v>
      </c>
      <c r="B18" s="671">
        <v>11772.15</v>
      </c>
      <c r="C18" s="631">
        <v>1</v>
      </c>
      <c r="D18" s="674">
        <v>17</v>
      </c>
      <c r="E18" s="682" t="s">
        <v>1610</v>
      </c>
      <c r="F18" s="671">
        <v>11706.67</v>
      </c>
      <c r="G18" s="647">
        <v>0.99443771953296556</v>
      </c>
      <c r="H18" s="634">
        <v>15</v>
      </c>
      <c r="I18" s="679">
        <v>0.88235294117647056</v>
      </c>
      <c r="J18" s="685">
        <v>65.48</v>
      </c>
      <c r="K18" s="647">
        <v>5.5622804670344842E-3</v>
      </c>
      <c r="L18" s="634">
        <v>2</v>
      </c>
      <c r="M18" s="679">
        <v>0.11764705882352941</v>
      </c>
    </row>
    <row r="19" spans="1:13" ht="14.4" customHeight="1" x14ac:dyDescent="0.3">
      <c r="A19" s="666" t="s">
        <v>1611</v>
      </c>
      <c r="B19" s="671">
        <v>58592.94</v>
      </c>
      <c r="C19" s="631">
        <v>1</v>
      </c>
      <c r="D19" s="674">
        <v>105</v>
      </c>
      <c r="E19" s="682" t="s">
        <v>1611</v>
      </c>
      <c r="F19" s="671">
        <v>53629.520000000004</v>
      </c>
      <c r="G19" s="647">
        <v>0.91528979429944979</v>
      </c>
      <c r="H19" s="634">
        <v>86</v>
      </c>
      <c r="I19" s="679">
        <v>0.81904761904761902</v>
      </c>
      <c r="J19" s="685">
        <v>4963.42</v>
      </c>
      <c r="K19" s="647">
        <v>8.4710205700550267E-2</v>
      </c>
      <c r="L19" s="634">
        <v>19</v>
      </c>
      <c r="M19" s="679">
        <v>0.18095238095238095</v>
      </c>
    </row>
    <row r="20" spans="1:13" ht="14.4" customHeight="1" x14ac:dyDescent="0.3">
      <c r="A20" s="666" t="s">
        <v>1612</v>
      </c>
      <c r="B20" s="671">
        <v>14485.66</v>
      </c>
      <c r="C20" s="631">
        <v>1</v>
      </c>
      <c r="D20" s="674">
        <v>56</v>
      </c>
      <c r="E20" s="682" t="s">
        <v>1612</v>
      </c>
      <c r="F20" s="671">
        <v>13136.77</v>
      </c>
      <c r="G20" s="647">
        <v>0.90688101198012383</v>
      </c>
      <c r="H20" s="634">
        <v>42</v>
      </c>
      <c r="I20" s="679">
        <v>0.75</v>
      </c>
      <c r="J20" s="685">
        <v>1348.8899999999999</v>
      </c>
      <c r="K20" s="647">
        <v>9.3118988019876198E-2</v>
      </c>
      <c r="L20" s="634">
        <v>14</v>
      </c>
      <c r="M20" s="679">
        <v>0.25</v>
      </c>
    </row>
    <row r="21" spans="1:13" ht="14.4" customHeight="1" thickBot="1" x14ac:dyDescent="0.35">
      <c r="A21" s="667" t="s">
        <v>1613</v>
      </c>
      <c r="B21" s="672">
        <v>164083</v>
      </c>
      <c r="C21" s="637">
        <v>1</v>
      </c>
      <c r="D21" s="675">
        <v>328</v>
      </c>
      <c r="E21" s="683" t="s">
        <v>1613</v>
      </c>
      <c r="F21" s="672">
        <v>126095.18</v>
      </c>
      <c r="G21" s="648">
        <v>0.76848412084128148</v>
      </c>
      <c r="H21" s="640">
        <v>269</v>
      </c>
      <c r="I21" s="680">
        <v>0.82012195121951215</v>
      </c>
      <c r="J21" s="686">
        <v>37987.819999999992</v>
      </c>
      <c r="K21" s="648">
        <v>0.23151587915871841</v>
      </c>
      <c r="L21" s="640">
        <v>59</v>
      </c>
      <c r="M21" s="680">
        <v>0.1798780487804878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87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7" hidden="1" customWidth="1" outlineLevel="1"/>
    <col min="2" max="2" width="28.33203125" style="257" hidden="1" customWidth="1" outlineLevel="1"/>
    <col min="3" max="3" width="9" style="257" customWidth="1" collapsed="1"/>
    <col min="4" max="4" width="18.77734375" style="351" customWidth="1"/>
    <col min="5" max="5" width="13.5546875" style="341" customWidth="1"/>
    <col min="6" max="6" width="6" style="257" bestFit="1" customWidth="1"/>
    <col min="7" max="7" width="8.77734375" style="257" customWidth="1"/>
    <col min="8" max="8" width="5" style="257" bestFit="1" customWidth="1"/>
    <col min="9" max="9" width="8.5546875" style="257" hidden="1" customWidth="1" outlineLevel="1"/>
    <col min="10" max="10" width="25.77734375" style="257" customWidth="1" collapsed="1"/>
    <col min="11" max="11" width="8.77734375" style="257" customWidth="1"/>
    <col min="12" max="12" width="7.77734375" style="342" customWidth="1"/>
    <col min="13" max="13" width="11.109375" style="342" customWidth="1"/>
    <col min="14" max="14" width="7.77734375" style="257" customWidth="1"/>
    <col min="15" max="15" width="7.77734375" style="352" customWidth="1"/>
    <col min="16" max="16" width="11.109375" style="342" customWidth="1"/>
    <col min="17" max="17" width="5.44140625" style="343" bestFit="1" customWidth="1"/>
    <col min="18" max="18" width="7.77734375" style="257" customWidth="1"/>
    <col min="19" max="19" width="5.44140625" style="343" bestFit="1" customWidth="1"/>
    <col min="20" max="20" width="7.77734375" style="352" customWidth="1"/>
    <col min="21" max="21" width="5.44140625" style="343" bestFit="1" customWidth="1"/>
    <col min="22" max="16384" width="8.88671875" style="257"/>
  </cols>
  <sheetData>
    <row r="1" spans="1:21" ht="18.600000000000001" customHeight="1" thickBot="1" x14ac:dyDescent="0.4">
      <c r="A1" s="487" t="s">
        <v>2237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</row>
    <row r="2" spans="1:21" ht="14.4" customHeight="1" thickBot="1" x14ac:dyDescent="0.35">
      <c r="A2" s="386" t="s">
        <v>321</v>
      </c>
      <c r="B2" s="349"/>
      <c r="C2" s="339"/>
      <c r="D2" s="339"/>
      <c r="E2" s="350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</row>
    <row r="3" spans="1:21" ht="14.4" customHeight="1" thickBot="1" x14ac:dyDescent="0.35">
      <c r="A3" s="513"/>
      <c r="B3" s="514"/>
      <c r="C3" s="514"/>
      <c r="D3" s="514"/>
      <c r="E3" s="514"/>
      <c r="F3" s="514"/>
      <c r="G3" s="514"/>
      <c r="H3" s="514"/>
      <c r="I3" s="514"/>
      <c r="J3" s="514"/>
      <c r="K3" s="515" t="s">
        <v>160</v>
      </c>
      <c r="L3" s="516"/>
      <c r="M3" s="70">
        <f>SUBTOTAL(9,M7:M1048576)</f>
        <v>837748.63000000082</v>
      </c>
      <c r="N3" s="70">
        <f>SUBTOTAL(9,N7:N1048576)</f>
        <v>2687</v>
      </c>
      <c r="O3" s="70">
        <f>SUBTOTAL(9,O7:O1048576)</f>
        <v>1621</v>
      </c>
      <c r="P3" s="70">
        <f>SUBTOTAL(9,P7:P1048576)</f>
        <v>676805.80999999959</v>
      </c>
      <c r="Q3" s="71">
        <f>IF(M3=0,0,P3/M3)</f>
        <v>0.80788650170636378</v>
      </c>
      <c r="R3" s="70">
        <f>SUBTOTAL(9,R7:R1048576)</f>
        <v>2073</v>
      </c>
      <c r="S3" s="71">
        <f>IF(N3=0,0,R3/N3)</f>
        <v>0.77149237067361365</v>
      </c>
      <c r="T3" s="70">
        <f>SUBTOTAL(9,T7:T1048576)</f>
        <v>1267</v>
      </c>
      <c r="U3" s="72">
        <f>IF(O3=0,0,T3/O3)</f>
        <v>0.78161628624305979</v>
      </c>
    </row>
    <row r="4" spans="1:21" ht="14.4" customHeight="1" x14ac:dyDescent="0.3">
      <c r="A4" s="73"/>
      <c r="B4" s="74"/>
      <c r="C4" s="74"/>
      <c r="D4" s="75"/>
      <c r="E4" s="272"/>
      <c r="F4" s="74"/>
      <c r="G4" s="74"/>
      <c r="H4" s="74"/>
      <c r="I4" s="74"/>
      <c r="J4" s="74"/>
      <c r="K4" s="74"/>
      <c r="L4" s="74"/>
      <c r="M4" s="517" t="s">
        <v>15</v>
      </c>
      <c r="N4" s="518"/>
      <c r="O4" s="518"/>
      <c r="P4" s="519" t="s">
        <v>21</v>
      </c>
      <c r="Q4" s="518"/>
      <c r="R4" s="518"/>
      <c r="S4" s="518"/>
      <c r="T4" s="518"/>
      <c r="U4" s="520"/>
    </row>
    <row r="5" spans="1:21" ht="14.4" customHeight="1" thickBot="1" x14ac:dyDescent="0.35">
      <c r="A5" s="76"/>
      <c r="B5" s="77"/>
      <c r="C5" s="74"/>
      <c r="D5" s="75"/>
      <c r="E5" s="27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10" t="s">
        <v>22</v>
      </c>
      <c r="Q5" s="511"/>
      <c r="R5" s="510" t="s">
        <v>13</v>
      </c>
      <c r="S5" s="511"/>
      <c r="T5" s="510" t="s">
        <v>20</v>
      </c>
      <c r="U5" s="512"/>
    </row>
    <row r="6" spans="1:21" s="341" customFormat="1" ht="14.4" customHeight="1" thickBot="1" x14ac:dyDescent="0.35">
      <c r="A6" s="687" t="s">
        <v>23</v>
      </c>
      <c r="B6" s="688" t="s">
        <v>5</v>
      </c>
      <c r="C6" s="687" t="s">
        <v>24</v>
      </c>
      <c r="D6" s="688" t="s">
        <v>6</v>
      </c>
      <c r="E6" s="688" t="s">
        <v>194</v>
      </c>
      <c r="F6" s="688" t="s">
        <v>25</v>
      </c>
      <c r="G6" s="688" t="s">
        <v>26</v>
      </c>
      <c r="H6" s="688" t="s">
        <v>8</v>
      </c>
      <c r="I6" s="688" t="s">
        <v>10</v>
      </c>
      <c r="J6" s="688" t="s">
        <v>11</v>
      </c>
      <c r="K6" s="688" t="s">
        <v>12</v>
      </c>
      <c r="L6" s="688" t="s">
        <v>27</v>
      </c>
      <c r="M6" s="689" t="s">
        <v>14</v>
      </c>
      <c r="N6" s="690" t="s">
        <v>28</v>
      </c>
      <c r="O6" s="690" t="s">
        <v>28</v>
      </c>
      <c r="P6" s="690" t="s">
        <v>14</v>
      </c>
      <c r="Q6" s="690" t="s">
        <v>2</v>
      </c>
      <c r="R6" s="690" t="s">
        <v>28</v>
      </c>
      <c r="S6" s="690" t="s">
        <v>2</v>
      </c>
      <c r="T6" s="690" t="s">
        <v>28</v>
      </c>
      <c r="U6" s="691" t="s">
        <v>2</v>
      </c>
    </row>
    <row r="7" spans="1:21" ht="14.4" customHeight="1" x14ac:dyDescent="0.3">
      <c r="A7" s="624">
        <v>31</v>
      </c>
      <c r="B7" s="625" t="s">
        <v>557</v>
      </c>
      <c r="C7" s="625">
        <v>89301311</v>
      </c>
      <c r="D7" s="692" t="s">
        <v>2234</v>
      </c>
      <c r="E7" s="693" t="s">
        <v>1597</v>
      </c>
      <c r="F7" s="625" t="s">
        <v>1588</v>
      </c>
      <c r="G7" s="625" t="s">
        <v>1614</v>
      </c>
      <c r="H7" s="625" t="s">
        <v>914</v>
      </c>
      <c r="I7" s="625" t="s">
        <v>1367</v>
      </c>
      <c r="J7" s="625" t="s">
        <v>1317</v>
      </c>
      <c r="K7" s="625" t="s">
        <v>1368</v>
      </c>
      <c r="L7" s="626">
        <v>625.29</v>
      </c>
      <c r="M7" s="626">
        <v>1250.58</v>
      </c>
      <c r="N7" s="625">
        <v>2</v>
      </c>
      <c r="O7" s="694">
        <v>1</v>
      </c>
      <c r="P7" s="626">
        <v>1250.58</v>
      </c>
      <c r="Q7" s="646">
        <v>1</v>
      </c>
      <c r="R7" s="625">
        <v>2</v>
      </c>
      <c r="S7" s="646">
        <v>1</v>
      </c>
      <c r="T7" s="694">
        <v>1</v>
      </c>
      <c r="U7" s="678">
        <v>1</v>
      </c>
    </row>
    <row r="8" spans="1:21" ht="14.4" customHeight="1" x14ac:dyDescent="0.3">
      <c r="A8" s="695">
        <v>31</v>
      </c>
      <c r="B8" s="696" t="s">
        <v>557</v>
      </c>
      <c r="C8" s="696">
        <v>89301311</v>
      </c>
      <c r="D8" s="697" t="s">
        <v>2234</v>
      </c>
      <c r="E8" s="698" t="s">
        <v>1597</v>
      </c>
      <c r="F8" s="696" t="s">
        <v>1588</v>
      </c>
      <c r="G8" s="696" t="s">
        <v>1615</v>
      </c>
      <c r="H8" s="696" t="s">
        <v>558</v>
      </c>
      <c r="I8" s="696" t="s">
        <v>988</v>
      </c>
      <c r="J8" s="696" t="s">
        <v>989</v>
      </c>
      <c r="K8" s="696" t="s">
        <v>1616</v>
      </c>
      <c r="L8" s="699">
        <v>194.73</v>
      </c>
      <c r="M8" s="699">
        <v>194.73</v>
      </c>
      <c r="N8" s="696">
        <v>1</v>
      </c>
      <c r="O8" s="700">
        <v>1</v>
      </c>
      <c r="P8" s="699"/>
      <c r="Q8" s="701">
        <v>0</v>
      </c>
      <c r="R8" s="696"/>
      <c r="S8" s="701">
        <v>0</v>
      </c>
      <c r="T8" s="700"/>
      <c r="U8" s="702">
        <v>0</v>
      </c>
    </row>
    <row r="9" spans="1:21" ht="14.4" customHeight="1" x14ac:dyDescent="0.3">
      <c r="A9" s="695">
        <v>31</v>
      </c>
      <c r="B9" s="696" t="s">
        <v>557</v>
      </c>
      <c r="C9" s="696">
        <v>89301311</v>
      </c>
      <c r="D9" s="697" t="s">
        <v>2234</v>
      </c>
      <c r="E9" s="698" t="s">
        <v>1600</v>
      </c>
      <c r="F9" s="696" t="s">
        <v>1588</v>
      </c>
      <c r="G9" s="696" t="s">
        <v>1617</v>
      </c>
      <c r="H9" s="696" t="s">
        <v>558</v>
      </c>
      <c r="I9" s="696" t="s">
        <v>782</v>
      </c>
      <c r="J9" s="696" t="s">
        <v>1618</v>
      </c>
      <c r="K9" s="696" t="s">
        <v>1619</v>
      </c>
      <c r="L9" s="699">
        <v>0</v>
      </c>
      <c r="M9" s="699">
        <v>0</v>
      </c>
      <c r="N9" s="696">
        <v>3</v>
      </c>
      <c r="O9" s="700">
        <v>1.5</v>
      </c>
      <c r="P9" s="699">
        <v>0</v>
      </c>
      <c r="Q9" s="701"/>
      <c r="R9" s="696">
        <v>2</v>
      </c>
      <c r="S9" s="701">
        <v>0.66666666666666663</v>
      </c>
      <c r="T9" s="700">
        <v>1</v>
      </c>
      <c r="U9" s="702">
        <v>0.66666666666666663</v>
      </c>
    </row>
    <row r="10" spans="1:21" ht="14.4" customHeight="1" x14ac:dyDescent="0.3">
      <c r="A10" s="695">
        <v>31</v>
      </c>
      <c r="B10" s="696" t="s">
        <v>557</v>
      </c>
      <c r="C10" s="696">
        <v>89301311</v>
      </c>
      <c r="D10" s="697" t="s">
        <v>2234</v>
      </c>
      <c r="E10" s="698" t="s">
        <v>1600</v>
      </c>
      <c r="F10" s="696" t="s">
        <v>1588</v>
      </c>
      <c r="G10" s="696" t="s">
        <v>1620</v>
      </c>
      <c r="H10" s="696" t="s">
        <v>914</v>
      </c>
      <c r="I10" s="696" t="s">
        <v>1041</v>
      </c>
      <c r="J10" s="696" t="s">
        <v>1529</v>
      </c>
      <c r="K10" s="696" t="s">
        <v>1530</v>
      </c>
      <c r="L10" s="699">
        <v>333.31</v>
      </c>
      <c r="M10" s="699">
        <v>333.31</v>
      </c>
      <c r="N10" s="696">
        <v>1</v>
      </c>
      <c r="O10" s="700">
        <v>0.5</v>
      </c>
      <c r="P10" s="699">
        <v>333.31</v>
      </c>
      <c r="Q10" s="701">
        <v>1</v>
      </c>
      <c r="R10" s="696">
        <v>1</v>
      </c>
      <c r="S10" s="701">
        <v>1</v>
      </c>
      <c r="T10" s="700">
        <v>0.5</v>
      </c>
      <c r="U10" s="702">
        <v>1</v>
      </c>
    </row>
    <row r="11" spans="1:21" ht="14.4" customHeight="1" x14ac:dyDescent="0.3">
      <c r="A11" s="695">
        <v>31</v>
      </c>
      <c r="B11" s="696" t="s">
        <v>557</v>
      </c>
      <c r="C11" s="696">
        <v>89301311</v>
      </c>
      <c r="D11" s="697" t="s">
        <v>2234</v>
      </c>
      <c r="E11" s="698" t="s">
        <v>1600</v>
      </c>
      <c r="F11" s="696" t="s">
        <v>1588</v>
      </c>
      <c r="G11" s="696" t="s">
        <v>1621</v>
      </c>
      <c r="H11" s="696" t="s">
        <v>558</v>
      </c>
      <c r="I11" s="696" t="s">
        <v>1155</v>
      </c>
      <c r="J11" s="696" t="s">
        <v>1622</v>
      </c>
      <c r="K11" s="696" t="s">
        <v>1623</v>
      </c>
      <c r="L11" s="699">
        <v>0</v>
      </c>
      <c r="M11" s="699">
        <v>0</v>
      </c>
      <c r="N11" s="696">
        <v>1</v>
      </c>
      <c r="O11" s="700">
        <v>0.5</v>
      </c>
      <c r="P11" s="699">
        <v>0</v>
      </c>
      <c r="Q11" s="701"/>
      <c r="R11" s="696">
        <v>1</v>
      </c>
      <c r="S11" s="701">
        <v>1</v>
      </c>
      <c r="T11" s="700">
        <v>0.5</v>
      </c>
      <c r="U11" s="702">
        <v>1</v>
      </c>
    </row>
    <row r="12" spans="1:21" ht="14.4" customHeight="1" x14ac:dyDescent="0.3">
      <c r="A12" s="695">
        <v>31</v>
      </c>
      <c r="B12" s="696" t="s">
        <v>557</v>
      </c>
      <c r="C12" s="696">
        <v>89301311</v>
      </c>
      <c r="D12" s="697" t="s">
        <v>2234</v>
      </c>
      <c r="E12" s="698" t="s">
        <v>1600</v>
      </c>
      <c r="F12" s="696" t="s">
        <v>1588</v>
      </c>
      <c r="G12" s="696" t="s">
        <v>1624</v>
      </c>
      <c r="H12" s="696" t="s">
        <v>558</v>
      </c>
      <c r="I12" s="696" t="s">
        <v>1625</v>
      </c>
      <c r="J12" s="696" t="s">
        <v>1418</v>
      </c>
      <c r="K12" s="696" t="s">
        <v>1626</v>
      </c>
      <c r="L12" s="699">
        <v>0</v>
      </c>
      <c r="M12" s="699">
        <v>0</v>
      </c>
      <c r="N12" s="696">
        <v>2</v>
      </c>
      <c r="O12" s="700">
        <v>1</v>
      </c>
      <c r="P12" s="699">
        <v>0</v>
      </c>
      <c r="Q12" s="701"/>
      <c r="R12" s="696">
        <v>2</v>
      </c>
      <c r="S12" s="701">
        <v>1</v>
      </c>
      <c r="T12" s="700">
        <v>1</v>
      </c>
      <c r="U12" s="702">
        <v>1</v>
      </c>
    </row>
    <row r="13" spans="1:21" ht="14.4" customHeight="1" x14ac:dyDescent="0.3">
      <c r="A13" s="695">
        <v>31</v>
      </c>
      <c r="B13" s="696" t="s">
        <v>557</v>
      </c>
      <c r="C13" s="696">
        <v>89301311</v>
      </c>
      <c r="D13" s="697" t="s">
        <v>2234</v>
      </c>
      <c r="E13" s="698" t="s">
        <v>1600</v>
      </c>
      <c r="F13" s="696" t="s">
        <v>1588</v>
      </c>
      <c r="G13" s="696" t="s">
        <v>1627</v>
      </c>
      <c r="H13" s="696" t="s">
        <v>558</v>
      </c>
      <c r="I13" s="696" t="s">
        <v>1628</v>
      </c>
      <c r="J13" s="696" t="s">
        <v>1629</v>
      </c>
      <c r="K13" s="696" t="s">
        <v>1537</v>
      </c>
      <c r="L13" s="699">
        <v>69.86</v>
      </c>
      <c r="M13" s="699">
        <v>69.86</v>
      </c>
      <c r="N13" s="696">
        <v>1</v>
      </c>
      <c r="O13" s="700">
        <v>0.5</v>
      </c>
      <c r="P13" s="699">
        <v>69.86</v>
      </c>
      <c r="Q13" s="701">
        <v>1</v>
      </c>
      <c r="R13" s="696">
        <v>1</v>
      </c>
      <c r="S13" s="701">
        <v>1</v>
      </c>
      <c r="T13" s="700">
        <v>0.5</v>
      </c>
      <c r="U13" s="702">
        <v>1</v>
      </c>
    </row>
    <row r="14" spans="1:21" ht="14.4" customHeight="1" x14ac:dyDescent="0.3">
      <c r="A14" s="695">
        <v>31</v>
      </c>
      <c r="B14" s="696" t="s">
        <v>557</v>
      </c>
      <c r="C14" s="696">
        <v>89301311</v>
      </c>
      <c r="D14" s="697" t="s">
        <v>2234</v>
      </c>
      <c r="E14" s="698" t="s">
        <v>1600</v>
      </c>
      <c r="F14" s="696" t="s">
        <v>1588</v>
      </c>
      <c r="G14" s="696" t="s">
        <v>1627</v>
      </c>
      <c r="H14" s="696" t="s">
        <v>558</v>
      </c>
      <c r="I14" s="696" t="s">
        <v>1630</v>
      </c>
      <c r="J14" s="696" t="s">
        <v>1629</v>
      </c>
      <c r="K14" s="696" t="s">
        <v>1631</v>
      </c>
      <c r="L14" s="699">
        <v>349.29</v>
      </c>
      <c r="M14" s="699">
        <v>349.29</v>
      </c>
      <c r="N14" s="696">
        <v>1</v>
      </c>
      <c r="O14" s="700">
        <v>0.5</v>
      </c>
      <c r="P14" s="699"/>
      <c r="Q14" s="701">
        <v>0</v>
      </c>
      <c r="R14" s="696"/>
      <c r="S14" s="701">
        <v>0</v>
      </c>
      <c r="T14" s="700"/>
      <c r="U14" s="702">
        <v>0</v>
      </c>
    </row>
    <row r="15" spans="1:21" ht="14.4" customHeight="1" x14ac:dyDescent="0.3">
      <c r="A15" s="695">
        <v>31</v>
      </c>
      <c r="B15" s="696" t="s">
        <v>557</v>
      </c>
      <c r="C15" s="696">
        <v>89301311</v>
      </c>
      <c r="D15" s="697" t="s">
        <v>2234</v>
      </c>
      <c r="E15" s="698" t="s">
        <v>1600</v>
      </c>
      <c r="F15" s="696" t="s">
        <v>1588</v>
      </c>
      <c r="G15" s="696" t="s">
        <v>1632</v>
      </c>
      <c r="H15" s="696" t="s">
        <v>558</v>
      </c>
      <c r="I15" s="696" t="s">
        <v>1633</v>
      </c>
      <c r="J15" s="696" t="s">
        <v>1634</v>
      </c>
      <c r="K15" s="696" t="s">
        <v>1635</v>
      </c>
      <c r="L15" s="699">
        <v>84.78</v>
      </c>
      <c r="M15" s="699">
        <v>339.12</v>
      </c>
      <c r="N15" s="696">
        <v>4</v>
      </c>
      <c r="O15" s="700">
        <v>1.5</v>
      </c>
      <c r="P15" s="699">
        <v>339.12</v>
      </c>
      <c r="Q15" s="701">
        <v>1</v>
      </c>
      <c r="R15" s="696">
        <v>4</v>
      </c>
      <c r="S15" s="701">
        <v>1</v>
      </c>
      <c r="T15" s="700">
        <v>1.5</v>
      </c>
      <c r="U15" s="702">
        <v>1</v>
      </c>
    </row>
    <row r="16" spans="1:21" ht="14.4" customHeight="1" x14ac:dyDescent="0.3">
      <c r="A16" s="695">
        <v>31</v>
      </c>
      <c r="B16" s="696" t="s">
        <v>557</v>
      </c>
      <c r="C16" s="696">
        <v>89301311</v>
      </c>
      <c r="D16" s="697" t="s">
        <v>2234</v>
      </c>
      <c r="E16" s="698" t="s">
        <v>1600</v>
      </c>
      <c r="F16" s="696" t="s">
        <v>1588</v>
      </c>
      <c r="G16" s="696" t="s">
        <v>1636</v>
      </c>
      <c r="H16" s="696" t="s">
        <v>558</v>
      </c>
      <c r="I16" s="696" t="s">
        <v>1637</v>
      </c>
      <c r="J16" s="696" t="s">
        <v>1117</v>
      </c>
      <c r="K16" s="696" t="s">
        <v>1631</v>
      </c>
      <c r="L16" s="699">
        <v>0</v>
      </c>
      <c r="M16" s="699">
        <v>0</v>
      </c>
      <c r="N16" s="696">
        <v>1</v>
      </c>
      <c r="O16" s="700">
        <v>1</v>
      </c>
      <c r="P16" s="699">
        <v>0</v>
      </c>
      <c r="Q16" s="701"/>
      <c r="R16" s="696">
        <v>1</v>
      </c>
      <c r="S16" s="701">
        <v>1</v>
      </c>
      <c r="T16" s="700">
        <v>1</v>
      </c>
      <c r="U16" s="702">
        <v>1</v>
      </c>
    </row>
    <row r="17" spans="1:21" ht="14.4" customHeight="1" x14ac:dyDescent="0.3">
      <c r="A17" s="695">
        <v>31</v>
      </c>
      <c r="B17" s="696" t="s">
        <v>557</v>
      </c>
      <c r="C17" s="696">
        <v>89301311</v>
      </c>
      <c r="D17" s="697" t="s">
        <v>2234</v>
      </c>
      <c r="E17" s="698" t="s">
        <v>1600</v>
      </c>
      <c r="F17" s="696" t="s">
        <v>1588</v>
      </c>
      <c r="G17" s="696" t="s">
        <v>1638</v>
      </c>
      <c r="H17" s="696" t="s">
        <v>558</v>
      </c>
      <c r="I17" s="696" t="s">
        <v>1639</v>
      </c>
      <c r="J17" s="696" t="s">
        <v>1640</v>
      </c>
      <c r="K17" s="696"/>
      <c r="L17" s="699">
        <v>0</v>
      </c>
      <c r="M17" s="699">
        <v>0</v>
      </c>
      <c r="N17" s="696">
        <v>12</v>
      </c>
      <c r="O17" s="700">
        <v>8.5</v>
      </c>
      <c r="P17" s="699">
        <v>0</v>
      </c>
      <c r="Q17" s="701"/>
      <c r="R17" s="696">
        <v>8</v>
      </c>
      <c r="S17" s="701">
        <v>0.66666666666666663</v>
      </c>
      <c r="T17" s="700">
        <v>6</v>
      </c>
      <c r="U17" s="702">
        <v>0.70588235294117652</v>
      </c>
    </row>
    <row r="18" spans="1:21" ht="14.4" customHeight="1" x14ac:dyDescent="0.3">
      <c r="A18" s="695">
        <v>31</v>
      </c>
      <c r="B18" s="696" t="s">
        <v>557</v>
      </c>
      <c r="C18" s="696">
        <v>89301311</v>
      </c>
      <c r="D18" s="697" t="s">
        <v>2234</v>
      </c>
      <c r="E18" s="698" t="s">
        <v>1600</v>
      </c>
      <c r="F18" s="696" t="s">
        <v>1588</v>
      </c>
      <c r="G18" s="696" t="s">
        <v>1641</v>
      </c>
      <c r="H18" s="696" t="s">
        <v>558</v>
      </c>
      <c r="I18" s="696" t="s">
        <v>1642</v>
      </c>
      <c r="J18" s="696" t="s">
        <v>1643</v>
      </c>
      <c r="K18" s="696" t="s">
        <v>1644</v>
      </c>
      <c r="L18" s="699">
        <v>50.27</v>
      </c>
      <c r="M18" s="699">
        <v>50.27</v>
      </c>
      <c r="N18" s="696">
        <v>1</v>
      </c>
      <c r="O18" s="700">
        <v>1</v>
      </c>
      <c r="P18" s="699">
        <v>50.27</v>
      </c>
      <c r="Q18" s="701">
        <v>1</v>
      </c>
      <c r="R18" s="696">
        <v>1</v>
      </c>
      <c r="S18" s="701">
        <v>1</v>
      </c>
      <c r="T18" s="700">
        <v>1</v>
      </c>
      <c r="U18" s="702">
        <v>1</v>
      </c>
    </row>
    <row r="19" spans="1:21" ht="14.4" customHeight="1" x14ac:dyDescent="0.3">
      <c r="A19" s="695">
        <v>31</v>
      </c>
      <c r="B19" s="696" t="s">
        <v>557</v>
      </c>
      <c r="C19" s="696">
        <v>89301311</v>
      </c>
      <c r="D19" s="697" t="s">
        <v>2234</v>
      </c>
      <c r="E19" s="698" t="s">
        <v>1600</v>
      </c>
      <c r="F19" s="696" t="s">
        <v>1588</v>
      </c>
      <c r="G19" s="696" t="s">
        <v>1645</v>
      </c>
      <c r="H19" s="696" t="s">
        <v>914</v>
      </c>
      <c r="I19" s="696" t="s">
        <v>1045</v>
      </c>
      <c r="J19" s="696" t="s">
        <v>1046</v>
      </c>
      <c r="K19" s="696" t="s">
        <v>1047</v>
      </c>
      <c r="L19" s="699">
        <v>154.01</v>
      </c>
      <c r="M19" s="699">
        <v>770.05</v>
      </c>
      <c r="N19" s="696">
        <v>5</v>
      </c>
      <c r="O19" s="700">
        <v>1</v>
      </c>
      <c r="P19" s="699">
        <v>462.03</v>
      </c>
      <c r="Q19" s="701">
        <v>0.6</v>
      </c>
      <c r="R19" s="696">
        <v>3</v>
      </c>
      <c r="S19" s="701">
        <v>0.6</v>
      </c>
      <c r="T19" s="700">
        <v>0.5</v>
      </c>
      <c r="U19" s="702">
        <v>0.5</v>
      </c>
    </row>
    <row r="20" spans="1:21" ht="14.4" customHeight="1" x14ac:dyDescent="0.3">
      <c r="A20" s="695">
        <v>31</v>
      </c>
      <c r="B20" s="696" t="s">
        <v>557</v>
      </c>
      <c r="C20" s="696">
        <v>89301311</v>
      </c>
      <c r="D20" s="697" t="s">
        <v>2234</v>
      </c>
      <c r="E20" s="698" t="s">
        <v>1600</v>
      </c>
      <c r="F20" s="696" t="s">
        <v>1588</v>
      </c>
      <c r="G20" s="696" t="s">
        <v>1614</v>
      </c>
      <c r="H20" s="696" t="s">
        <v>914</v>
      </c>
      <c r="I20" s="696" t="s">
        <v>1367</v>
      </c>
      <c r="J20" s="696" t="s">
        <v>1317</v>
      </c>
      <c r="K20" s="696" t="s">
        <v>1368</v>
      </c>
      <c r="L20" s="699">
        <v>625.29</v>
      </c>
      <c r="M20" s="699">
        <v>51899.07</v>
      </c>
      <c r="N20" s="696">
        <v>83</v>
      </c>
      <c r="O20" s="700">
        <v>24</v>
      </c>
      <c r="P20" s="699">
        <v>36892.11</v>
      </c>
      <c r="Q20" s="701">
        <v>0.71084337349397597</v>
      </c>
      <c r="R20" s="696">
        <v>59</v>
      </c>
      <c r="S20" s="701">
        <v>0.71084337349397586</v>
      </c>
      <c r="T20" s="700">
        <v>17.5</v>
      </c>
      <c r="U20" s="702">
        <v>0.72916666666666663</v>
      </c>
    </row>
    <row r="21" spans="1:21" ht="14.4" customHeight="1" x14ac:dyDescent="0.3">
      <c r="A21" s="695">
        <v>31</v>
      </c>
      <c r="B21" s="696" t="s">
        <v>557</v>
      </c>
      <c r="C21" s="696">
        <v>89301311</v>
      </c>
      <c r="D21" s="697" t="s">
        <v>2234</v>
      </c>
      <c r="E21" s="698" t="s">
        <v>1600</v>
      </c>
      <c r="F21" s="696" t="s">
        <v>1588</v>
      </c>
      <c r="G21" s="696" t="s">
        <v>1614</v>
      </c>
      <c r="H21" s="696" t="s">
        <v>914</v>
      </c>
      <c r="I21" s="696" t="s">
        <v>1646</v>
      </c>
      <c r="J21" s="696" t="s">
        <v>1317</v>
      </c>
      <c r="K21" s="696" t="s">
        <v>1647</v>
      </c>
      <c r="L21" s="699">
        <v>187.59</v>
      </c>
      <c r="M21" s="699">
        <v>187.59</v>
      </c>
      <c r="N21" s="696">
        <v>1</v>
      </c>
      <c r="O21" s="700">
        <v>1</v>
      </c>
      <c r="P21" s="699"/>
      <c r="Q21" s="701">
        <v>0</v>
      </c>
      <c r="R21" s="696"/>
      <c r="S21" s="701">
        <v>0</v>
      </c>
      <c r="T21" s="700"/>
      <c r="U21" s="702">
        <v>0</v>
      </c>
    </row>
    <row r="22" spans="1:21" ht="14.4" customHeight="1" x14ac:dyDescent="0.3">
      <c r="A22" s="695">
        <v>31</v>
      </c>
      <c r="B22" s="696" t="s">
        <v>557</v>
      </c>
      <c r="C22" s="696">
        <v>89301311</v>
      </c>
      <c r="D22" s="697" t="s">
        <v>2234</v>
      </c>
      <c r="E22" s="698" t="s">
        <v>1600</v>
      </c>
      <c r="F22" s="696" t="s">
        <v>1588</v>
      </c>
      <c r="G22" s="696" t="s">
        <v>1614</v>
      </c>
      <c r="H22" s="696" t="s">
        <v>914</v>
      </c>
      <c r="I22" s="696" t="s">
        <v>1316</v>
      </c>
      <c r="J22" s="696" t="s">
        <v>1317</v>
      </c>
      <c r="K22" s="696" t="s">
        <v>1318</v>
      </c>
      <c r="L22" s="699">
        <v>937.93</v>
      </c>
      <c r="M22" s="699">
        <v>2813.79</v>
      </c>
      <c r="N22" s="696">
        <v>3</v>
      </c>
      <c r="O22" s="700">
        <v>0.5</v>
      </c>
      <c r="P22" s="699">
        <v>2813.79</v>
      </c>
      <c r="Q22" s="701">
        <v>1</v>
      </c>
      <c r="R22" s="696">
        <v>3</v>
      </c>
      <c r="S22" s="701">
        <v>1</v>
      </c>
      <c r="T22" s="700">
        <v>0.5</v>
      </c>
      <c r="U22" s="702">
        <v>1</v>
      </c>
    </row>
    <row r="23" spans="1:21" ht="14.4" customHeight="1" x14ac:dyDescent="0.3">
      <c r="A23" s="695">
        <v>31</v>
      </c>
      <c r="B23" s="696" t="s">
        <v>557</v>
      </c>
      <c r="C23" s="696">
        <v>89301311</v>
      </c>
      <c r="D23" s="697" t="s">
        <v>2234</v>
      </c>
      <c r="E23" s="698" t="s">
        <v>1600</v>
      </c>
      <c r="F23" s="696" t="s">
        <v>1588</v>
      </c>
      <c r="G23" s="696" t="s">
        <v>1614</v>
      </c>
      <c r="H23" s="696" t="s">
        <v>914</v>
      </c>
      <c r="I23" s="696" t="s">
        <v>1648</v>
      </c>
      <c r="J23" s="696" t="s">
        <v>1649</v>
      </c>
      <c r="K23" s="696" t="s">
        <v>1650</v>
      </c>
      <c r="L23" s="699">
        <v>2916.16</v>
      </c>
      <c r="M23" s="699">
        <v>2916.16</v>
      </c>
      <c r="N23" s="696">
        <v>1</v>
      </c>
      <c r="O23" s="700">
        <v>1</v>
      </c>
      <c r="P23" s="699">
        <v>2916.16</v>
      </c>
      <c r="Q23" s="701">
        <v>1</v>
      </c>
      <c r="R23" s="696">
        <v>1</v>
      </c>
      <c r="S23" s="701">
        <v>1</v>
      </c>
      <c r="T23" s="700">
        <v>1</v>
      </c>
      <c r="U23" s="702">
        <v>1</v>
      </c>
    </row>
    <row r="24" spans="1:21" ht="14.4" customHeight="1" x14ac:dyDescent="0.3">
      <c r="A24" s="695">
        <v>31</v>
      </c>
      <c r="B24" s="696" t="s">
        <v>557</v>
      </c>
      <c r="C24" s="696">
        <v>89301311</v>
      </c>
      <c r="D24" s="697" t="s">
        <v>2234</v>
      </c>
      <c r="E24" s="698" t="s">
        <v>1600</v>
      </c>
      <c r="F24" s="696" t="s">
        <v>1588</v>
      </c>
      <c r="G24" s="696" t="s">
        <v>1651</v>
      </c>
      <c r="H24" s="696" t="s">
        <v>914</v>
      </c>
      <c r="I24" s="696" t="s">
        <v>944</v>
      </c>
      <c r="J24" s="696" t="s">
        <v>917</v>
      </c>
      <c r="K24" s="696" t="s">
        <v>1542</v>
      </c>
      <c r="L24" s="699">
        <v>48.31</v>
      </c>
      <c r="M24" s="699">
        <v>96.62</v>
      </c>
      <c r="N24" s="696">
        <v>2</v>
      </c>
      <c r="O24" s="700">
        <v>2</v>
      </c>
      <c r="P24" s="699"/>
      <c r="Q24" s="701">
        <v>0</v>
      </c>
      <c r="R24" s="696"/>
      <c r="S24" s="701">
        <v>0</v>
      </c>
      <c r="T24" s="700"/>
      <c r="U24" s="702">
        <v>0</v>
      </c>
    </row>
    <row r="25" spans="1:21" ht="14.4" customHeight="1" x14ac:dyDescent="0.3">
      <c r="A25" s="695">
        <v>31</v>
      </c>
      <c r="B25" s="696" t="s">
        <v>557</v>
      </c>
      <c r="C25" s="696">
        <v>89301311</v>
      </c>
      <c r="D25" s="697" t="s">
        <v>2234</v>
      </c>
      <c r="E25" s="698" t="s">
        <v>1600</v>
      </c>
      <c r="F25" s="696" t="s">
        <v>1588</v>
      </c>
      <c r="G25" s="696" t="s">
        <v>1651</v>
      </c>
      <c r="H25" s="696" t="s">
        <v>914</v>
      </c>
      <c r="I25" s="696" t="s">
        <v>916</v>
      </c>
      <c r="J25" s="696" t="s">
        <v>917</v>
      </c>
      <c r="K25" s="696" t="s">
        <v>1543</v>
      </c>
      <c r="L25" s="699">
        <v>96.63</v>
      </c>
      <c r="M25" s="699">
        <v>3768.5700000000015</v>
      </c>
      <c r="N25" s="696">
        <v>39</v>
      </c>
      <c r="O25" s="700">
        <v>30</v>
      </c>
      <c r="P25" s="699">
        <v>2125.860000000001</v>
      </c>
      <c r="Q25" s="701">
        <v>0.5641025641025641</v>
      </c>
      <c r="R25" s="696">
        <v>22</v>
      </c>
      <c r="S25" s="701">
        <v>0.5641025641025641</v>
      </c>
      <c r="T25" s="700">
        <v>17</v>
      </c>
      <c r="U25" s="702">
        <v>0.56666666666666665</v>
      </c>
    </row>
    <row r="26" spans="1:21" ht="14.4" customHeight="1" x14ac:dyDescent="0.3">
      <c r="A26" s="695">
        <v>31</v>
      </c>
      <c r="B26" s="696" t="s">
        <v>557</v>
      </c>
      <c r="C26" s="696">
        <v>89301311</v>
      </c>
      <c r="D26" s="697" t="s">
        <v>2234</v>
      </c>
      <c r="E26" s="698" t="s">
        <v>1600</v>
      </c>
      <c r="F26" s="696" t="s">
        <v>1588</v>
      </c>
      <c r="G26" s="696" t="s">
        <v>1651</v>
      </c>
      <c r="H26" s="696" t="s">
        <v>558</v>
      </c>
      <c r="I26" s="696" t="s">
        <v>1652</v>
      </c>
      <c r="J26" s="696" t="s">
        <v>917</v>
      </c>
      <c r="K26" s="696" t="s">
        <v>1653</v>
      </c>
      <c r="L26" s="699">
        <v>48.31</v>
      </c>
      <c r="M26" s="699">
        <v>48.31</v>
      </c>
      <c r="N26" s="696">
        <v>1</v>
      </c>
      <c r="O26" s="700">
        <v>1</v>
      </c>
      <c r="P26" s="699"/>
      <c r="Q26" s="701">
        <v>0</v>
      </c>
      <c r="R26" s="696"/>
      <c r="S26" s="701">
        <v>0</v>
      </c>
      <c r="T26" s="700"/>
      <c r="U26" s="702">
        <v>0</v>
      </c>
    </row>
    <row r="27" spans="1:21" ht="14.4" customHeight="1" x14ac:dyDescent="0.3">
      <c r="A27" s="695">
        <v>31</v>
      </c>
      <c r="B27" s="696" t="s">
        <v>557</v>
      </c>
      <c r="C27" s="696">
        <v>89301311</v>
      </c>
      <c r="D27" s="697" t="s">
        <v>2234</v>
      </c>
      <c r="E27" s="698" t="s">
        <v>1600</v>
      </c>
      <c r="F27" s="696" t="s">
        <v>1588</v>
      </c>
      <c r="G27" s="696" t="s">
        <v>1654</v>
      </c>
      <c r="H27" s="696" t="s">
        <v>558</v>
      </c>
      <c r="I27" s="696" t="s">
        <v>1655</v>
      </c>
      <c r="J27" s="696" t="s">
        <v>743</v>
      </c>
      <c r="K27" s="696" t="s">
        <v>1656</v>
      </c>
      <c r="L27" s="699">
        <v>0</v>
      </c>
      <c r="M27" s="699">
        <v>0</v>
      </c>
      <c r="N27" s="696">
        <v>1</v>
      </c>
      <c r="O27" s="700">
        <v>1</v>
      </c>
      <c r="P27" s="699">
        <v>0</v>
      </c>
      <c r="Q27" s="701"/>
      <c r="R27" s="696">
        <v>1</v>
      </c>
      <c r="S27" s="701">
        <v>1</v>
      </c>
      <c r="T27" s="700">
        <v>1</v>
      </c>
      <c r="U27" s="702">
        <v>1</v>
      </c>
    </row>
    <row r="28" spans="1:21" ht="14.4" customHeight="1" x14ac:dyDescent="0.3">
      <c r="A28" s="695">
        <v>31</v>
      </c>
      <c r="B28" s="696" t="s">
        <v>557</v>
      </c>
      <c r="C28" s="696">
        <v>89301311</v>
      </c>
      <c r="D28" s="697" t="s">
        <v>2234</v>
      </c>
      <c r="E28" s="698" t="s">
        <v>1600</v>
      </c>
      <c r="F28" s="696" t="s">
        <v>1588</v>
      </c>
      <c r="G28" s="696" t="s">
        <v>1657</v>
      </c>
      <c r="H28" s="696" t="s">
        <v>558</v>
      </c>
      <c r="I28" s="696" t="s">
        <v>1658</v>
      </c>
      <c r="J28" s="696" t="s">
        <v>1659</v>
      </c>
      <c r="K28" s="696" t="s">
        <v>1660</v>
      </c>
      <c r="L28" s="699">
        <v>28.74</v>
      </c>
      <c r="M28" s="699">
        <v>28.74</v>
      </c>
      <c r="N28" s="696">
        <v>1</v>
      </c>
      <c r="O28" s="700">
        <v>0.5</v>
      </c>
      <c r="P28" s="699"/>
      <c r="Q28" s="701">
        <v>0</v>
      </c>
      <c r="R28" s="696"/>
      <c r="S28" s="701">
        <v>0</v>
      </c>
      <c r="T28" s="700"/>
      <c r="U28" s="702">
        <v>0</v>
      </c>
    </row>
    <row r="29" spans="1:21" ht="14.4" customHeight="1" x14ac:dyDescent="0.3">
      <c r="A29" s="695">
        <v>31</v>
      </c>
      <c r="B29" s="696" t="s">
        <v>557</v>
      </c>
      <c r="C29" s="696">
        <v>89301311</v>
      </c>
      <c r="D29" s="697" t="s">
        <v>2234</v>
      </c>
      <c r="E29" s="698" t="s">
        <v>1600</v>
      </c>
      <c r="F29" s="696" t="s">
        <v>1588</v>
      </c>
      <c r="G29" s="696" t="s">
        <v>1661</v>
      </c>
      <c r="H29" s="696" t="s">
        <v>558</v>
      </c>
      <c r="I29" s="696" t="s">
        <v>1662</v>
      </c>
      <c r="J29" s="696" t="s">
        <v>1663</v>
      </c>
      <c r="K29" s="696" t="s">
        <v>1664</v>
      </c>
      <c r="L29" s="699">
        <v>0</v>
      </c>
      <c r="M29" s="699">
        <v>0</v>
      </c>
      <c r="N29" s="696">
        <v>2</v>
      </c>
      <c r="O29" s="700">
        <v>0.5</v>
      </c>
      <c r="P29" s="699"/>
      <c r="Q29" s="701"/>
      <c r="R29" s="696"/>
      <c r="S29" s="701">
        <v>0</v>
      </c>
      <c r="T29" s="700"/>
      <c r="U29" s="702">
        <v>0</v>
      </c>
    </row>
    <row r="30" spans="1:21" ht="14.4" customHeight="1" x14ac:dyDescent="0.3">
      <c r="A30" s="695">
        <v>31</v>
      </c>
      <c r="B30" s="696" t="s">
        <v>557</v>
      </c>
      <c r="C30" s="696">
        <v>89301311</v>
      </c>
      <c r="D30" s="697" t="s">
        <v>2234</v>
      </c>
      <c r="E30" s="698" t="s">
        <v>1600</v>
      </c>
      <c r="F30" s="696" t="s">
        <v>1588</v>
      </c>
      <c r="G30" s="696" t="s">
        <v>1665</v>
      </c>
      <c r="H30" s="696" t="s">
        <v>558</v>
      </c>
      <c r="I30" s="696" t="s">
        <v>1666</v>
      </c>
      <c r="J30" s="696" t="s">
        <v>731</v>
      </c>
      <c r="K30" s="696" t="s">
        <v>1667</v>
      </c>
      <c r="L30" s="699">
        <v>112.13</v>
      </c>
      <c r="M30" s="699">
        <v>112.13</v>
      </c>
      <c r="N30" s="696">
        <v>1</v>
      </c>
      <c r="O30" s="700">
        <v>0.5</v>
      </c>
      <c r="P30" s="699">
        <v>112.13</v>
      </c>
      <c r="Q30" s="701">
        <v>1</v>
      </c>
      <c r="R30" s="696">
        <v>1</v>
      </c>
      <c r="S30" s="701">
        <v>1</v>
      </c>
      <c r="T30" s="700">
        <v>0.5</v>
      </c>
      <c r="U30" s="702">
        <v>1</v>
      </c>
    </row>
    <row r="31" spans="1:21" ht="14.4" customHeight="1" x14ac:dyDescent="0.3">
      <c r="A31" s="695">
        <v>31</v>
      </c>
      <c r="B31" s="696" t="s">
        <v>557</v>
      </c>
      <c r="C31" s="696">
        <v>89301311</v>
      </c>
      <c r="D31" s="697" t="s">
        <v>2234</v>
      </c>
      <c r="E31" s="698" t="s">
        <v>1600</v>
      </c>
      <c r="F31" s="696" t="s">
        <v>1588</v>
      </c>
      <c r="G31" s="696" t="s">
        <v>1668</v>
      </c>
      <c r="H31" s="696" t="s">
        <v>558</v>
      </c>
      <c r="I31" s="696" t="s">
        <v>647</v>
      </c>
      <c r="J31" s="696" t="s">
        <v>1669</v>
      </c>
      <c r="K31" s="696" t="s">
        <v>1670</v>
      </c>
      <c r="L31" s="699">
        <v>0</v>
      </c>
      <c r="M31" s="699">
        <v>0</v>
      </c>
      <c r="N31" s="696">
        <v>37</v>
      </c>
      <c r="O31" s="700">
        <v>29</v>
      </c>
      <c r="P31" s="699">
        <v>0</v>
      </c>
      <c r="Q31" s="701"/>
      <c r="R31" s="696">
        <v>20</v>
      </c>
      <c r="S31" s="701">
        <v>0.54054054054054057</v>
      </c>
      <c r="T31" s="700">
        <v>14.5</v>
      </c>
      <c r="U31" s="702">
        <v>0.5</v>
      </c>
    </row>
    <row r="32" spans="1:21" ht="14.4" customHeight="1" x14ac:dyDescent="0.3">
      <c r="A32" s="695">
        <v>31</v>
      </c>
      <c r="B32" s="696" t="s">
        <v>557</v>
      </c>
      <c r="C32" s="696">
        <v>89301311</v>
      </c>
      <c r="D32" s="697" t="s">
        <v>2234</v>
      </c>
      <c r="E32" s="698" t="s">
        <v>1600</v>
      </c>
      <c r="F32" s="696" t="s">
        <v>1588</v>
      </c>
      <c r="G32" s="696" t="s">
        <v>1671</v>
      </c>
      <c r="H32" s="696" t="s">
        <v>558</v>
      </c>
      <c r="I32" s="696" t="s">
        <v>1672</v>
      </c>
      <c r="J32" s="696" t="s">
        <v>1673</v>
      </c>
      <c r="K32" s="696" t="s">
        <v>1674</v>
      </c>
      <c r="L32" s="699">
        <v>23.46</v>
      </c>
      <c r="M32" s="699">
        <v>46.92</v>
      </c>
      <c r="N32" s="696">
        <v>2</v>
      </c>
      <c r="O32" s="700">
        <v>1.5</v>
      </c>
      <c r="P32" s="699">
        <v>23.46</v>
      </c>
      <c r="Q32" s="701">
        <v>0.5</v>
      </c>
      <c r="R32" s="696">
        <v>1</v>
      </c>
      <c r="S32" s="701">
        <v>0.5</v>
      </c>
      <c r="T32" s="700">
        <v>0.5</v>
      </c>
      <c r="U32" s="702">
        <v>0.33333333333333331</v>
      </c>
    </row>
    <row r="33" spans="1:21" ht="14.4" customHeight="1" x14ac:dyDescent="0.3">
      <c r="A33" s="695">
        <v>31</v>
      </c>
      <c r="B33" s="696" t="s">
        <v>557</v>
      </c>
      <c r="C33" s="696">
        <v>89301311</v>
      </c>
      <c r="D33" s="697" t="s">
        <v>2234</v>
      </c>
      <c r="E33" s="698" t="s">
        <v>1600</v>
      </c>
      <c r="F33" s="696" t="s">
        <v>1588</v>
      </c>
      <c r="G33" s="696" t="s">
        <v>1615</v>
      </c>
      <c r="H33" s="696" t="s">
        <v>558</v>
      </c>
      <c r="I33" s="696" t="s">
        <v>988</v>
      </c>
      <c r="J33" s="696" t="s">
        <v>989</v>
      </c>
      <c r="K33" s="696" t="s">
        <v>1616</v>
      </c>
      <c r="L33" s="699">
        <v>194.73</v>
      </c>
      <c r="M33" s="699">
        <v>778.92</v>
      </c>
      <c r="N33" s="696">
        <v>4</v>
      </c>
      <c r="O33" s="700">
        <v>2</v>
      </c>
      <c r="P33" s="699">
        <v>194.73</v>
      </c>
      <c r="Q33" s="701">
        <v>0.25</v>
      </c>
      <c r="R33" s="696">
        <v>1</v>
      </c>
      <c r="S33" s="701">
        <v>0.25</v>
      </c>
      <c r="T33" s="700">
        <v>0.5</v>
      </c>
      <c r="U33" s="702">
        <v>0.25</v>
      </c>
    </row>
    <row r="34" spans="1:21" ht="14.4" customHeight="1" x14ac:dyDescent="0.3">
      <c r="A34" s="695">
        <v>31</v>
      </c>
      <c r="B34" s="696" t="s">
        <v>557</v>
      </c>
      <c r="C34" s="696">
        <v>89301311</v>
      </c>
      <c r="D34" s="697" t="s">
        <v>2234</v>
      </c>
      <c r="E34" s="698" t="s">
        <v>1600</v>
      </c>
      <c r="F34" s="696" t="s">
        <v>1588</v>
      </c>
      <c r="G34" s="696" t="s">
        <v>1675</v>
      </c>
      <c r="H34" s="696" t="s">
        <v>558</v>
      </c>
      <c r="I34" s="696" t="s">
        <v>1676</v>
      </c>
      <c r="J34" s="696" t="s">
        <v>1677</v>
      </c>
      <c r="K34" s="696" t="s">
        <v>1678</v>
      </c>
      <c r="L34" s="699">
        <v>98.23</v>
      </c>
      <c r="M34" s="699">
        <v>98.23</v>
      </c>
      <c r="N34" s="696">
        <v>1</v>
      </c>
      <c r="O34" s="700">
        <v>0.5</v>
      </c>
      <c r="P34" s="699">
        <v>98.23</v>
      </c>
      <c r="Q34" s="701">
        <v>1</v>
      </c>
      <c r="R34" s="696">
        <v>1</v>
      </c>
      <c r="S34" s="701">
        <v>1</v>
      </c>
      <c r="T34" s="700">
        <v>0.5</v>
      </c>
      <c r="U34" s="702">
        <v>1</v>
      </c>
    </row>
    <row r="35" spans="1:21" ht="14.4" customHeight="1" x14ac:dyDescent="0.3">
      <c r="A35" s="695">
        <v>31</v>
      </c>
      <c r="B35" s="696" t="s">
        <v>557</v>
      </c>
      <c r="C35" s="696">
        <v>89301311</v>
      </c>
      <c r="D35" s="697" t="s">
        <v>2234</v>
      </c>
      <c r="E35" s="698" t="s">
        <v>1600</v>
      </c>
      <c r="F35" s="696" t="s">
        <v>1588</v>
      </c>
      <c r="G35" s="696" t="s">
        <v>1675</v>
      </c>
      <c r="H35" s="696" t="s">
        <v>914</v>
      </c>
      <c r="I35" s="696" t="s">
        <v>1679</v>
      </c>
      <c r="J35" s="696" t="s">
        <v>929</v>
      </c>
      <c r="K35" s="696" t="s">
        <v>1678</v>
      </c>
      <c r="L35" s="699">
        <v>98.23</v>
      </c>
      <c r="M35" s="699">
        <v>98.23</v>
      </c>
      <c r="N35" s="696">
        <v>1</v>
      </c>
      <c r="O35" s="700">
        <v>0.5</v>
      </c>
      <c r="P35" s="699"/>
      <c r="Q35" s="701">
        <v>0</v>
      </c>
      <c r="R35" s="696"/>
      <c r="S35" s="701">
        <v>0</v>
      </c>
      <c r="T35" s="700"/>
      <c r="U35" s="702">
        <v>0</v>
      </c>
    </row>
    <row r="36" spans="1:21" ht="14.4" customHeight="1" x14ac:dyDescent="0.3">
      <c r="A36" s="695">
        <v>31</v>
      </c>
      <c r="B36" s="696" t="s">
        <v>557</v>
      </c>
      <c r="C36" s="696">
        <v>89301311</v>
      </c>
      <c r="D36" s="697" t="s">
        <v>2234</v>
      </c>
      <c r="E36" s="698" t="s">
        <v>1600</v>
      </c>
      <c r="F36" s="696" t="s">
        <v>1590</v>
      </c>
      <c r="G36" s="696" t="s">
        <v>1680</v>
      </c>
      <c r="H36" s="696" t="s">
        <v>558</v>
      </c>
      <c r="I36" s="696" t="s">
        <v>1681</v>
      </c>
      <c r="J36" s="696" t="s">
        <v>1682</v>
      </c>
      <c r="K36" s="696" t="s">
        <v>1683</v>
      </c>
      <c r="L36" s="699">
        <v>410</v>
      </c>
      <c r="M36" s="699">
        <v>410</v>
      </c>
      <c r="N36" s="696">
        <v>1</v>
      </c>
      <c r="O36" s="700">
        <v>1</v>
      </c>
      <c r="P36" s="699">
        <v>410</v>
      </c>
      <c r="Q36" s="701">
        <v>1</v>
      </c>
      <c r="R36" s="696">
        <v>1</v>
      </c>
      <c r="S36" s="701">
        <v>1</v>
      </c>
      <c r="T36" s="700">
        <v>1</v>
      </c>
      <c r="U36" s="702">
        <v>1</v>
      </c>
    </row>
    <row r="37" spans="1:21" ht="14.4" customHeight="1" x14ac:dyDescent="0.3">
      <c r="A37" s="695">
        <v>31</v>
      </c>
      <c r="B37" s="696" t="s">
        <v>557</v>
      </c>
      <c r="C37" s="696">
        <v>89301311</v>
      </c>
      <c r="D37" s="697" t="s">
        <v>2234</v>
      </c>
      <c r="E37" s="698" t="s">
        <v>1600</v>
      </c>
      <c r="F37" s="696" t="s">
        <v>1590</v>
      </c>
      <c r="G37" s="696" t="s">
        <v>1680</v>
      </c>
      <c r="H37" s="696" t="s">
        <v>558</v>
      </c>
      <c r="I37" s="696" t="s">
        <v>1681</v>
      </c>
      <c r="J37" s="696" t="s">
        <v>1684</v>
      </c>
      <c r="K37" s="696" t="s">
        <v>1685</v>
      </c>
      <c r="L37" s="699">
        <v>410</v>
      </c>
      <c r="M37" s="699">
        <v>29930</v>
      </c>
      <c r="N37" s="696">
        <v>73</v>
      </c>
      <c r="O37" s="700">
        <v>72</v>
      </c>
      <c r="P37" s="699">
        <v>26650</v>
      </c>
      <c r="Q37" s="701">
        <v>0.8904109589041096</v>
      </c>
      <c r="R37" s="696">
        <v>65</v>
      </c>
      <c r="S37" s="701">
        <v>0.8904109589041096</v>
      </c>
      <c r="T37" s="700">
        <v>64</v>
      </c>
      <c r="U37" s="702">
        <v>0.88888888888888884</v>
      </c>
    </row>
    <row r="38" spans="1:21" ht="14.4" customHeight="1" x14ac:dyDescent="0.3">
      <c r="A38" s="695">
        <v>31</v>
      </c>
      <c r="B38" s="696" t="s">
        <v>557</v>
      </c>
      <c r="C38" s="696">
        <v>89301311</v>
      </c>
      <c r="D38" s="697" t="s">
        <v>2234</v>
      </c>
      <c r="E38" s="698" t="s">
        <v>1600</v>
      </c>
      <c r="F38" s="696" t="s">
        <v>1590</v>
      </c>
      <c r="G38" s="696" t="s">
        <v>1680</v>
      </c>
      <c r="H38" s="696" t="s">
        <v>558</v>
      </c>
      <c r="I38" s="696" t="s">
        <v>1686</v>
      </c>
      <c r="J38" s="696" t="s">
        <v>1687</v>
      </c>
      <c r="K38" s="696" t="s">
        <v>1688</v>
      </c>
      <c r="L38" s="699">
        <v>566</v>
      </c>
      <c r="M38" s="699">
        <v>566</v>
      </c>
      <c r="N38" s="696">
        <v>1</v>
      </c>
      <c r="O38" s="700">
        <v>1</v>
      </c>
      <c r="P38" s="699">
        <v>566</v>
      </c>
      <c r="Q38" s="701">
        <v>1</v>
      </c>
      <c r="R38" s="696">
        <v>1</v>
      </c>
      <c r="S38" s="701">
        <v>1</v>
      </c>
      <c r="T38" s="700">
        <v>1</v>
      </c>
      <c r="U38" s="702">
        <v>1</v>
      </c>
    </row>
    <row r="39" spans="1:21" ht="14.4" customHeight="1" x14ac:dyDescent="0.3">
      <c r="A39" s="695">
        <v>31</v>
      </c>
      <c r="B39" s="696" t="s">
        <v>557</v>
      </c>
      <c r="C39" s="696">
        <v>89301311</v>
      </c>
      <c r="D39" s="697" t="s">
        <v>2234</v>
      </c>
      <c r="E39" s="698" t="s">
        <v>1600</v>
      </c>
      <c r="F39" s="696" t="s">
        <v>1590</v>
      </c>
      <c r="G39" s="696" t="s">
        <v>1689</v>
      </c>
      <c r="H39" s="696" t="s">
        <v>558</v>
      </c>
      <c r="I39" s="696" t="s">
        <v>1690</v>
      </c>
      <c r="J39" s="696" t="s">
        <v>1691</v>
      </c>
      <c r="K39" s="696" t="s">
        <v>1692</v>
      </c>
      <c r="L39" s="699">
        <v>35.75</v>
      </c>
      <c r="M39" s="699">
        <v>4290</v>
      </c>
      <c r="N39" s="696">
        <v>120</v>
      </c>
      <c r="O39" s="700">
        <v>60</v>
      </c>
      <c r="P39" s="699">
        <v>4290</v>
      </c>
      <c r="Q39" s="701">
        <v>1</v>
      </c>
      <c r="R39" s="696">
        <v>120</v>
      </c>
      <c r="S39" s="701">
        <v>1</v>
      </c>
      <c r="T39" s="700">
        <v>60</v>
      </c>
      <c r="U39" s="702">
        <v>1</v>
      </c>
    </row>
    <row r="40" spans="1:21" ht="14.4" customHeight="1" x14ac:dyDescent="0.3">
      <c r="A40" s="695">
        <v>31</v>
      </c>
      <c r="B40" s="696" t="s">
        <v>557</v>
      </c>
      <c r="C40" s="696">
        <v>89301311</v>
      </c>
      <c r="D40" s="697" t="s">
        <v>2234</v>
      </c>
      <c r="E40" s="698" t="s">
        <v>1600</v>
      </c>
      <c r="F40" s="696" t="s">
        <v>1590</v>
      </c>
      <c r="G40" s="696" t="s">
        <v>1693</v>
      </c>
      <c r="H40" s="696" t="s">
        <v>558</v>
      </c>
      <c r="I40" s="696" t="s">
        <v>1694</v>
      </c>
      <c r="J40" s="696" t="s">
        <v>1695</v>
      </c>
      <c r="K40" s="696" t="s">
        <v>1696</v>
      </c>
      <c r="L40" s="699">
        <v>260</v>
      </c>
      <c r="M40" s="699">
        <v>2340</v>
      </c>
      <c r="N40" s="696">
        <v>9</v>
      </c>
      <c r="O40" s="700">
        <v>5</v>
      </c>
      <c r="P40" s="699">
        <v>2080</v>
      </c>
      <c r="Q40" s="701">
        <v>0.88888888888888884</v>
      </c>
      <c r="R40" s="696">
        <v>8</v>
      </c>
      <c r="S40" s="701">
        <v>0.88888888888888884</v>
      </c>
      <c r="T40" s="700">
        <v>4</v>
      </c>
      <c r="U40" s="702">
        <v>0.8</v>
      </c>
    </row>
    <row r="41" spans="1:21" ht="14.4" customHeight="1" x14ac:dyDescent="0.3">
      <c r="A41" s="695">
        <v>31</v>
      </c>
      <c r="B41" s="696" t="s">
        <v>557</v>
      </c>
      <c r="C41" s="696">
        <v>89301311</v>
      </c>
      <c r="D41" s="697" t="s">
        <v>2234</v>
      </c>
      <c r="E41" s="698" t="s">
        <v>1600</v>
      </c>
      <c r="F41" s="696" t="s">
        <v>1590</v>
      </c>
      <c r="G41" s="696" t="s">
        <v>1693</v>
      </c>
      <c r="H41" s="696" t="s">
        <v>558</v>
      </c>
      <c r="I41" s="696" t="s">
        <v>1697</v>
      </c>
      <c r="J41" s="696" t="s">
        <v>1698</v>
      </c>
      <c r="K41" s="696" t="s">
        <v>1699</v>
      </c>
      <c r="L41" s="699">
        <v>200</v>
      </c>
      <c r="M41" s="699">
        <v>11600</v>
      </c>
      <c r="N41" s="696">
        <v>58</v>
      </c>
      <c r="O41" s="700">
        <v>29</v>
      </c>
      <c r="P41" s="699">
        <v>10800</v>
      </c>
      <c r="Q41" s="701">
        <v>0.93103448275862066</v>
      </c>
      <c r="R41" s="696">
        <v>54</v>
      </c>
      <c r="S41" s="701">
        <v>0.93103448275862066</v>
      </c>
      <c r="T41" s="700">
        <v>27</v>
      </c>
      <c r="U41" s="702">
        <v>0.93103448275862066</v>
      </c>
    </row>
    <row r="42" spans="1:21" ht="14.4" customHeight="1" x14ac:dyDescent="0.3">
      <c r="A42" s="695">
        <v>31</v>
      </c>
      <c r="B42" s="696" t="s">
        <v>557</v>
      </c>
      <c r="C42" s="696">
        <v>89301311</v>
      </c>
      <c r="D42" s="697" t="s">
        <v>2234</v>
      </c>
      <c r="E42" s="698" t="s">
        <v>1600</v>
      </c>
      <c r="F42" s="696" t="s">
        <v>1590</v>
      </c>
      <c r="G42" s="696" t="s">
        <v>1700</v>
      </c>
      <c r="H42" s="696" t="s">
        <v>558</v>
      </c>
      <c r="I42" s="696" t="s">
        <v>1701</v>
      </c>
      <c r="J42" s="696" t="s">
        <v>1702</v>
      </c>
      <c r="K42" s="696" t="s">
        <v>1703</v>
      </c>
      <c r="L42" s="699">
        <v>3000</v>
      </c>
      <c r="M42" s="699">
        <v>3000</v>
      </c>
      <c r="N42" s="696">
        <v>1</v>
      </c>
      <c r="O42" s="700">
        <v>1</v>
      </c>
      <c r="P42" s="699">
        <v>3000</v>
      </c>
      <c r="Q42" s="701">
        <v>1</v>
      </c>
      <c r="R42" s="696">
        <v>1</v>
      </c>
      <c r="S42" s="701">
        <v>1</v>
      </c>
      <c r="T42" s="700">
        <v>1</v>
      </c>
      <c r="U42" s="702">
        <v>1</v>
      </c>
    </row>
    <row r="43" spans="1:21" ht="14.4" customHeight="1" x14ac:dyDescent="0.3">
      <c r="A43" s="695">
        <v>31</v>
      </c>
      <c r="B43" s="696" t="s">
        <v>557</v>
      </c>
      <c r="C43" s="696">
        <v>89301311</v>
      </c>
      <c r="D43" s="697" t="s">
        <v>2234</v>
      </c>
      <c r="E43" s="698" t="s">
        <v>1600</v>
      </c>
      <c r="F43" s="696" t="s">
        <v>1590</v>
      </c>
      <c r="G43" s="696" t="s">
        <v>1700</v>
      </c>
      <c r="H43" s="696" t="s">
        <v>558</v>
      </c>
      <c r="I43" s="696" t="s">
        <v>1704</v>
      </c>
      <c r="J43" s="696" t="s">
        <v>1705</v>
      </c>
      <c r="K43" s="696" t="s">
        <v>1706</v>
      </c>
      <c r="L43" s="699">
        <v>199.5</v>
      </c>
      <c r="M43" s="699">
        <v>399</v>
      </c>
      <c r="N43" s="696">
        <v>2</v>
      </c>
      <c r="O43" s="700">
        <v>2</v>
      </c>
      <c r="P43" s="699">
        <v>399</v>
      </c>
      <c r="Q43" s="701">
        <v>1</v>
      </c>
      <c r="R43" s="696">
        <v>2</v>
      </c>
      <c r="S43" s="701">
        <v>1</v>
      </c>
      <c r="T43" s="700">
        <v>2</v>
      </c>
      <c r="U43" s="702">
        <v>1</v>
      </c>
    </row>
    <row r="44" spans="1:21" ht="14.4" customHeight="1" x14ac:dyDescent="0.3">
      <c r="A44" s="695">
        <v>31</v>
      </c>
      <c r="B44" s="696" t="s">
        <v>557</v>
      </c>
      <c r="C44" s="696">
        <v>89301311</v>
      </c>
      <c r="D44" s="697" t="s">
        <v>2234</v>
      </c>
      <c r="E44" s="698" t="s">
        <v>1600</v>
      </c>
      <c r="F44" s="696" t="s">
        <v>1590</v>
      </c>
      <c r="G44" s="696" t="s">
        <v>1700</v>
      </c>
      <c r="H44" s="696" t="s">
        <v>558</v>
      </c>
      <c r="I44" s="696" t="s">
        <v>1707</v>
      </c>
      <c r="J44" s="696" t="s">
        <v>1708</v>
      </c>
      <c r="K44" s="696" t="s">
        <v>1709</v>
      </c>
      <c r="L44" s="699">
        <v>492.18</v>
      </c>
      <c r="M44" s="699">
        <v>4429.62</v>
      </c>
      <c r="N44" s="696">
        <v>9</v>
      </c>
      <c r="O44" s="700">
        <v>9</v>
      </c>
      <c r="P44" s="699">
        <v>3445.2599999999998</v>
      </c>
      <c r="Q44" s="701">
        <v>0.77777777777777779</v>
      </c>
      <c r="R44" s="696">
        <v>7</v>
      </c>
      <c r="S44" s="701">
        <v>0.77777777777777779</v>
      </c>
      <c r="T44" s="700">
        <v>7</v>
      </c>
      <c r="U44" s="702">
        <v>0.77777777777777779</v>
      </c>
    </row>
    <row r="45" spans="1:21" ht="14.4" customHeight="1" x14ac:dyDescent="0.3">
      <c r="A45" s="695">
        <v>31</v>
      </c>
      <c r="B45" s="696" t="s">
        <v>557</v>
      </c>
      <c r="C45" s="696">
        <v>89301311</v>
      </c>
      <c r="D45" s="697" t="s">
        <v>2234</v>
      </c>
      <c r="E45" s="698" t="s">
        <v>1600</v>
      </c>
      <c r="F45" s="696" t="s">
        <v>1590</v>
      </c>
      <c r="G45" s="696" t="s">
        <v>1700</v>
      </c>
      <c r="H45" s="696" t="s">
        <v>558</v>
      </c>
      <c r="I45" s="696" t="s">
        <v>1710</v>
      </c>
      <c r="J45" s="696" t="s">
        <v>1711</v>
      </c>
      <c r="K45" s="696" t="s">
        <v>1712</v>
      </c>
      <c r="L45" s="699">
        <v>750</v>
      </c>
      <c r="M45" s="699">
        <v>3000</v>
      </c>
      <c r="N45" s="696">
        <v>4</v>
      </c>
      <c r="O45" s="700">
        <v>4</v>
      </c>
      <c r="P45" s="699">
        <v>3000</v>
      </c>
      <c r="Q45" s="701">
        <v>1</v>
      </c>
      <c r="R45" s="696">
        <v>4</v>
      </c>
      <c r="S45" s="701">
        <v>1</v>
      </c>
      <c r="T45" s="700">
        <v>4</v>
      </c>
      <c r="U45" s="702">
        <v>1</v>
      </c>
    </row>
    <row r="46" spans="1:21" ht="14.4" customHeight="1" x14ac:dyDescent="0.3">
      <c r="A46" s="695">
        <v>31</v>
      </c>
      <c r="B46" s="696" t="s">
        <v>557</v>
      </c>
      <c r="C46" s="696">
        <v>89301311</v>
      </c>
      <c r="D46" s="697" t="s">
        <v>2234</v>
      </c>
      <c r="E46" s="698" t="s">
        <v>1600</v>
      </c>
      <c r="F46" s="696" t="s">
        <v>1590</v>
      </c>
      <c r="G46" s="696" t="s">
        <v>1700</v>
      </c>
      <c r="H46" s="696" t="s">
        <v>558</v>
      </c>
      <c r="I46" s="696" t="s">
        <v>1410</v>
      </c>
      <c r="J46" s="696" t="s">
        <v>1713</v>
      </c>
      <c r="K46" s="696" t="s">
        <v>1714</v>
      </c>
      <c r="L46" s="699">
        <v>2202.1999999999998</v>
      </c>
      <c r="M46" s="699">
        <v>2202.1999999999998</v>
      </c>
      <c r="N46" s="696">
        <v>1</v>
      </c>
      <c r="O46" s="700">
        <v>1</v>
      </c>
      <c r="P46" s="699"/>
      <c r="Q46" s="701">
        <v>0</v>
      </c>
      <c r="R46" s="696"/>
      <c r="S46" s="701">
        <v>0</v>
      </c>
      <c r="T46" s="700"/>
      <c r="U46" s="702">
        <v>0</v>
      </c>
    </row>
    <row r="47" spans="1:21" ht="14.4" customHeight="1" x14ac:dyDescent="0.3">
      <c r="A47" s="695">
        <v>31</v>
      </c>
      <c r="B47" s="696" t="s">
        <v>557</v>
      </c>
      <c r="C47" s="696">
        <v>89301311</v>
      </c>
      <c r="D47" s="697" t="s">
        <v>2234</v>
      </c>
      <c r="E47" s="698" t="s">
        <v>1600</v>
      </c>
      <c r="F47" s="696" t="s">
        <v>1590</v>
      </c>
      <c r="G47" s="696" t="s">
        <v>1700</v>
      </c>
      <c r="H47" s="696" t="s">
        <v>558</v>
      </c>
      <c r="I47" s="696" t="s">
        <v>1715</v>
      </c>
      <c r="J47" s="696" t="s">
        <v>1716</v>
      </c>
      <c r="K47" s="696" t="s">
        <v>1717</v>
      </c>
      <c r="L47" s="699">
        <v>971.25</v>
      </c>
      <c r="M47" s="699">
        <v>1942.5</v>
      </c>
      <c r="N47" s="696">
        <v>2</v>
      </c>
      <c r="O47" s="700">
        <v>2</v>
      </c>
      <c r="P47" s="699">
        <v>1942.5</v>
      </c>
      <c r="Q47" s="701">
        <v>1</v>
      </c>
      <c r="R47" s="696">
        <v>2</v>
      </c>
      <c r="S47" s="701">
        <v>1</v>
      </c>
      <c r="T47" s="700">
        <v>2</v>
      </c>
      <c r="U47" s="702">
        <v>1</v>
      </c>
    </row>
    <row r="48" spans="1:21" ht="14.4" customHeight="1" x14ac:dyDescent="0.3">
      <c r="A48" s="695">
        <v>31</v>
      </c>
      <c r="B48" s="696" t="s">
        <v>557</v>
      </c>
      <c r="C48" s="696">
        <v>89301311</v>
      </c>
      <c r="D48" s="697" t="s">
        <v>2234</v>
      </c>
      <c r="E48" s="698" t="s">
        <v>1600</v>
      </c>
      <c r="F48" s="696" t="s">
        <v>1590</v>
      </c>
      <c r="G48" s="696" t="s">
        <v>1700</v>
      </c>
      <c r="H48" s="696" t="s">
        <v>558</v>
      </c>
      <c r="I48" s="696" t="s">
        <v>1718</v>
      </c>
      <c r="J48" s="696" t="s">
        <v>1719</v>
      </c>
      <c r="K48" s="696"/>
      <c r="L48" s="699">
        <v>500</v>
      </c>
      <c r="M48" s="699">
        <v>500</v>
      </c>
      <c r="N48" s="696">
        <v>1</v>
      </c>
      <c r="O48" s="700">
        <v>1</v>
      </c>
      <c r="P48" s="699">
        <v>500</v>
      </c>
      <c r="Q48" s="701">
        <v>1</v>
      </c>
      <c r="R48" s="696">
        <v>1</v>
      </c>
      <c r="S48" s="701">
        <v>1</v>
      </c>
      <c r="T48" s="700">
        <v>1</v>
      </c>
      <c r="U48" s="702">
        <v>1</v>
      </c>
    </row>
    <row r="49" spans="1:21" ht="14.4" customHeight="1" x14ac:dyDescent="0.3">
      <c r="A49" s="695">
        <v>31</v>
      </c>
      <c r="B49" s="696" t="s">
        <v>557</v>
      </c>
      <c r="C49" s="696">
        <v>89301311</v>
      </c>
      <c r="D49" s="697" t="s">
        <v>2234</v>
      </c>
      <c r="E49" s="698" t="s">
        <v>1600</v>
      </c>
      <c r="F49" s="696" t="s">
        <v>1590</v>
      </c>
      <c r="G49" s="696" t="s">
        <v>1700</v>
      </c>
      <c r="H49" s="696" t="s">
        <v>558</v>
      </c>
      <c r="I49" s="696" t="s">
        <v>1720</v>
      </c>
      <c r="J49" s="696" t="s">
        <v>1721</v>
      </c>
      <c r="K49" s="696" t="s">
        <v>1722</v>
      </c>
      <c r="L49" s="699">
        <v>1978.94</v>
      </c>
      <c r="M49" s="699">
        <v>1978.94</v>
      </c>
      <c r="N49" s="696">
        <v>1</v>
      </c>
      <c r="O49" s="700">
        <v>1</v>
      </c>
      <c r="P49" s="699">
        <v>1978.94</v>
      </c>
      <c r="Q49" s="701">
        <v>1</v>
      </c>
      <c r="R49" s="696">
        <v>1</v>
      </c>
      <c r="S49" s="701">
        <v>1</v>
      </c>
      <c r="T49" s="700">
        <v>1</v>
      </c>
      <c r="U49" s="702">
        <v>1</v>
      </c>
    </row>
    <row r="50" spans="1:21" ht="14.4" customHeight="1" x14ac:dyDescent="0.3">
      <c r="A50" s="695">
        <v>31</v>
      </c>
      <c r="B50" s="696" t="s">
        <v>557</v>
      </c>
      <c r="C50" s="696">
        <v>89301311</v>
      </c>
      <c r="D50" s="697" t="s">
        <v>2234</v>
      </c>
      <c r="E50" s="698" t="s">
        <v>1601</v>
      </c>
      <c r="F50" s="696" t="s">
        <v>1588</v>
      </c>
      <c r="G50" s="696" t="s">
        <v>1620</v>
      </c>
      <c r="H50" s="696" t="s">
        <v>914</v>
      </c>
      <c r="I50" s="696" t="s">
        <v>1041</v>
      </c>
      <c r="J50" s="696" t="s">
        <v>1529</v>
      </c>
      <c r="K50" s="696" t="s">
        <v>1530</v>
      </c>
      <c r="L50" s="699">
        <v>333.31</v>
      </c>
      <c r="M50" s="699">
        <v>999.93000000000006</v>
      </c>
      <c r="N50" s="696">
        <v>3</v>
      </c>
      <c r="O50" s="700">
        <v>1.5</v>
      </c>
      <c r="P50" s="699">
        <v>666.62</v>
      </c>
      <c r="Q50" s="701">
        <v>0.66666666666666663</v>
      </c>
      <c r="R50" s="696">
        <v>2</v>
      </c>
      <c r="S50" s="701">
        <v>0.66666666666666663</v>
      </c>
      <c r="T50" s="700">
        <v>0.5</v>
      </c>
      <c r="U50" s="702">
        <v>0.33333333333333331</v>
      </c>
    </row>
    <row r="51" spans="1:21" ht="14.4" customHeight="1" x14ac:dyDescent="0.3">
      <c r="A51" s="695">
        <v>31</v>
      </c>
      <c r="B51" s="696" t="s">
        <v>557</v>
      </c>
      <c r="C51" s="696">
        <v>89301311</v>
      </c>
      <c r="D51" s="697" t="s">
        <v>2234</v>
      </c>
      <c r="E51" s="698" t="s">
        <v>1601</v>
      </c>
      <c r="F51" s="696" t="s">
        <v>1588</v>
      </c>
      <c r="G51" s="696" t="s">
        <v>1624</v>
      </c>
      <c r="H51" s="696" t="s">
        <v>558</v>
      </c>
      <c r="I51" s="696" t="s">
        <v>1625</v>
      </c>
      <c r="J51" s="696" t="s">
        <v>1418</v>
      </c>
      <c r="K51" s="696" t="s">
        <v>1626</v>
      </c>
      <c r="L51" s="699">
        <v>0</v>
      </c>
      <c r="M51" s="699">
        <v>0</v>
      </c>
      <c r="N51" s="696">
        <v>3</v>
      </c>
      <c r="O51" s="700">
        <v>0.5</v>
      </c>
      <c r="P51" s="699">
        <v>0</v>
      </c>
      <c r="Q51" s="701"/>
      <c r="R51" s="696">
        <v>3</v>
      </c>
      <c r="S51" s="701">
        <v>1</v>
      </c>
      <c r="T51" s="700">
        <v>0.5</v>
      </c>
      <c r="U51" s="702">
        <v>1</v>
      </c>
    </row>
    <row r="52" spans="1:21" ht="14.4" customHeight="1" x14ac:dyDescent="0.3">
      <c r="A52" s="695">
        <v>31</v>
      </c>
      <c r="B52" s="696" t="s">
        <v>557</v>
      </c>
      <c r="C52" s="696">
        <v>89301311</v>
      </c>
      <c r="D52" s="697" t="s">
        <v>2234</v>
      </c>
      <c r="E52" s="698" t="s">
        <v>1601</v>
      </c>
      <c r="F52" s="696" t="s">
        <v>1588</v>
      </c>
      <c r="G52" s="696" t="s">
        <v>1627</v>
      </c>
      <c r="H52" s="696" t="s">
        <v>914</v>
      </c>
      <c r="I52" s="696" t="s">
        <v>1030</v>
      </c>
      <c r="J52" s="696" t="s">
        <v>1031</v>
      </c>
      <c r="K52" s="696" t="s">
        <v>1537</v>
      </c>
      <c r="L52" s="699">
        <v>69.86</v>
      </c>
      <c r="M52" s="699">
        <v>139.72</v>
      </c>
      <c r="N52" s="696">
        <v>2</v>
      </c>
      <c r="O52" s="700">
        <v>0.5</v>
      </c>
      <c r="P52" s="699">
        <v>139.72</v>
      </c>
      <c r="Q52" s="701">
        <v>1</v>
      </c>
      <c r="R52" s="696">
        <v>2</v>
      </c>
      <c r="S52" s="701">
        <v>1</v>
      </c>
      <c r="T52" s="700">
        <v>0.5</v>
      </c>
      <c r="U52" s="702">
        <v>1</v>
      </c>
    </row>
    <row r="53" spans="1:21" ht="14.4" customHeight="1" x14ac:dyDescent="0.3">
      <c r="A53" s="695">
        <v>31</v>
      </c>
      <c r="B53" s="696" t="s">
        <v>557</v>
      </c>
      <c r="C53" s="696">
        <v>89301311</v>
      </c>
      <c r="D53" s="697" t="s">
        <v>2234</v>
      </c>
      <c r="E53" s="698" t="s">
        <v>1601</v>
      </c>
      <c r="F53" s="696" t="s">
        <v>1588</v>
      </c>
      <c r="G53" s="696" t="s">
        <v>1723</v>
      </c>
      <c r="H53" s="696" t="s">
        <v>558</v>
      </c>
      <c r="I53" s="696" t="s">
        <v>976</v>
      </c>
      <c r="J53" s="696" t="s">
        <v>977</v>
      </c>
      <c r="K53" s="696" t="s">
        <v>1724</v>
      </c>
      <c r="L53" s="699">
        <v>83.09</v>
      </c>
      <c r="M53" s="699">
        <v>83.09</v>
      </c>
      <c r="N53" s="696">
        <v>1</v>
      </c>
      <c r="O53" s="700">
        <v>1</v>
      </c>
      <c r="P53" s="699">
        <v>83.09</v>
      </c>
      <c r="Q53" s="701">
        <v>1</v>
      </c>
      <c r="R53" s="696">
        <v>1</v>
      </c>
      <c r="S53" s="701">
        <v>1</v>
      </c>
      <c r="T53" s="700">
        <v>1</v>
      </c>
      <c r="U53" s="702">
        <v>1</v>
      </c>
    </row>
    <row r="54" spans="1:21" ht="14.4" customHeight="1" x14ac:dyDescent="0.3">
      <c r="A54" s="695">
        <v>31</v>
      </c>
      <c r="B54" s="696" t="s">
        <v>557</v>
      </c>
      <c r="C54" s="696">
        <v>89301311</v>
      </c>
      <c r="D54" s="697" t="s">
        <v>2234</v>
      </c>
      <c r="E54" s="698" t="s">
        <v>1601</v>
      </c>
      <c r="F54" s="696" t="s">
        <v>1588</v>
      </c>
      <c r="G54" s="696" t="s">
        <v>1638</v>
      </c>
      <c r="H54" s="696" t="s">
        <v>558</v>
      </c>
      <c r="I54" s="696" t="s">
        <v>1639</v>
      </c>
      <c r="J54" s="696" t="s">
        <v>1640</v>
      </c>
      <c r="K54" s="696"/>
      <c r="L54" s="699">
        <v>0</v>
      </c>
      <c r="M54" s="699">
        <v>0</v>
      </c>
      <c r="N54" s="696">
        <v>3</v>
      </c>
      <c r="O54" s="700">
        <v>2</v>
      </c>
      <c r="P54" s="699"/>
      <c r="Q54" s="701"/>
      <c r="R54" s="696"/>
      <c r="S54" s="701">
        <v>0</v>
      </c>
      <c r="T54" s="700"/>
      <c r="U54" s="702">
        <v>0</v>
      </c>
    </row>
    <row r="55" spans="1:21" ht="14.4" customHeight="1" x14ac:dyDescent="0.3">
      <c r="A55" s="695">
        <v>31</v>
      </c>
      <c r="B55" s="696" t="s">
        <v>557</v>
      </c>
      <c r="C55" s="696">
        <v>89301311</v>
      </c>
      <c r="D55" s="697" t="s">
        <v>2234</v>
      </c>
      <c r="E55" s="698" t="s">
        <v>1601</v>
      </c>
      <c r="F55" s="696" t="s">
        <v>1588</v>
      </c>
      <c r="G55" s="696" t="s">
        <v>1725</v>
      </c>
      <c r="H55" s="696" t="s">
        <v>558</v>
      </c>
      <c r="I55" s="696" t="s">
        <v>1726</v>
      </c>
      <c r="J55" s="696" t="s">
        <v>716</v>
      </c>
      <c r="K55" s="696" t="s">
        <v>1727</v>
      </c>
      <c r="L55" s="699">
        <v>0</v>
      </c>
      <c r="M55" s="699">
        <v>0</v>
      </c>
      <c r="N55" s="696">
        <v>2</v>
      </c>
      <c r="O55" s="700">
        <v>1</v>
      </c>
      <c r="P55" s="699">
        <v>0</v>
      </c>
      <c r="Q55" s="701"/>
      <c r="R55" s="696">
        <v>2</v>
      </c>
      <c r="S55" s="701">
        <v>1</v>
      </c>
      <c r="T55" s="700">
        <v>1</v>
      </c>
      <c r="U55" s="702">
        <v>1</v>
      </c>
    </row>
    <row r="56" spans="1:21" ht="14.4" customHeight="1" x14ac:dyDescent="0.3">
      <c r="A56" s="695">
        <v>31</v>
      </c>
      <c r="B56" s="696" t="s">
        <v>557</v>
      </c>
      <c r="C56" s="696">
        <v>89301311</v>
      </c>
      <c r="D56" s="697" t="s">
        <v>2234</v>
      </c>
      <c r="E56" s="698" t="s">
        <v>1601</v>
      </c>
      <c r="F56" s="696" t="s">
        <v>1588</v>
      </c>
      <c r="G56" s="696" t="s">
        <v>1645</v>
      </c>
      <c r="H56" s="696" t="s">
        <v>914</v>
      </c>
      <c r="I56" s="696" t="s">
        <v>1045</v>
      </c>
      <c r="J56" s="696" t="s">
        <v>1046</v>
      </c>
      <c r="K56" s="696" t="s">
        <v>1047</v>
      </c>
      <c r="L56" s="699">
        <v>154.01</v>
      </c>
      <c r="M56" s="699">
        <v>1078.07</v>
      </c>
      <c r="N56" s="696">
        <v>7</v>
      </c>
      <c r="O56" s="700">
        <v>2</v>
      </c>
      <c r="P56" s="699">
        <v>462.03</v>
      </c>
      <c r="Q56" s="701">
        <v>0.42857142857142855</v>
      </c>
      <c r="R56" s="696">
        <v>3</v>
      </c>
      <c r="S56" s="701">
        <v>0.42857142857142855</v>
      </c>
      <c r="T56" s="700">
        <v>1</v>
      </c>
      <c r="U56" s="702">
        <v>0.5</v>
      </c>
    </row>
    <row r="57" spans="1:21" ht="14.4" customHeight="1" x14ac:dyDescent="0.3">
      <c r="A57" s="695">
        <v>31</v>
      </c>
      <c r="B57" s="696" t="s">
        <v>557</v>
      </c>
      <c r="C57" s="696">
        <v>89301311</v>
      </c>
      <c r="D57" s="697" t="s">
        <v>2234</v>
      </c>
      <c r="E57" s="698" t="s">
        <v>1601</v>
      </c>
      <c r="F57" s="696" t="s">
        <v>1588</v>
      </c>
      <c r="G57" s="696" t="s">
        <v>1614</v>
      </c>
      <c r="H57" s="696" t="s">
        <v>914</v>
      </c>
      <c r="I57" s="696" t="s">
        <v>1367</v>
      </c>
      <c r="J57" s="696" t="s">
        <v>1317</v>
      </c>
      <c r="K57" s="696" t="s">
        <v>1368</v>
      </c>
      <c r="L57" s="699">
        <v>625.29</v>
      </c>
      <c r="M57" s="699">
        <v>68156.61000000003</v>
      </c>
      <c r="N57" s="696">
        <v>109</v>
      </c>
      <c r="O57" s="700">
        <v>28.5</v>
      </c>
      <c r="P57" s="699">
        <v>57526.680000000029</v>
      </c>
      <c r="Q57" s="701">
        <v>0.84403669724770647</v>
      </c>
      <c r="R57" s="696">
        <v>92</v>
      </c>
      <c r="S57" s="701">
        <v>0.84403669724770647</v>
      </c>
      <c r="T57" s="700">
        <v>24.5</v>
      </c>
      <c r="U57" s="702">
        <v>0.85964912280701755</v>
      </c>
    </row>
    <row r="58" spans="1:21" ht="14.4" customHeight="1" x14ac:dyDescent="0.3">
      <c r="A58" s="695">
        <v>31</v>
      </c>
      <c r="B58" s="696" t="s">
        <v>557</v>
      </c>
      <c r="C58" s="696">
        <v>89301311</v>
      </c>
      <c r="D58" s="697" t="s">
        <v>2234</v>
      </c>
      <c r="E58" s="698" t="s">
        <v>1601</v>
      </c>
      <c r="F58" s="696" t="s">
        <v>1588</v>
      </c>
      <c r="G58" s="696" t="s">
        <v>1614</v>
      </c>
      <c r="H58" s="696" t="s">
        <v>914</v>
      </c>
      <c r="I58" s="696" t="s">
        <v>1728</v>
      </c>
      <c r="J58" s="696" t="s">
        <v>1317</v>
      </c>
      <c r="K58" s="696" t="s">
        <v>1729</v>
      </c>
      <c r="L58" s="699">
        <v>1166.47</v>
      </c>
      <c r="M58" s="699">
        <v>1166.47</v>
      </c>
      <c r="N58" s="696">
        <v>1</v>
      </c>
      <c r="O58" s="700">
        <v>0.5</v>
      </c>
      <c r="P58" s="699"/>
      <c r="Q58" s="701">
        <v>0</v>
      </c>
      <c r="R58" s="696"/>
      <c r="S58" s="701">
        <v>0</v>
      </c>
      <c r="T58" s="700"/>
      <c r="U58" s="702">
        <v>0</v>
      </c>
    </row>
    <row r="59" spans="1:21" ht="14.4" customHeight="1" x14ac:dyDescent="0.3">
      <c r="A59" s="695">
        <v>31</v>
      </c>
      <c r="B59" s="696" t="s">
        <v>557</v>
      </c>
      <c r="C59" s="696">
        <v>89301311</v>
      </c>
      <c r="D59" s="697" t="s">
        <v>2234</v>
      </c>
      <c r="E59" s="698" t="s">
        <v>1601</v>
      </c>
      <c r="F59" s="696" t="s">
        <v>1588</v>
      </c>
      <c r="G59" s="696" t="s">
        <v>1651</v>
      </c>
      <c r="H59" s="696" t="s">
        <v>914</v>
      </c>
      <c r="I59" s="696" t="s">
        <v>916</v>
      </c>
      <c r="J59" s="696" t="s">
        <v>917</v>
      </c>
      <c r="K59" s="696" t="s">
        <v>1543</v>
      </c>
      <c r="L59" s="699">
        <v>96.63</v>
      </c>
      <c r="M59" s="699">
        <v>193.26</v>
      </c>
      <c r="N59" s="696">
        <v>2</v>
      </c>
      <c r="O59" s="700">
        <v>1</v>
      </c>
      <c r="P59" s="699">
        <v>193.26</v>
      </c>
      <c r="Q59" s="701">
        <v>1</v>
      </c>
      <c r="R59" s="696">
        <v>2</v>
      </c>
      <c r="S59" s="701">
        <v>1</v>
      </c>
      <c r="T59" s="700">
        <v>1</v>
      </c>
      <c r="U59" s="702">
        <v>1</v>
      </c>
    </row>
    <row r="60" spans="1:21" ht="14.4" customHeight="1" x14ac:dyDescent="0.3">
      <c r="A60" s="695">
        <v>31</v>
      </c>
      <c r="B60" s="696" t="s">
        <v>557</v>
      </c>
      <c r="C60" s="696">
        <v>89301311</v>
      </c>
      <c r="D60" s="697" t="s">
        <v>2234</v>
      </c>
      <c r="E60" s="698" t="s">
        <v>1601</v>
      </c>
      <c r="F60" s="696" t="s">
        <v>1588</v>
      </c>
      <c r="G60" s="696" t="s">
        <v>1665</v>
      </c>
      <c r="H60" s="696" t="s">
        <v>558</v>
      </c>
      <c r="I60" s="696" t="s">
        <v>1666</v>
      </c>
      <c r="J60" s="696" t="s">
        <v>731</v>
      </c>
      <c r="K60" s="696" t="s">
        <v>1667</v>
      </c>
      <c r="L60" s="699">
        <v>112.13</v>
      </c>
      <c r="M60" s="699">
        <v>224.26</v>
      </c>
      <c r="N60" s="696">
        <v>2</v>
      </c>
      <c r="O60" s="700">
        <v>1</v>
      </c>
      <c r="P60" s="699"/>
      <c r="Q60" s="701">
        <v>0</v>
      </c>
      <c r="R60" s="696"/>
      <c r="S60" s="701">
        <v>0</v>
      </c>
      <c r="T60" s="700"/>
      <c r="U60" s="702">
        <v>0</v>
      </c>
    </row>
    <row r="61" spans="1:21" ht="14.4" customHeight="1" x14ac:dyDescent="0.3">
      <c r="A61" s="695">
        <v>31</v>
      </c>
      <c r="B61" s="696" t="s">
        <v>557</v>
      </c>
      <c r="C61" s="696">
        <v>89301311</v>
      </c>
      <c r="D61" s="697" t="s">
        <v>2234</v>
      </c>
      <c r="E61" s="698" t="s">
        <v>1601</v>
      </c>
      <c r="F61" s="696" t="s">
        <v>1588</v>
      </c>
      <c r="G61" s="696" t="s">
        <v>1668</v>
      </c>
      <c r="H61" s="696" t="s">
        <v>558</v>
      </c>
      <c r="I61" s="696" t="s">
        <v>647</v>
      </c>
      <c r="J61" s="696" t="s">
        <v>1669</v>
      </c>
      <c r="K61" s="696" t="s">
        <v>1670</v>
      </c>
      <c r="L61" s="699">
        <v>0</v>
      </c>
      <c r="M61" s="699">
        <v>0</v>
      </c>
      <c r="N61" s="696">
        <v>125</v>
      </c>
      <c r="O61" s="700">
        <v>70</v>
      </c>
      <c r="P61" s="699">
        <v>0</v>
      </c>
      <c r="Q61" s="701"/>
      <c r="R61" s="696">
        <v>89</v>
      </c>
      <c r="S61" s="701">
        <v>0.71199999999999997</v>
      </c>
      <c r="T61" s="700">
        <v>47</v>
      </c>
      <c r="U61" s="702">
        <v>0.67142857142857137</v>
      </c>
    </row>
    <row r="62" spans="1:21" ht="14.4" customHeight="1" x14ac:dyDescent="0.3">
      <c r="A62" s="695">
        <v>31</v>
      </c>
      <c r="B62" s="696" t="s">
        <v>557</v>
      </c>
      <c r="C62" s="696">
        <v>89301311</v>
      </c>
      <c r="D62" s="697" t="s">
        <v>2234</v>
      </c>
      <c r="E62" s="698" t="s">
        <v>1601</v>
      </c>
      <c r="F62" s="696" t="s">
        <v>1588</v>
      </c>
      <c r="G62" s="696" t="s">
        <v>1615</v>
      </c>
      <c r="H62" s="696" t="s">
        <v>558</v>
      </c>
      <c r="I62" s="696" t="s">
        <v>988</v>
      </c>
      <c r="J62" s="696" t="s">
        <v>989</v>
      </c>
      <c r="K62" s="696" t="s">
        <v>1616</v>
      </c>
      <c r="L62" s="699">
        <v>194.73</v>
      </c>
      <c r="M62" s="699">
        <v>778.92</v>
      </c>
      <c r="N62" s="696">
        <v>4</v>
      </c>
      <c r="O62" s="700">
        <v>2.5</v>
      </c>
      <c r="P62" s="699">
        <v>194.73</v>
      </c>
      <c r="Q62" s="701">
        <v>0.25</v>
      </c>
      <c r="R62" s="696">
        <v>1</v>
      </c>
      <c r="S62" s="701">
        <v>0.25</v>
      </c>
      <c r="T62" s="700">
        <v>1</v>
      </c>
      <c r="U62" s="702">
        <v>0.4</v>
      </c>
    </row>
    <row r="63" spans="1:21" ht="14.4" customHeight="1" x14ac:dyDescent="0.3">
      <c r="A63" s="695">
        <v>31</v>
      </c>
      <c r="B63" s="696" t="s">
        <v>557</v>
      </c>
      <c r="C63" s="696">
        <v>89301311</v>
      </c>
      <c r="D63" s="697" t="s">
        <v>2234</v>
      </c>
      <c r="E63" s="698" t="s">
        <v>1601</v>
      </c>
      <c r="F63" s="696" t="s">
        <v>1590</v>
      </c>
      <c r="G63" s="696" t="s">
        <v>1730</v>
      </c>
      <c r="H63" s="696" t="s">
        <v>558</v>
      </c>
      <c r="I63" s="696" t="s">
        <v>1731</v>
      </c>
      <c r="J63" s="696" t="s">
        <v>1732</v>
      </c>
      <c r="K63" s="696" t="s">
        <v>1733</v>
      </c>
      <c r="L63" s="699">
        <v>1668</v>
      </c>
      <c r="M63" s="699">
        <v>6672</v>
      </c>
      <c r="N63" s="696">
        <v>4</v>
      </c>
      <c r="O63" s="700">
        <v>4</v>
      </c>
      <c r="P63" s="699"/>
      <c r="Q63" s="701">
        <v>0</v>
      </c>
      <c r="R63" s="696"/>
      <c r="S63" s="701">
        <v>0</v>
      </c>
      <c r="T63" s="700"/>
      <c r="U63" s="702">
        <v>0</v>
      </c>
    </row>
    <row r="64" spans="1:21" ht="14.4" customHeight="1" x14ac:dyDescent="0.3">
      <c r="A64" s="695">
        <v>31</v>
      </c>
      <c r="B64" s="696" t="s">
        <v>557</v>
      </c>
      <c r="C64" s="696">
        <v>89301311</v>
      </c>
      <c r="D64" s="697" t="s">
        <v>2234</v>
      </c>
      <c r="E64" s="698" t="s">
        <v>1601</v>
      </c>
      <c r="F64" s="696" t="s">
        <v>1590</v>
      </c>
      <c r="G64" s="696" t="s">
        <v>1680</v>
      </c>
      <c r="H64" s="696" t="s">
        <v>558</v>
      </c>
      <c r="I64" s="696" t="s">
        <v>1681</v>
      </c>
      <c r="J64" s="696" t="s">
        <v>1682</v>
      </c>
      <c r="K64" s="696" t="s">
        <v>1683</v>
      </c>
      <c r="L64" s="699">
        <v>410</v>
      </c>
      <c r="M64" s="699">
        <v>22550</v>
      </c>
      <c r="N64" s="696">
        <v>55</v>
      </c>
      <c r="O64" s="700">
        <v>54</v>
      </c>
      <c r="P64" s="699">
        <v>22550</v>
      </c>
      <c r="Q64" s="701">
        <v>1</v>
      </c>
      <c r="R64" s="696">
        <v>55</v>
      </c>
      <c r="S64" s="701">
        <v>1</v>
      </c>
      <c r="T64" s="700">
        <v>54</v>
      </c>
      <c r="U64" s="702">
        <v>1</v>
      </c>
    </row>
    <row r="65" spans="1:21" ht="14.4" customHeight="1" x14ac:dyDescent="0.3">
      <c r="A65" s="695">
        <v>31</v>
      </c>
      <c r="B65" s="696" t="s">
        <v>557</v>
      </c>
      <c r="C65" s="696">
        <v>89301311</v>
      </c>
      <c r="D65" s="697" t="s">
        <v>2234</v>
      </c>
      <c r="E65" s="698" t="s">
        <v>1601</v>
      </c>
      <c r="F65" s="696" t="s">
        <v>1590</v>
      </c>
      <c r="G65" s="696" t="s">
        <v>1680</v>
      </c>
      <c r="H65" s="696" t="s">
        <v>558</v>
      </c>
      <c r="I65" s="696" t="s">
        <v>1686</v>
      </c>
      <c r="J65" s="696" t="s">
        <v>1734</v>
      </c>
      <c r="K65" s="696" t="s">
        <v>1735</v>
      </c>
      <c r="L65" s="699">
        <v>566</v>
      </c>
      <c r="M65" s="699">
        <v>566</v>
      </c>
      <c r="N65" s="696">
        <v>1</v>
      </c>
      <c r="O65" s="700">
        <v>1</v>
      </c>
      <c r="P65" s="699">
        <v>566</v>
      </c>
      <c r="Q65" s="701">
        <v>1</v>
      </c>
      <c r="R65" s="696">
        <v>1</v>
      </c>
      <c r="S65" s="701">
        <v>1</v>
      </c>
      <c r="T65" s="700">
        <v>1</v>
      </c>
      <c r="U65" s="702">
        <v>1</v>
      </c>
    </row>
    <row r="66" spans="1:21" ht="14.4" customHeight="1" x14ac:dyDescent="0.3">
      <c r="A66" s="695">
        <v>31</v>
      </c>
      <c r="B66" s="696" t="s">
        <v>557</v>
      </c>
      <c r="C66" s="696">
        <v>89301311</v>
      </c>
      <c r="D66" s="697" t="s">
        <v>2234</v>
      </c>
      <c r="E66" s="698" t="s">
        <v>1601</v>
      </c>
      <c r="F66" s="696" t="s">
        <v>1590</v>
      </c>
      <c r="G66" s="696" t="s">
        <v>1689</v>
      </c>
      <c r="H66" s="696" t="s">
        <v>558</v>
      </c>
      <c r="I66" s="696" t="s">
        <v>1690</v>
      </c>
      <c r="J66" s="696" t="s">
        <v>1691</v>
      </c>
      <c r="K66" s="696" t="s">
        <v>1692</v>
      </c>
      <c r="L66" s="699">
        <v>35.75</v>
      </c>
      <c r="M66" s="699">
        <v>4111.25</v>
      </c>
      <c r="N66" s="696">
        <v>115</v>
      </c>
      <c r="O66" s="700">
        <v>48</v>
      </c>
      <c r="P66" s="699">
        <v>3360.5</v>
      </c>
      <c r="Q66" s="701">
        <v>0.81739130434782614</v>
      </c>
      <c r="R66" s="696">
        <v>94</v>
      </c>
      <c r="S66" s="701">
        <v>0.81739130434782614</v>
      </c>
      <c r="T66" s="700">
        <v>47</v>
      </c>
      <c r="U66" s="702">
        <v>0.97916666666666663</v>
      </c>
    </row>
    <row r="67" spans="1:21" ht="14.4" customHeight="1" x14ac:dyDescent="0.3">
      <c r="A67" s="695">
        <v>31</v>
      </c>
      <c r="B67" s="696" t="s">
        <v>557</v>
      </c>
      <c r="C67" s="696">
        <v>89301311</v>
      </c>
      <c r="D67" s="697" t="s">
        <v>2234</v>
      </c>
      <c r="E67" s="698" t="s">
        <v>1601</v>
      </c>
      <c r="F67" s="696" t="s">
        <v>1590</v>
      </c>
      <c r="G67" s="696" t="s">
        <v>1689</v>
      </c>
      <c r="H67" s="696" t="s">
        <v>558</v>
      </c>
      <c r="I67" s="696" t="s">
        <v>1736</v>
      </c>
      <c r="J67" s="696" t="s">
        <v>1691</v>
      </c>
      <c r="K67" s="696" t="s">
        <v>1737</v>
      </c>
      <c r="L67" s="699">
        <v>47.57</v>
      </c>
      <c r="M67" s="699">
        <v>95.14</v>
      </c>
      <c r="N67" s="696">
        <v>2</v>
      </c>
      <c r="O67" s="700">
        <v>1</v>
      </c>
      <c r="P67" s="699">
        <v>95.14</v>
      </c>
      <c r="Q67" s="701">
        <v>1</v>
      </c>
      <c r="R67" s="696">
        <v>2</v>
      </c>
      <c r="S67" s="701">
        <v>1</v>
      </c>
      <c r="T67" s="700">
        <v>1</v>
      </c>
      <c r="U67" s="702">
        <v>1</v>
      </c>
    </row>
    <row r="68" spans="1:21" ht="14.4" customHeight="1" x14ac:dyDescent="0.3">
      <c r="A68" s="695">
        <v>31</v>
      </c>
      <c r="B68" s="696" t="s">
        <v>557</v>
      </c>
      <c r="C68" s="696">
        <v>89301311</v>
      </c>
      <c r="D68" s="697" t="s">
        <v>2234</v>
      </c>
      <c r="E68" s="698" t="s">
        <v>1601</v>
      </c>
      <c r="F68" s="696" t="s">
        <v>1590</v>
      </c>
      <c r="G68" s="696" t="s">
        <v>1693</v>
      </c>
      <c r="H68" s="696" t="s">
        <v>558</v>
      </c>
      <c r="I68" s="696" t="s">
        <v>1694</v>
      </c>
      <c r="J68" s="696" t="s">
        <v>1695</v>
      </c>
      <c r="K68" s="696" t="s">
        <v>1696</v>
      </c>
      <c r="L68" s="699">
        <v>260</v>
      </c>
      <c r="M68" s="699">
        <v>520</v>
      </c>
      <c r="N68" s="696">
        <v>2</v>
      </c>
      <c r="O68" s="700">
        <v>1</v>
      </c>
      <c r="P68" s="699">
        <v>520</v>
      </c>
      <c r="Q68" s="701">
        <v>1</v>
      </c>
      <c r="R68" s="696">
        <v>2</v>
      </c>
      <c r="S68" s="701">
        <v>1</v>
      </c>
      <c r="T68" s="700">
        <v>1</v>
      </c>
      <c r="U68" s="702">
        <v>1</v>
      </c>
    </row>
    <row r="69" spans="1:21" ht="14.4" customHeight="1" x14ac:dyDescent="0.3">
      <c r="A69" s="695">
        <v>31</v>
      </c>
      <c r="B69" s="696" t="s">
        <v>557</v>
      </c>
      <c r="C69" s="696">
        <v>89301311</v>
      </c>
      <c r="D69" s="697" t="s">
        <v>2234</v>
      </c>
      <c r="E69" s="698" t="s">
        <v>1601</v>
      </c>
      <c r="F69" s="696" t="s">
        <v>1590</v>
      </c>
      <c r="G69" s="696" t="s">
        <v>1693</v>
      </c>
      <c r="H69" s="696" t="s">
        <v>558</v>
      </c>
      <c r="I69" s="696" t="s">
        <v>1697</v>
      </c>
      <c r="J69" s="696" t="s">
        <v>1698</v>
      </c>
      <c r="K69" s="696" t="s">
        <v>1699</v>
      </c>
      <c r="L69" s="699">
        <v>200</v>
      </c>
      <c r="M69" s="699">
        <v>7800</v>
      </c>
      <c r="N69" s="696">
        <v>39</v>
      </c>
      <c r="O69" s="700">
        <v>20</v>
      </c>
      <c r="P69" s="699">
        <v>7600</v>
      </c>
      <c r="Q69" s="701">
        <v>0.97435897435897434</v>
      </c>
      <c r="R69" s="696">
        <v>38</v>
      </c>
      <c r="S69" s="701">
        <v>0.97435897435897434</v>
      </c>
      <c r="T69" s="700">
        <v>19</v>
      </c>
      <c r="U69" s="702">
        <v>0.95</v>
      </c>
    </row>
    <row r="70" spans="1:21" ht="14.4" customHeight="1" x14ac:dyDescent="0.3">
      <c r="A70" s="695">
        <v>31</v>
      </c>
      <c r="B70" s="696" t="s">
        <v>557</v>
      </c>
      <c r="C70" s="696">
        <v>89301311</v>
      </c>
      <c r="D70" s="697" t="s">
        <v>2234</v>
      </c>
      <c r="E70" s="698" t="s">
        <v>1601</v>
      </c>
      <c r="F70" s="696" t="s">
        <v>1590</v>
      </c>
      <c r="G70" s="696" t="s">
        <v>1693</v>
      </c>
      <c r="H70" s="696" t="s">
        <v>558</v>
      </c>
      <c r="I70" s="696" t="s">
        <v>1738</v>
      </c>
      <c r="J70" s="696" t="s">
        <v>1739</v>
      </c>
      <c r="K70" s="696" t="s">
        <v>1740</v>
      </c>
      <c r="L70" s="699">
        <v>1200</v>
      </c>
      <c r="M70" s="699">
        <v>1200</v>
      </c>
      <c r="N70" s="696">
        <v>1</v>
      </c>
      <c r="O70" s="700">
        <v>1</v>
      </c>
      <c r="P70" s="699">
        <v>1200</v>
      </c>
      <c r="Q70" s="701">
        <v>1</v>
      </c>
      <c r="R70" s="696">
        <v>1</v>
      </c>
      <c r="S70" s="701">
        <v>1</v>
      </c>
      <c r="T70" s="700">
        <v>1</v>
      </c>
      <c r="U70" s="702">
        <v>1</v>
      </c>
    </row>
    <row r="71" spans="1:21" ht="14.4" customHeight="1" x14ac:dyDescent="0.3">
      <c r="A71" s="695">
        <v>31</v>
      </c>
      <c r="B71" s="696" t="s">
        <v>557</v>
      </c>
      <c r="C71" s="696">
        <v>89301311</v>
      </c>
      <c r="D71" s="697" t="s">
        <v>2234</v>
      </c>
      <c r="E71" s="698" t="s">
        <v>1601</v>
      </c>
      <c r="F71" s="696" t="s">
        <v>1590</v>
      </c>
      <c r="G71" s="696" t="s">
        <v>1693</v>
      </c>
      <c r="H71" s="696" t="s">
        <v>558</v>
      </c>
      <c r="I71" s="696" t="s">
        <v>1741</v>
      </c>
      <c r="J71" s="696" t="s">
        <v>1742</v>
      </c>
      <c r="K71" s="696" t="s">
        <v>1743</v>
      </c>
      <c r="L71" s="699">
        <v>2565</v>
      </c>
      <c r="M71" s="699">
        <v>2565</v>
      </c>
      <c r="N71" s="696">
        <v>1</v>
      </c>
      <c r="O71" s="700">
        <v>1</v>
      </c>
      <c r="P71" s="699"/>
      <c r="Q71" s="701">
        <v>0</v>
      </c>
      <c r="R71" s="696"/>
      <c r="S71" s="701">
        <v>0</v>
      </c>
      <c r="T71" s="700"/>
      <c r="U71" s="702">
        <v>0</v>
      </c>
    </row>
    <row r="72" spans="1:21" ht="14.4" customHeight="1" x14ac:dyDescent="0.3">
      <c r="A72" s="695">
        <v>31</v>
      </c>
      <c r="B72" s="696" t="s">
        <v>557</v>
      </c>
      <c r="C72" s="696">
        <v>89301311</v>
      </c>
      <c r="D72" s="697" t="s">
        <v>2234</v>
      </c>
      <c r="E72" s="698" t="s">
        <v>1601</v>
      </c>
      <c r="F72" s="696" t="s">
        <v>1590</v>
      </c>
      <c r="G72" s="696" t="s">
        <v>1700</v>
      </c>
      <c r="H72" s="696" t="s">
        <v>558</v>
      </c>
      <c r="I72" s="696" t="s">
        <v>1704</v>
      </c>
      <c r="J72" s="696" t="s">
        <v>1705</v>
      </c>
      <c r="K72" s="696" t="s">
        <v>1706</v>
      </c>
      <c r="L72" s="699">
        <v>199.5</v>
      </c>
      <c r="M72" s="699">
        <v>399</v>
      </c>
      <c r="N72" s="696">
        <v>2</v>
      </c>
      <c r="O72" s="700">
        <v>2</v>
      </c>
      <c r="P72" s="699">
        <v>199.5</v>
      </c>
      <c r="Q72" s="701">
        <v>0.5</v>
      </c>
      <c r="R72" s="696">
        <v>1</v>
      </c>
      <c r="S72" s="701">
        <v>0.5</v>
      </c>
      <c r="T72" s="700">
        <v>1</v>
      </c>
      <c r="U72" s="702">
        <v>0.5</v>
      </c>
    </row>
    <row r="73" spans="1:21" ht="14.4" customHeight="1" x14ac:dyDescent="0.3">
      <c r="A73" s="695">
        <v>31</v>
      </c>
      <c r="B73" s="696" t="s">
        <v>557</v>
      </c>
      <c r="C73" s="696">
        <v>89301311</v>
      </c>
      <c r="D73" s="697" t="s">
        <v>2234</v>
      </c>
      <c r="E73" s="698" t="s">
        <v>1601</v>
      </c>
      <c r="F73" s="696" t="s">
        <v>1590</v>
      </c>
      <c r="G73" s="696" t="s">
        <v>1700</v>
      </c>
      <c r="H73" s="696" t="s">
        <v>558</v>
      </c>
      <c r="I73" s="696" t="s">
        <v>1707</v>
      </c>
      <c r="J73" s="696" t="s">
        <v>1708</v>
      </c>
      <c r="K73" s="696" t="s">
        <v>1709</v>
      </c>
      <c r="L73" s="699">
        <v>492.18</v>
      </c>
      <c r="M73" s="699">
        <v>1476.54</v>
      </c>
      <c r="N73" s="696">
        <v>3</v>
      </c>
      <c r="O73" s="700">
        <v>3</v>
      </c>
      <c r="P73" s="699">
        <v>1476.54</v>
      </c>
      <c r="Q73" s="701">
        <v>1</v>
      </c>
      <c r="R73" s="696">
        <v>3</v>
      </c>
      <c r="S73" s="701">
        <v>1</v>
      </c>
      <c r="T73" s="700">
        <v>3</v>
      </c>
      <c r="U73" s="702">
        <v>1</v>
      </c>
    </row>
    <row r="74" spans="1:21" ht="14.4" customHeight="1" x14ac:dyDescent="0.3">
      <c r="A74" s="695">
        <v>31</v>
      </c>
      <c r="B74" s="696" t="s">
        <v>557</v>
      </c>
      <c r="C74" s="696">
        <v>89301311</v>
      </c>
      <c r="D74" s="697" t="s">
        <v>2234</v>
      </c>
      <c r="E74" s="698" t="s">
        <v>1601</v>
      </c>
      <c r="F74" s="696" t="s">
        <v>1590</v>
      </c>
      <c r="G74" s="696" t="s">
        <v>1700</v>
      </c>
      <c r="H74" s="696" t="s">
        <v>558</v>
      </c>
      <c r="I74" s="696" t="s">
        <v>1710</v>
      </c>
      <c r="J74" s="696" t="s">
        <v>1711</v>
      </c>
      <c r="K74" s="696" t="s">
        <v>1712</v>
      </c>
      <c r="L74" s="699">
        <v>750</v>
      </c>
      <c r="M74" s="699">
        <v>750</v>
      </c>
      <c r="N74" s="696">
        <v>1</v>
      </c>
      <c r="O74" s="700">
        <v>1</v>
      </c>
      <c r="P74" s="699">
        <v>750</v>
      </c>
      <c r="Q74" s="701">
        <v>1</v>
      </c>
      <c r="R74" s="696">
        <v>1</v>
      </c>
      <c r="S74" s="701">
        <v>1</v>
      </c>
      <c r="T74" s="700">
        <v>1</v>
      </c>
      <c r="U74" s="702">
        <v>1</v>
      </c>
    </row>
    <row r="75" spans="1:21" ht="14.4" customHeight="1" x14ac:dyDescent="0.3">
      <c r="A75" s="695">
        <v>31</v>
      </c>
      <c r="B75" s="696" t="s">
        <v>557</v>
      </c>
      <c r="C75" s="696">
        <v>89301311</v>
      </c>
      <c r="D75" s="697" t="s">
        <v>2234</v>
      </c>
      <c r="E75" s="698" t="s">
        <v>1601</v>
      </c>
      <c r="F75" s="696" t="s">
        <v>1590</v>
      </c>
      <c r="G75" s="696" t="s">
        <v>1700</v>
      </c>
      <c r="H75" s="696" t="s">
        <v>558</v>
      </c>
      <c r="I75" s="696" t="s">
        <v>1715</v>
      </c>
      <c r="J75" s="696" t="s">
        <v>1716</v>
      </c>
      <c r="K75" s="696" t="s">
        <v>1717</v>
      </c>
      <c r="L75" s="699">
        <v>971.25</v>
      </c>
      <c r="M75" s="699">
        <v>2913.75</v>
      </c>
      <c r="N75" s="696">
        <v>3</v>
      </c>
      <c r="O75" s="700">
        <v>3</v>
      </c>
      <c r="P75" s="699">
        <v>1942.5</v>
      </c>
      <c r="Q75" s="701">
        <v>0.66666666666666663</v>
      </c>
      <c r="R75" s="696">
        <v>2</v>
      </c>
      <c r="S75" s="701">
        <v>0.66666666666666663</v>
      </c>
      <c r="T75" s="700">
        <v>2</v>
      </c>
      <c r="U75" s="702">
        <v>0.66666666666666663</v>
      </c>
    </row>
    <row r="76" spans="1:21" ht="14.4" customHeight="1" x14ac:dyDescent="0.3">
      <c r="A76" s="695">
        <v>31</v>
      </c>
      <c r="B76" s="696" t="s">
        <v>557</v>
      </c>
      <c r="C76" s="696">
        <v>89301311</v>
      </c>
      <c r="D76" s="697" t="s">
        <v>2234</v>
      </c>
      <c r="E76" s="698" t="s">
        <v>1601</v>
      </c>
      <c r="F76" s="696" t="s">
        <v>1590</v>
      </c>
      <c r="G76" s="696" t="s">
        <v>1700</v>
      </c>
      <c r="H76" s="696" t="s">
        <v>558</v>
      </c>
      <c r="I76" s="696" t="s">
        <v>1744</v>
      </c>
      <c r="J76" s="696" t="s">
        <v>1745</v>
      </c>
      <c r="K76" s="696" t="s">
        <v>1746</v>
      </c>
      <c r="L76" s="699">
        <v>2010.55</v>
      </c>
      <c r="M76" s="699">
        <v>4021.1</v>
      </c>
      <c r="N76" s="696">
        <v>2</v>
      </c>
      <c r="O76" s="700">
        <v>2</v>
      </c>
      <c r="P76" s="699">
        <v>4021.1</v>
      </c>
      <c r="Q76" s="701">
        <v>1</v>
      </c>
      <c r="R76" s="696">
        <v>2</v>
      </c>
      <c r="S76" s="701">
        <v>1</v>
      </c>
      <c r="T76" s="700">
        <v>2</v>
      </c>
      <c r="U76" s="702">
        <v>1</v>
      </c>
    </row>
    <row r="77" spans="1:21" ht="14.4" customHeight="1" x14ac:dyDescent="0.3">
      <c r="A77" s="695">
        <v>31</v>
      </c>
      <c r="B77" s="696" t="s">
        <v>557</v>
      </c>
      <c r="C77" s="696">
        <v>89301311</v>
      </c>
      <c r="D77" s="697" t="s">
        <v>2234</v>
      </c>
      <c r="E77" s="698" t="s">
        <v>1601</v>
      </c>
      <c r="F77" s="696" t="s">
        <v>1590</v>
      </c>
      <c r="G77" s="696" t="s">
        <v>1700</v>
      </c>
      <c r="H77" s="696" t="s">
        <v>558</v>
      </c>
      <c r="I77" s="696" t="s">
        <v>1718</v>
      </c>
      <c r="J77" s="696" t="s">
        <v>1719</v>
      </c>
      <c r="K77" s="696"/>
      <c r="L77" s="699">
        <v>500</v>
      </c>
      <c r="M77" s="699">
        <v>500</v>
      </c>
      <c r="N77" s="696">
        <v>1</v>
      </c>
      <c r="O77" s="700">
        <v>1</v>
      </c>
      <c r="P77" s="699">
        <v>500</v>
      </c>
      <c r="Q77" s="701">
        <v>1</v>
      </c>
      <c r="R77" s="696">
        <v>1</v>
      </c>
      <c r="S77" s="701">
        <v>1</v>
      </c>
      <c r="T77" s="700">
        <v>1</v>
      </c>
      <c r="U77" s="702">
        <v>1</v>
      </c>
    </row>
    <row r="78" spans="1:21" ht="14.4" customHeight="1" x14ac:dyDescent="0.3">
      <c r="A78" s="695">
        <v>31</v>
      </c>
      <c r="B78" s="696" t="s">
        <v>557</v>
      </c>
      <c r="C78" s="696">
        <v>89301311</v>
      </c>
      <c r="D78" s="697" t="s">
        <v>2234</v>
      </c>
      <c r="E78" s="698" t="s">
        <v>1601</v>
      </c>
      <c r="F78" s="696" t="s">
        <v>1590</v>
      </c>
      <c r="G78" s="696" t="s">
        <v>1700</v>
      </c>
      <c r="H78" s="696" t="s">
        <v>558</v>
      </c>
      <c r="I78" s="696" t="s">
        <v>1747</v>
      </c>
      <c r="J78" s="696" t="s">
        <v>1748</v>
      </c>
      <c r="K78" s="696" t="s">
        <v>1749</v>
      </c>
      <c r="L78" s="699">
        <v>349.12</v>
      </c>
      <c r="M78" s="699">
        <v>349.12</v>
      </c>
      <c r="N78" s="696">
        <v>1</v>
      </c>
      <c r="O78" s="700">
        <v>1</v>
      </c>
      <c r="P78" s="699">
        <v>349.12</v>
      </c>
      <c r="Q78" s="701">
        <v>1</v>
      </c>
      <c r="R78" s="696">
        <v>1</v>
      </c>
      <c r="S78" s="701">
        <v>1</v>
      </c>
      <c r="T78" s="700">
        <v>1</v>
      </c>
      <c r="U78" s="702">
        <v>1</v>
      </c>
    </row>
    <row r="79" spans="1:21" ht="14.4" customHeight="1" x14ac:dyDescent="0.3">
      <c r="A79" s="695">
        <v>31</v>
      </c>
      <c r="B79" s="696" t="s">
        <v>557</v>
      </c>
      <c r="C79" s="696">
        <v>89301311</v>
      </c>
      <c r="D79" s="697" t="s">
        <v>2234</v>
      </c>
      <c r="E79" s="698" t="s">
        <v>1602</v>
      </c>
      <c r="F79" s="696" t="s">
        <v>1588</v>
      </c>
      <c r="G79" s="696" t="s">
        <v>1617</v>
      </c>
      <c r="H79" s="696" t="s">
        <v>558</v>
      </c>
      <c r="I79" s="696" t="s">
        <v>1750</v>
      </c>
      <c r="J79" s="696" t="s">
        <v>1751</v>
      </c>
      <c r="K79" s="696" t="s">
        <v>1752</v>
      </c>
      <c r="L79" s="699">
        <v>0</v>
      </c>
      <c r="M79" s="699">
        <v>0</v>
      </c>
      <c r="N79" s="696">
        <v>1</v>
      </c>
      <c r="O79" s="700">
        <v>0.5</v>
      </c>
      <c r="P79" s="699"/>
      <c r="Q79" s="701"/>
      <c r="R79" s="696"/>
      <c r="S79" s="701">
        <v>0</v>
      </c>
      <c r="T79" s="700"/>
      <c r="U79" s="702">
        <v>0</v>
      </c>
    </row>
    <row r="80" spans="1:21" ht="14.4" customHeight="1" x14ac:dyDescent="0.3">
      <c r="A80" s="695">
        <v>31</v>
      </c>
      <c r="B80" s="696" t="s">
        <v>557</v>
      </c>
      <c r="C80" s="696">
        <v>89301311</v>
      </c>
      <c r="D80" s="697" t="s">
        <v>2234</v>
      </c>
      <c r="E80" s="698" t="s">
        <v>1602</v>
      </c>
      <c r="F80" s="696" t="s">
        <v>1588</v>
      </c>
      <c r="G80" s="696" t="s">
        <v>1725</v>
      </c>
      <c r="H80" s="696" t="s">
        <v>558</v>
      </c>
      <c r="I80" s="696" t="s">
        <v>715</v>
      </c>
      <c r="J80" s="696" t="s">
        <v>716</v>
      </c>
      <c r="K80" s="696" t="s">
        <v>1753</v>
      </c>
      <c r="L80" s="699">
        <v>0</v>
      </c>
      <c r="M80" s="699">
        <v>0</v>
      </c>
      <c r="N80" s="696">
        <v>2</v>
      </c>
      <c r="O80" s="700">
        <v>0.5</v>
      </c>
      <c r="P80" s="699"/>
      <c r="Q80" s="701"/>
      <c r="R80" s="696"/>
      <c r="S80" s="701">
        <v>0</v>
      </c>
      <c r="T80" s="700"/>
      <c r="U80" s="702">
        <v>0</v>
      </c>
    </row>
    <row r="81" spans="1:21" ht="14.4" customHeight="1" x14ac:dyDescent="0.3">
      <c r="A81" s="695">
        <v>31</v>
      </c>
      <c r="B81" s="696" t="s">
        <v>557</v>
      </c>
      <c r="C81" s="696">
        <v>89301311</v>
      </c>
      <c r="D81" s="697" t="s">
        <v>2234</v>
      </c>
      <c r="E81" s="698" t="s">
        <v>1602</v>
      </c>
      <c r="F81" s="696" t="s">
        <v>1588</v>
      </c>
      <c r="G81" s="696" t="s">
        <v>1645</v>
      </c>
      <c r="H81" s="696" t="s">
        <v>914</v>
      </c>
      <c r="I81" s="696" t="s">
        <v>1045</v>
      </c>
      <c r="J81" s="696" t="s">
        <v>1046</v>
      </c>
      <c r="K81" s="696" t="s">
        <v>1047</v>
      </c>
      <c r="L81" s="699">
        <v>154.01</v>
      </c>
      <c r="M81" s="699">
        <v>308.02</v>
      </c>
      <c r="N81" s="696">
        <v>2</v>
      </c>
      <c r="O81" s="700">
        <v>0.5</v>
      </c>
      <c r="P81" s="699">
        <v>308.02</v>
      </c>
      <c r="Q81" s="701">
        <v>1</v>
      </c>
      <c r="R81" s="696">
        <v>2</v>
      </c>
      <c r="S81" s="701">
        <v>1</v>
      </c>
      <c r="T81" s="700">
        <v>0.5</v>
      </c>
      <c r="U81" s="702">
        <v>1</v>
      </c>
    </row>
    <row r="82" spans="1:21" ht="14.4" customHeight="1" x14ac:dyDescent="0.3">
      <c r="A82" s="695">
        <v>31</v>
      </c>
      <c r="B82" s="696" t="s">
        <v>557</v>
      </c>
      <c r="C82" s="696">
        <v>89301311</v>
      </c>
      <c r="D82" s="697" t="s">
        <v>2234</v>
      </c>
      <c r="E82" s="698" t="s">
        <v>1602</v>
      </c>
      <c r="F82" s="696" t="s">
        <v>1588</v>
      </c>
      <c r="G82" s="696" t="s">
        <v>1614</v>
      </c>
      <c r="H82" s="696" t="s">
        <v>914</v>
      </c>
      <c r="I82" s="696" t="s">
        <v>1367</v>
      </c>
      <c r="J82" s="696" t="s">
        <v>1317</v>
      </c>
      <c r="K82" s="696" t="s">
        <v>1368</v>
      </c>
      <c r="L82" s="699">
        <v>625.29</v>
      </c>
      <c r="M82" s="699">
        <v>5002.32</v>
      </c>
      <c r="N82" s="696">
        <v>8</v>
      </c>
      <c r="O82" s="700">
        <v>5.5</v>
      </c>
      <c r="P82" s="699">
        <v>3126.45</v>
      </c>
      <c r="Q82" s="701">
        <v>0.625</v>
      </c>
      <c r="R82" s="696">
        <v>5</v>
      </c>
      <c r="S82" s="701">
        <v>0.625</v>
      </c>
      <c r="T82" s="700">
        <v>4</v>
      </c>
      <c r="U82" s="702">
        <v>0.72727272727272729</v>
      </c>
    </row>
    <row r="83" spans="1:21" ht="14.4" customHeight="1" x14ac:dyDescent="0.3">
      <c r="A83" s="695">
        <v>31</v>
      </c>
      <c r="B83" s="696" t="s">
        <v>557</v>
      </c>
      <c r="C83" s="696">
        <v>89301311</v>
      </c>
      <c r="D83" s="697" t="s">
        <v>2234</v>
      </c>
      <c r="E83" s="698" t="s">
        <v>1602</v>
      </c>
      <c r="F83" s="696" t="s">
        <v>1588</v>
      </c>
      <c r="G83" s="696" t="s">
        <v>1651</v>
      </c>
      <c r="H83" s="696" t="s">
        <v>914</v>
      </c>
      <c r="I83" s="696" t="s">
        <v>916</v>
      </c>
      <c r="J83" s="696" t="s">
        <v>917</v>
      </c>
      <c r="K83" s="696" t="s">
        <v>1543</v>
      </c>
      <c r="L83" s="699">
        <v>96.63</v>
      </c>
      <c r="M83" s="699">
        <v>289.89</v>
      </c>
      <c r="N83" s="696">
        <v>3</v>
      </c>
      <c r="O83" s="700">
        <v>3</v>
      </c>
      <c r="P83" s="699">
        <v>96.63</v>
      </c>
      <c r="Q83" s="701">
        <v>0.33333333333333331</v>
      </c>
      <c r="R83" s="696">
        <v>1</v>
      </c>
      <c r="S83" s="701">
        <v>0.33333333333333331</v>
      </c>
      <c r="T83" s="700">
        <v>1</v>
      </c>
      <c r="U83" s="702">
        <v>0.33333333333333331</v>
      </c>
    </row>
    <row r="84" spans="1:21" ht="14.4" customHeight="1" x14ac:dyDescent="0.3">
      <c r="A84" s="695">
        <v>31</v>
      </c>
      <c r="B84" s="696" t="s">
        <v>557</v>
      </c>
      <c r="C84" s="696">
        <v>89301311</v>
      </c>
      <c r="D84" s="697" t="s">
        <v>2234</v>
      </c>
      <c r="E84" s="698" t="s">
        <v>1602</v>
      </c>
      <c r="F84" s="696" t="s">
        <v>1588</v>
      </c>
      <c r="G84" s="696" t="s">
        <v>1665</v>
      </c>
      <c r="H84" s="696" t="s">
        <v>558</v>
      </c>
      <c r="I84" s="696" t="s">
        <v>1666</v>
      </c>
      <c r="J84" s="696" t="s">
        <v>731</v>
      </c>
      <c r="K84" s="696" t="s">
        <v>1667</v>
      </c>
      <c r="L84" s="699">
        <v>112.13</v>
      </c>
      <c r="M84" s="699">
        <v>112.13</v>
      </c>
      <c r="N84" s="696">
        <v>1</v>
      </c>
      <c r="O84" s="700">
        <v>0.5</v>
      </c>
      <c r="P84" s="699"/>
      <c r="Q84" s="701">
        <v>0</v>
      </c>
      <c r="R84" s="696"/>
      <c r="S84" s="701">
        <v>0</v>
      </c>
      <c r="T84" s="700"/>
      <c r="U84" s="702">
        <v>0</v>
      </c>
    </row>
    <row r="85" spans="1:21" ht="14.4" customHeight="1" x14ac:dyDescent="0.3">
      <c r="A85" s="695">
        <v>31</v>
      </c>
      <c r="B85" s="696" t="s">
        <v>557</v>
      </c>
      <c r="C85" s="696">
        <v>89301311</v>
      </c>
      <c r="D85" s="697" t="s">
        <v>2234</v>
      </c>
      <c r="E85" s="698" t="s">
        <v>1602</v>
      </c>
      <c r="F85" s="696" t="s">
        <v>1588</v>
      </c>
      <c r="G85" s="696" t="s">
        <v>1668</v>
      </c>
      <c r="H85" s="696" t="s">
        <v>558</v>
      </c>
      <c r="I85" s="696" t="s">
        <v>647</v>
      </c>
      <c r="J85" s="696" t="s">
        <v>1669</v>
      </c>
      <c r="K85" s="696" t="s">
        <v>1670</v>
      </c>
      <c r="L85" s="699">
        <v>0</v>
      </c>
      <c r="M85" s="699">
        <v>0</v>
      </c>
      <c r="N85" s="696">
        <v>10</v>
      </c>
      <c r="O85" s="700">
        <v>8</v>
      </c>
      <c r="P85" s="699">
        <v>0</v>
      </c>
      <c r="Q85" s="701"/>
      <c r="R85" s="696">
        <v>1</v>
      </c>
      <c r="S85" s="701">
        <v>0.1</v>
      </c>
      <c r="T85" s="700">
        <v>0.5</v>
      </c>
      <c r="U85" s="702">
        <v>6.25E-2</v>
      </c>
    </row>
    <row r="86" spans="1:21" ht="14.4" customHeight="1" x14ac:dyDescent="0.3">
      <c r="A86" s="695">
        <v>31</v>
      </c>
      <c r="B86" s="696" t="s">
        <v>557</v>
      </c>
      <c r="C86" s="696">
        <v>89301311</v>
      </c>
      <c r="D86" s="697" t="s">
        <v>2234</v>
      </c>
      <c r="E86" s="698" t="s">
        <v>1602</v>
      </c>
      <c r="F86" s="696" t="s">
        <v>1588</v>
      </c>
      <c r="G86" s="696" t="s">
        <v>1615</v>
      </c>
      <c r="H86" s="696" t="s">
        <v>558</v>
      </c>
      <c r="I86" s="696" t="s">
        <v>988</v>
      </c>
      <c r="J86" s="696" t="s">
        <v>989</v>
      </c>
      <c r="K86" s="696" t="s">
        <v>1616</v>
      </c>
      <c r="L86" s="699">
        <v>194.73</v>
      </c>
      <c r="M86" s="699">
        <v>584.18999999999994</v>
      </c>
      <c r="N86" s="696">
        <v>3</v>
      </c>
      <c r="O86" s="700">
        <v>1</v>
      </c>
      <c r="P86" s="699"/>
      <c r="Q86" s="701">
        <v>0</v>
      </c>
      <c r="R86" s="696"/>
      <c r="S86" s="701">
        <v>0</v>
      </c>
      <c r="T86" s="700"/>
      <c r="U86" s="702">
        <v>0</v>
      </c>
    </row>
    <row r="87" spans="1:21" ht="14.4" customHeight="1" x14ac:dyDescent="0.3">
      <c r="A87" s="695">
        <v>31</v>
      </c>
      <c r="B87" s="696" t="s">
        <v>557</v>
      </c>
      <c r="C87" s="696">
        <v>89301311</v>
      </c>
      <c r="D87" s="697" t="s">
        <v>2234</v>
      </c>
      <c r="E87" s="698" t="s">
        <v>1602</v>
      </c>
      <c r="F87" s="696" t="s">
        <v>1588</v>
      </c>
      <c r="G87" s="696" t="s">
        <v>1675</v>
      </c>
      <c r="H87" s="696" t="s">
        <v>914</v>
      </c>
      <c r="I87" s="696" t="s">
        <v>1754</v>
      </c>
      <c r="J87" s="696" t="s">
        <v>929</v>
      </c>
      <c r="K87" s="696" t="s">
        <v>1755</v>
      </c>
      <c r="L87" s="699">
        <v>163.72999999999999</v>
      </c>
      <c r="M87" s="699">
        <v>163.72999999999999</v>
      </c>
      <c r="N87" s="696">
        <v>1</v>
      </c>
      <c r="O87" s="700">
        <v>0.5</v>
      </c>
      <c r="P87" s="699"/>
      <c r="Q87" s="701">
        <v>0</v>
      </c>
      <c r="R87" s="696"/>
      <c r="S87" s="701">
        <v>0</v>
      </c>
      <c r="T87" s="700"/>
      <c r="U87" s="702">
        <v>0</v>
      </c>
    </row>
    <row r="88" spans="1:21" ht="14.4" customHeight="1" x14ac:dyDescent="0.3">
      <c r="A88" s="695">
        <v>31</v>
      </c>
      <c r="B88" s="696" t="s">
        <v>557</v>
      </c>
      <c r="C88" s="696">
        <v>89301311</v>
      </c>
      <c r="D88" s="697" t="s">
        <v>2234</v>
      </c>
      <c r="E88" s="698" t="s">
        <v>1603</v>
      </c>
      <c r="F88" s="696" t="s">
        <v>1588</v>
      </c>
      <c r="G88" s="696" t="s">
        <v>1756</v>
      </c>
      <c r="H88" s="696" t="s">
        <v>558</v>
      </c>
      <c r="I88" s="696" t="s">
        <v>972</v>
      </c>
      <c r="J88" s="696" t="s">
        <v>973</v>
      </c>
      <c r="K88" s="696" t="s">
        <v>1757</v>
      </c>
      <c r="L88" s="699">
        <v>31.54</v>
      </c>
      <c r="M88" s="699">
        <v>63.08</v>
      </c>
      <c r="N88" s="696">
        <v>2</v>
      </c>
      <c r="O88" s="700">
        <v>0.5</v>
      </c>
      <c r="P88" s="699"/>
      <c r="Q88" s="701">
        <v>0</v>
      </c>
      <c r="R88" s="696"/>
      <c r="S88" s="701">
        <v>0</v>
      </c>
      <c r="T88" s="700"/>
      <c r="U88" s="702">
        <v>0</v>
      </c>
    </row>
    <row r="89" spans="1:21" ht="14.4" customHeight="1" x14ac:dyDescent="0.3">
      <c r="A89" s="695">
        <v>31</v>
      </c>
      <c r="B89" s="696" t="s">
        <v>557</v>
      </c>
      <c r="C89" s="696">
        <v>89301311</v>
      </c>
      <c r="D89" s="697" t="s">
        <v>2234</v>
      </c>
      <c r="E89" s="698" t="s">
        <v>1603</v>
      </c>
      <c r="F89" s="696" t="s">
        <v>1588</v>
      </c>
      <c r="G89" s="696" t="s">
        <v>1614</v>
      </c>
      <c r="H89" s="696" t="s">
        <v>914</v>
      </c>
      <c r="I89" s="696" t="s">
        <v>1367</v>
      </c>
      <c r="J89" s="696" t="s">
        <v>1317</v>
      </c>
      <c r="K89" s="696" t="s">
        <v>1368</v>
      </c>
      <c r="L89" s="699">
        <v>625.29</v>
      </c>
      <c r="M89" s="699">
        <v>3126.45</v>
      </c>
      <c r="N89" s="696">
        <v>5</v>
      </c>
      <c r="O89" s="700">
        <v>2.5</v>
      </c>
      <c r="P89" s="699">
        <v>1250.58</v>
      </c>
      <c r="Q89" s="701">
        <v>0.4</v>
      </c>
      <c r="R89" s="696">
        <v>2</v>
      </c>
      <c r="S89" s="701">
        <v>0.4</v>
      </c>
      <c r="T89" s="700">
        <v>1</v>
      </c>
      <c r="U89" s="702">
        <v>0.4</v>
      </c>
    </row>
    <row r="90" spans="1:21" ht="14.4" customHeight="1" x14ac:dyDescent="0.3">
      <c r="A90" s="695">
        <v>31</v>
      </c>
      <c r="B90" s="696" t="s">
        <v>557</v>
      </c>
      <c r="C90" s="696">
        <v>89301311</v>
      </c>
      <c r="D90" s="697" t="s">
        <v>2234</v>
      </c>
      <c r="E90" s="698" t="s">
        <v>1603</v>
      </c>
      <c r="F90" s="696" t="s">
        <v>1588</v>
      </c>
      <c r="G90" s="696" t="s">
        <v>1651</v>
      </c>
      <c r="H90" s="696" t="s">
        <v>914</v>
      </c>
      <c r="I90" s="696" t="s">
        <v>944</v>
      </c>
      <c r="J90" s="696" t="s">
        <v>917</v>
      </c>
      <c r="K90" s="696" t="s">
        <v>1542</v>
      </c>
      <c r="L90" s="699">
        <v>48.31</v>
      </c>
      <c r="M90" s="699">
        <v>144.93</v>
      </c>
      <c r="N90" s="696">
        <v>3</v>
      </c>
      <c r="O90" s="700">
        <v>3</v>
      </c>
      <c r="P90" s="699"/>
      <c r="Q90" s="701">
        <v>0</v>
      </c>
      <c r="R90" s="696"/>
      <c r="S90" s="701">
        <v>0</v>
      </c>
      <c r="T90" s="700"/>
      <c r="U90" s="702">
        <v>0</v>
      </c>
    </row>
    <row r="91" spans="1:21" ht="14.4" customHeight="1" x14ac:dyDescent="0.3">
      <c r="A91" s="695">
        <v>31</v>
      </c>
      <c r="B91" s="696" t="s">
        <v>557</v>
      </c>
      <c r="C91" s="696">
        <v>89301311</v>
      </c>
      <c r="D91" s="697" t="s">
        <v>2234</v>
      </c>
      <c r="E91" s="698" t="s">
        <v>1603</v>
      </c>
      <c r="F91" s="696" t="s">
        <v>1588</v>
      </c>
      <c r="G91" s="696" t="s">
        <v>1668</v>
      </c>
      <c r="H91" s="696" t="s">
        <v>558</v>
      </c>
      <c r="I91" s="696" t="s">
        <v>647</v>
      </c>
      <c r="J91" s="696" t="s">
        <v>1669</v>
      </c>
      <c r="K91" s="696" t="s">
        <v>1670</v>
      </c>
      <c r="L91" s="699">
        <v>0</v>
      </c>
      <c r="M91" s="699">
        <v>0</v>
      </c>
      <c r="N91" s="696">
        <v>13</v>
      </c>
      <c r="O91" s="700">
        <v>10.5</v>
      </c>
      <c r="P91" s="699">
        <v>0</v>
      </c>
      <c r="Q91" s="701"/>
      <c r="R91" s="696">
        <v>6</v>
      </c>
      <c r="S91" s="701">
        <v>0.46153846153846156</v>
      </c>
      <c r="T91" s="700">
        <v>5</v>
      </c>
      <c r="U91" s="702">
        <v>0.47619047619047616</v>
      </c>
    </row>
    <row r="92" spans="1:21" ht="14.4" customHeight="1" x14ac:dyDescent="0.3">
      <c r="A92" s="695">
        <v>31</v>
      </c>
      <c r="B92" s="696" t="s">
        <v>557</v>
      </c>
      <c r="C92" s="696">
        <v>89301311</v>
      </c>
      <c r="D92" s="697" t="s">
        <v>2234</v>
      </c>
      <c r="E92" s="698" t="s">
        <v>1603</v>
      </c>
      <c r="F92" s="696" t="s">
        <v>1588</v>
      </c>
      <c r="G92" s="696" t="s">
        <v>1671</v>
      </c>
      <c r="H92" s="696" t="s">
        <v>558</v>
      </c>
      <c r="I92" s="696" t="s">
        <v>1672</v>
      </c>
      <c r="J92" s="696" t="s">
        <v>1673</v>
      </c>
      <c r="K92" s="696" t="s">
        <v>1674</v>
      </c>
      <c r="L92" s="699">
        <v>23.46</v>
      </c>
      <c r="M92" s="699">
        <v>46.92</v>
      </c>
      <c r="N92" s="696">
        <v>2</v>
      </c>
      <c r="O92" s="700">
        <v>0.5</v>
      </c>
      <c r="P92" s="699"/>
      <c r="Q92" s="701">
        <v>0</v>
      </c>
      <c r="R92" s="696"/>
      <c r="S92" s="701">
        <v>0</v>
      </c>
      <c r="T92" s="700"/>
      <c r="U92" s="702">
        <v>0</v>
      </c>
    </row>
    <row r="93" spans="1:21" ht="14.4" customHeight="1" x14ac:dyDescent="0.3">
      <c r="A93" s="695">
        <v>31</v>
      </c>
      <c r="B93" s="696" t="s">
        <v>557</v>
      </c>
      <c r="C93" s="696">
        <v>89301311</v>
      </c>
      <c r="D93" s="697" t="s">
        <v>2234</v>
      </c>
      <c r="E93" s="698" t="s">
        <v>1604</v>
      </c>
      <c r="F93" s="696" t="s">
        <v>1588</v>
      </c>
      <c r="G93" s="696" t="s">
        <v>1627</v>
      </c>
      <c r="H93" s="696" t="s">
        <v>914</v>
      </c>
      <c r="I93" s="696" t="s">
        <v>1030</v>
      </c>
      <c r="J93" s="696" t="s">
        <v>1031</v>
      </c>
      <c r="K93" s="696" t="s">
        <v>1537</v>
      </c>
      <c r="L93" s="699">
        <v>69.86</v>
      </c>
      <c r="M93" s="699">
        <v>69.86</v>
      </c>
      <c r="N93" s="696">
        <v>1</v>
      </c>
      <c r="O93" s="700">
        <v>1</v>
      </c>
      <c r="P93" s="699"/>
      <c r="Q93" s="701">
        <v>0</v>
      </c>
      <c r="R93" s="696"/>
      <c r="S93" s="701">
        <v>0</v>
      </c>
      <c r="T93" s="700"/>
      <c r="U93" s="702">
        <v>0</v>
      </c>
    </row>
    <row r="94" spans="1:21" ht="14.4" customHeight="1" x14ac:dyDescent="0.3">
      <c r="A94" s="695">
        <v>31</v>
      </c>
      <c r="B94" s="696" t="s">
        <v>557</v>
      </c>
      <c r="C94" s="696">
        <v>89301311</v>
      </c>
      <c r="D94" s="697" t="s">
        <v>2234</v>
      </c>
      <c r="E94" s="698" t="s">
        <v>1604</v>
      </c>
      <c r="F94" s="696" t="s">
        <v>1588</v>
      </c>
      <c r="G94" s="696" t="s">
        <v>1614</v>
      </c>
      <c r="H94" s="696" t="s">
        <v>914</v>
      </c>
      <c r="I94" s="696" t="s">
        <v>1367</v>
      </c>
      <c r="J94" s="696" t="s">
        <v>1317</v>
      </c>
      <c r="K94" s="696" t="s">
        <v>1368</v>
      </c>
      <c r="L94" s="699">
        <v>625.29</v>
      </c>
      <c r="M94" s="699">
        <v>1875.87</v>
      </c>
      <c r="N94" s="696">
        <v>3</v>
      </c>
      <c r="O94" s="700">
        <v>1</v>
      </c>
      <c r="P94" s="699">
        <v>1875.87</v>
      </c>
      <c r="Q94" s="701">
        <v>1</v>
      </c>
      <c r="R94" s="696">
        <v>3</v>
      </c>
      <c r="S94" s="701">
        <v>1</v>
      </c>
      <c r="T94" s="700">
        <v>1</v>
      </c>
      <c r="U94" s="702">
        <v>1</v>
      </c>
    </row>
    <row r="95" spans="1:21" ht="14.4" customHeight="1" x14ac:dyDescent="0.3">
      <c r="A95" s="695">
        <v>31</v>
      </c>
      <c r="B95" s="696" t="s">
        <v>557</v>
      </c>
      <c r="C95" s="696">
        <v>89301311</v>
      </c>
      <c r="D95" s="697" t="s">
        <v>2234</v>
      </c>
      <c r="E95" s="698" t="s">
        <v>1604</v>
      </c>
      <c r="F95" s="696" t="s">
        <v>1588</v>
      </c>
      <c r="G95" s="696" t="s">
        <v>1668</v>
      </c>
      <c r="H95" s="696" t="s">
        <v>558</v>
      </c>
      <c r="I95" s="696" t="s">
        <v>647</v>
      </c>
      <c r="J95" s="696" t="s">
        <v>1669</v>
      </c>
      <c r="K95" s="696" t="s">
        <v>1670</v>
      </c>
      <c r="L95" s="699">
        <v>0</v>
      </c>
      <c r="M95" s="699">
        <v>0</v>
      </c>
      <c r="N95" s="696">
        <v>2</v>
      </c>
      <c r="O95" s="700">
        <v>2</v>
      </c>
      <c r="P95" s="699"/>
      <c r="Q95" s="701"/>
      <c r="R95" s="696"/>
      <c r="S95" s="701">
        <v>0</v>
      </c>
      <c r="T95" s="700"/>
      <c r="U95" s="702">
        <v>0</v>
      </c>
    </row>
    <row r="96" spans="1:21" ht="14.4" customHeight="1" x14ac:dyDescent="0.3">
      <c r="A96" s="695">
        <v>31</v>
      </c>
      <c r="B96" s="696" t="s">
        <v>557</v>
      </c>
      <c r="C96" s="696">
        <v>89301311</v>
      </c>
      <c r="D96" s="697" t="s">
        <v>2234</v>
      </c>
      <c r="E96" s="698" t="s">
        <v>1604</v>
      </c>
      <c r="F96" s="696" t="s">
        <v>1588</v>
      </c>
      <c r="G96" s="696" t="s">
        <v>1615</v>
      </c>
      <c r="H96" s="696" t="s">
        <v>558</v>
      </c>
      <c r="I96" s="696" t="s">
        <v>988</v>
      </c>
      <c r="J96" s="696" t="s">
        <v>989</v>
      </c>
      <c r="K96" s="696" t="s">
        <v>1616</v>
      </c>
      <c r="L96" s="699">
        <v>194.73</v>
      </c>
      <c r="M96" s="699">
        <v>194.73</v>
      </c>
      <c r="N96" s="696">
        <v>1</v>
      </c>
      <c r="O96" s="700">
        <v>1</v>
      </c>
      <c r="P96" s="699"/>
      <c r="Q96" s="701">
        <v>0</v>
      </c>
      <c r="R96" s="696"/>
      <c r="S96" s="701">
        <v>0</v>
      </c>
      <c r="T96" s="700"/>
      <c r="U96" s="702">
        <v>0</v>
      </c>
    </row>
    <row r="97" spans="1:21" ht="14.4" customHeight="1" x14ac:dyDescent="0.3">
      <c r="A97" s="695">
        <v>31</v>
      </c>
      <c r="B97" s="696" t="s">
        <v>557</v>
      </c>
      <c r="C97" s="696">
        <v>89301311</v>
      </c>
      <c r="D97" s="697" t="s">
        <v>2234</v>
      </c>
      <c r="E97" s="698" t="s">
        <v>1605</v>
      </c>
      <c r="F97" s="696" t="s">
        <v>1588</v>
      </c>
      <c r="G97" s="696" t="s">
        <v>1668</v>
      </c>
      <c r="H97" s="696" t="s">
        <v>558</v>
      </c>
      <c r="I97" s="696" t="s">
        <v>647</v>
      </c>
      <c r="J97" s="696" t="s">
        <v>1669</v>
      </c>
      <c r="K97" s="696" t="s">
        <v>1670</v>
      </c>
      <c r="L97" s="699">
        <v>0</v>
      </c>
      <c r="M97" s="699">
        <v>0</v>
      </c>
      <c r="N97" s="696">
        <v>2</v>
      </c>
      <c r="O97" s="700">
        <v>0.5</v>
      </c>
      <c r="P97" s="699"/>
      <c r="Q97" s="701"/>
      <c r="R97" s="696"/>
      <c r="S97" s="701">
        <v>0</v>
      </c>
      <c r="T97" s="700"/>
      <c r="U97" s="702">
        <v>0</v>
      </c>
    </row>
    <row r="98" spans="1:21" ht="14.4" customHeight="1" x14ac:dyDescent="0.3">
      <c r="A98" s="695">
        <v>31</v>
      </c>
      <c r="B98" s="696" t="s">
        <v>557</v>
      </c>
      <c r="C98" s="696">
        <v>89301311</v>
      </c>
      <c r="D98" s="697" t="s">
        <v>2234</v>
      </c>
      <c r="E98" s="698" t="s">
        <v>1605</v>
      </c>
      <c r="F98" s="696" t="s">
        <v>1588</v>
      </c>
      <c r="G98" s="696" t="s">
        <v>1615</v>
      </c>
      <c r="H98" s="696" t="s">
        <v>558</v>
      </c>
      <c r="I98" s="696" t="s">
        <v>988</v>
      </c>
      <c r="J98" s="696" t="s">
        <v>989</v>
      </c>
      <c r="K98" s="696" t="s">
        <v>1616</v>
      </c>
      <c r="L98" s="699">
        <v>194.73</v>
      </c>
      <c r="M98" s="699">
        <v>389.46</v>
      </c>
      <c r="N98" s="696">
        <v>2</v>
      </c>
      <c r="O98" s="700">
        <v>0.5</v>
      </c>
      <c r="P98" s="699"/>
      <c r="Q98" s="701">
        <v>0</v>
      </c>
      <c r="R98" s="696"/>
      <c r="S98" s="701">
        <v>0</v>
      </c>
      <c r="T98" s="700"/>
      <c r="U98" s="702">
        <v>0</v>
      </c>
    </row>
    <row r="99" spans="1:21" ht="14.4" customHeight="1" x14ac:dyDescent="0.3">
      <c r="A99" s="695">
        <v>31</v>
      </c>
      <c r="B99" s="696" t="s">
        <v>557</v>
      </c>
      <c r="C99" s="696">
        <v>89301311</v>
      </c>
      <c r="D99" s="697" t="s">
        <v>2234</v>
      </c>
      <c r="E99" s="698" t="s">
        <v>1606</v>
      </c>
      <c r="F99" s="696" t="s">
        <v>1588</v>
      </c>
      <c r="G99" s="696" t="s">
        <v>1614</v>
      </c>
      <c r="H99" s="696" t="s">
        <v>914</v>
      </c>
      <c r="I99" s="696" t="s">
        <v>1367</v>
      </c>
      <c r="J99" s="696" t="s">
        <v>1317</v>
      </c>
      <c r="K99" s="696" t="s">
        <v>1368</v>
      </c>
      <c r="L99" s="699">
        <v>625.29</v>
      </c>
      <c r="M99" s="699">
        <v>5002.32</v>
      </c>
      <c r="N99" s="696">
        <v>8</v>
      </c>
      <c r="O99" s="700">
        <v>1</v>
      </c>
      <c r="P99" s="699">
        <v>5002.32</v>
      </c>
      <c r="Q99" s="701">
        <v>1</v>
      </c>
      <c r="R99" s="696">
        <v>8</v>
      </c>
      <c r="S99" s="701">
        <v>1</v>
      </c>
      <c r="T99" s="700">
        <v>1</v>
      </c>
      <c r="U99" s="702">
        <v>1</v>
      </c>
    </row>
    <row r="100" spans="1:21" ht="14.4" customHeight="1" x14ac:dyDescent="0.3">
      <c r="A100" s="695">
        <v>31</v>
      </c>
      <c r="B100" s="696" t="s">
        <v>557</v>
      </c>
      <c r="C100" s="696">
        <v>89301311</v>
      </c>
      <c r="D100" s="697" t="s">
        <v>2234</v>
      </c>
      <c r="E100" s="698" t="s">
        <v>1606</v>
      </c>
      <c r="F100" s="696" t="s">
        <v>1588</v>
      </c>
      <c r="G100" s="696" t="s">
        <v>1668</v>
      </c>
      <c r="H100" s="696" t="s">
        <v>558</v>
      </c>
      <c r="I100" s="696" t="s">
        <v>647</v>
      </c>
      <c r="J100" s="696" t="s">
        <v>1669</v>
      </c>
      <c r="K100" s="696" t="s">
        <v>1670</v>
      </c>
      <c r="L100" s="699">
        <v>0</v>
      </c>
      <c r="M100" s="699">
        <v>0</v>
      </c>
      <c r="N100" s="696">
        <v>8</v>
      </c>
      <c r="O100" s="700">
        <v>6</v>
      </c>
      <c r="P100" s="699">
        <v>0</v>
      </c>
      <c r="Q100" s="701"/>
      <c r="R100" s="696">
        <v>3</v>
      </c>
      <c r="S100" s="701">
        <v>0.375</v>
      </c>
      <c r="T100" s="700">
        <v>2</v>
      </c>
      <c r="U100" s="702">
        <v>0.33333333333333331</v>
      </c>
    </row>
    <row r="101" spans="1:21" ht="14.4" customHeight="1" x14ac:dyDescent="0.3">
      <c r="A101" s="695">
        <v>31</v>
      </c>
      <c r="B101" s="696" t="s">
        <v>557</v>
      </c>
      <c r="C101" s="696">
        <v>89301311</v>
      </c>
      <c r="D101" s="697" t="s">
        <v>2234</v>
      </c>
      <c r="E101" s="698" t="s">
        <v>1606</v>
      </c>
      <c r="F101" s="696" t="s">
        <v>1588</v>
      </c>
      <c r="G101" s="696" t="s">
        <v>1675</v>
      </c>
      <c r="H101" s="696" t="s">
        <v>914</v>
      </c>
      <c r="I101" s="696" t="s">
        <v>1679</v>
      </c>
      <c r="J101" s="696" t="s">
        <v>929</v>
      </c>
      <c r="K101" s="696" t="s">
        <v>1678</v>
      </c>
      <c r="L101" s="699">
        <v>98.23</v>
      </c>
      <c r="M101" s="699">
        <v>98.23</v>
      </c>
      <c r="N101" s="696">
        <v>1</v>
      </c>
      <c r="O101" s="700">
        <v>0.5</v>
      </c>
      <c r="P101" s="699"/>
      <c r="Q101" s="701">
        <v>0</v>
      </c>
      <c r="R101" s="696"/>
      <c r="S101" s="701">
        <v>0</v>
      </c>
      <c r="T101" s="700"/>
      <c r="U101" s="702">
        <v>0</v>
      </c>
    </row>
    <row r="102" spans="1:21" ht="14.4" customHeight="1" x14ac:dyDescent="0.3">
      <c r="A102" s="695">
        <v>31</v>
      </c>
      <c r="B102" s="696" t="s">
        <v>557</v>
      </c>
      <c r="C102" s="696">
        <v>89301311</v>
      </c>
      <c r="D102" s="697" t="s">
        <v>2234</v>
      </c>
      <c r="E102" s="698" t="s">
        <v>1606</v>
      </c>
      <c r="F102" s="696" t="s">
        <v>1588</v>
      </c>
      <c r="G102" s="696" t="s">
        <v>1758</v>
      </c>
      <c r="H102" s="696" t="s">
        <v>558</v>
      </c>
      <c r="I102" s="696" t="s">
        <v>1759</v>
      </c>
      <c r="J102" s="696" t="s">
        <v>1760</v>
      </c>
      <c r="K102" s="696" t="s">
        <v>1761</v>
      </c>
      <c r="L102" s="699">
        <v>20.329999999999998</v>
      </c>
      <c r="M102" s="699">
        <v>20.329999999999998</v>
      </c>
      <c r="N102" s="696">
        <v>1</v>
      </c>
      <c r="O102" s="700">
        <v>0.5</v>
      </c>
      <c r="P102" s="699"/>
      <c r="Q102" s="701">
        <v>0</v>
      </c>
      <c r="R102" s="696"/>
      <c r="S102" s="701">
        <v>0</v>
      </c>
      <c r="T102" s="700"/>
      <c r="U102" s="702">
        <v>0</v>
      </c>
    </row>
    <row r="103" spans="1:21" ht="14.4" customHeight="1" x14ac:dyDescent="0.3">
      <c r="A103" s="695">
        <v>31</v>
      </c>
      <c r="B103" s="696" t="s">
        <v>557</v>
      </c>
      <c r="C103" s="696">
        <v>89301311</v>
      </c>
      <c r="D103" s="697" t="s">
        <v>2234</v>
      </c>
      <c r="E103" s="698" t="s">
        <v>1606</v>
      </c>
      <c r="F103" s="696" t="s">
        <v>1590</v>
      </c>
      <c r="G103" s="696" t="s">
        <v>1680</v>
      </c>
      <c r="H103" s="696" t="s">
        <v>558</v>
      </c>
      <c r="I103" s="696" t="s">
        <v>1681</v>
      </c>
      <c r="J103" s="696" t="s">
        <v>1684</v>
      </c>
      <c r="K103" s="696" t="s">
        <v>1685</v>
      </c>
      <c r="L103" s="699">
        <v>410</v>
      </c>
      <c r="M103" s="699">
        <v>1230</v>
      </c>
      <c r="N103" s="696">
        <v>3</v>
      </c>
      <c r="O103" s="700">
        <v>3</v>
      </c>
      <c r="P103" s="699">
        <v>1230</v>
      </c>
      <c r="Q103" s="701">
        <v>1</v>
      </c>
      <c r="R103" s="696">
        <v>3</v>
      </c>
      <c r="S103" s="701">
        <v>1</v>
      </c>
      <c r="T103" s="700">
        <v>3</v>
      </c>
      <c r="U103" s="702">
        <v>1</v>
      </c>
    </row>
    <row r="104" spans="1:21" ht="14.4" customHeight="1" x14ac:dyDescent="0.3">
      <c r="A104" s="695">
        <v>31</v>
      </c>
      <c r="B104" s="696" t="s">
        <v>557</v>
      </c>
      <c r="C104" s="696">
        <v>89301311</v>
      </c>
      <c r="D104" s="697" t="s">
        <v>2234</v>
      </c>
      <c r="E104" s="698" t="s">
        <v>1606</v>
      </c>
      <c r="F104" s="696" t="s">
        <v>1590</v>
      </c>
      <c r="G104" s="696" t="s">
        <v>1689</v>
      </c>
      <c r="H104" s="696" t="s">
        <v>558</v>
      </c>
      <c r="I104" s="696" t="s">
        <v>1690</v>
      </c>
      <c r="J104" s="696" t="s">
        <v>1691</v>
      </c>
      <c r="K104" s="696" t="s">
        <v>1692</v>
      </c>
      <c r="L104" s="699">
        <v>35.75</v>
      </c>
      <c r="M104" s="699">
        <v>286</v>
      </c>
      <c r="N104" s="696">
        <v>8</v>
      </c>
      <c r="O104" s="700">
        <v>4</v>
      </c>
      <c r="P104" s="699">
        <v>286</v>
      </c>
      <c r="Q104" s="701">
        <v>1</v>
      </c>
      <c r="R104" s="696">
        <v>8</v>
      </c>
      <c r="S104" s="701">
        <v>1</v>
      </c>
      <c r="T104" s="700">
        <v>4</v>
      </c>
      <c r="U104" s="702">
        <v>1</v>
      </c>
    </row>
    <row r="105" spans="1:21" ht="14.4" customHeight="1" x14ac:dyDescent="0.3">
      <c r="A105" s="695">
        <v>31</v>
      </c>
      <c r="B105" s="696" t="s">
        <v>557</v>
      </c>
      <c r="C105" s="696">
        <v>89301311</v>
      </c>
      <c r="D105" s="697" t="s">
        <v>2234</v>
      </c>
      <c r="E105" s="698" t="s">
        <v>1606</v>
      </c>
      <c r="F105" s="696" t="s">
        <v>1590</v>
      </c>
      <c r="G105" s="696" t="s">
        <v>1700</v>
      </c>
      <c r="H105" s="696" t="s">
        <v>558</v>
      </c>
      <c r="I105" s="696" t="s">
        <v>1762</v>
      </c>
      <c r="J105" s="696" t="s">
        <v>1763</v>
      </c>
      <c r="K105" s="696" t="s">
        <v>1764</v>
      </c>
      <c r="L105" s="699">
        <v>855</v>
      </c>
      <c r="M105" s="699">
        <v>855</v>
      </c>
      <c r="N105" s="696">
        <v>1</v>
      </c>
      <c r="O105" s="700">
        <v>1</v>
      </c>
      <c r="P105" s="699">
        <v>855</v>
      </c>
      <c r="Q105" s="701">
        <v>1</v>
      </c>
      <c r="R105" s="696">
        <v>1</v>
      </c>
      <c r="S105" s="701">
        <v>1</v>
      </c>
      <c r="T105" s="700">
        <v>1</v>
      </c>
      <c r="U105" s="702">
        <v>1</v>
      </c>
    </row>
    <row r="106" spans="1:21" ht="14.4" customHeight="1" x14ac:dyDescent="0.3">
      <c r="A106" s="695">
        <v>31</v>
      </c>
      <c r="B106" s="696" t="s">
        <v>557</v>
      </c>
      <c r="C106" s="696">
        <v>89301311</v>
      </c>
      <c r="D106" s="697" t="s">
        <v>2234</v>
      </c>
      <c r="E106" s="698" t="s">
        <v>1609</v>
      </c>
      <c r="F106" s="696" t="s">
        <v>1588</v>
      </c>
      <c r="G106" s="696" t="s">
        <v>1638</v>
      </c>
      <c r="H106" s="696" t="s">
        <v>558</v>
      </c>
      <c r="I106" s="696" t="s">
        <v>1765</v>
      </c>
      <c r="J106" s="696" t="s">
        <v>1640</v>
      </c>
      <c r="K106" s="696"/>
      <c r="L106" s="699">
        <v>0</v>
      </c>
      <c r="M106" s="699">
        <v>0</v>
      </c>
      <c r="N106" s="696">
        <v>1</v>
      </c>
      <c r="O106" s="700">
        <v>0.5</v>
      </c>
      <c r="P106" s="699"/>
      <c r="Q106" s="701"/>
      <c r="R106" s="696"/>
      <c r="S106" s="701">
        <v>0</v>
      </c>
      <c r="T106" s="700"/>
      <c r="U106" s="702">
        <v>0</v>
      </c>
    </row>
    <row r="107" spans="1:21" ht="14.4" customHeight="1" x14ac:dyDescent="0.3">
      <c r="A107" s="695">
        <v>31</v>
      </c>
      <c r="B107" s="696" t="s">
        <v>557</v>
      </c>
      <c r="C107" s="696">
        <v>89301311</v>
      </c>
      <c r="D107" s="697" t="s">
        <v>2234</v>
      </c>
      <c r="E107" s="698" t="s">
        <v>1609</v>
      </c>
      <c r="F107" s="696" t="s">
        <v>1588</v>
      </c>
      <c r="G107" s="696" t="s">
        <v>1645</v>
      </c>
      <c r="H107" s="696" t="s">
        <v>914</v>
      </c>
      <c r="I107" s="696" t="s">
        <v>1045</v>
      </c>
      <c r="J107" s="696" t="s">
        <v>1046</v>
      </c>
      <c r="K107" s="696" t="s">
        <v>1047</v>
      </c>
      <c r="L107" s="699">
        <v>154.01</v>
      </c>
      <c r="M107" s="699">
        <v>308.02</v>
      </c>
      <c r="N107" s="696">
        <v>2</v>
      </c>
      <c r="O107" s="700">
        <v>0.5</v>
      </c>
      <c r="P107" s="699">
        <v>308.02</v>
      </c>
      <c r="Q107" s="701">
        <v>1</v>
      </c>
      <c r="R107" s="696">
        <v>2</v>
      </c>
      <c r="S107" s="701">
        <v>1</v>
      </c>
      <c r="T107" s="700">
        <v>0.5</v>
      </c>
      <c r="U107" s="702">
        <v>1</v>
      </c>
    </row>
    <row r="108" spans="1:21" ht="14.4" customHeight="1" x14ac:dyDescent="0.3">
      <c r="A108" s="695">
        <v>31</v>
      </c>
      <c r="B108" s="696" t="s">
        <v>557</v>
      </c>
      <c r="C108" s="696">
        <v>89301311</v>
      </c>
      <c r="D108" s="697" t="s">
        <v>2234</v>
      </c>
      <c r="E108" s="698" t="s">
        <v>1609</v>
      </c>
      <c r="F108" s="696" t="s">
        <v>1588</v>
      </c>
      <c r="G108" s="696" t="s">
        <v>1766</v>
      </c>
      <c r="H108" s="696" t="s">
        <v>558</v>
      </c>
      <c r="I108" s="696" t="s">
        <v>1767</v>
      </c>
      <c r="J108" s="696" t="s">
        <v>1768</v>
      </c>
      <c r="K108" s="696" t="s">
        <v>1769</v>
      </c>
      <c r="L108" s="699">
        <v>100.63</v>
      </c>
      <c r="M108" s="699">
        <v>100.63</v>
      </c>
      <c r="N108" s="696">
        <v>1</v>
      </c>
      <c r="O108" s="700">
        <v>0.5</v>
      </c>
      <c r="P108" s="699"/>
      <c r="Q108" s="701">
        <v>0</v>
      </c>
      <c r="R108" s="696"/>
      <c r="S108" s="701">
        <v>0</v>
      </c>
      <c r="T108" s="700"/>
      <c r="U108" s="702">
        <v>0</v>
      </c>
    </row>
    <row r="109" spans="1:21" ht="14.4" customHeight="1" x14ac:dyDescent="0.3">
      <c r="A109" s="695">
        <v>31</v>
      </c>
      <c r="B109" s="696" t="s">
        <v>557</v>
      </c>
      <c r="C109" s="696">
        <v>89301311</v>
      </c>
      <c r="D109" s="697" t="s">
        <v>2234</v>
      </c>
      <c r="E109" s="698" t="s">
        <v>1609</v>
      </c>
      <c r="F109" s="696" t="s">
        <v>1588</v>
      </c>
      <c r="G109" s="696" t="s">
        <v>1614</v>
      </c>
      <c r="H109" s="696" t="s">
        <v>914</v>
      </c>
      <c r="I109" s="696" t="s">
        <v>1367</v>
      </c>
      <c r="J109" s="696" t="s">
        <v>1317</v>
      </c>
      <c r="K109" s="696" t="s">
        <v>1368</v>
      </c>
      <c r="L109" s="699">
        <v>625.29</v>
      </c>
      <c r="M109" s="699">
        <v>5002.32</v>
      </c>
      <c r="N109" s="696">
        <v>8</v>
      </c>
      <c r="O109" s="700">
        <v>2.5</v>
      </c>
      <c r="P109" s="699">
        <v>1250.58</v>
      </c>
      <c r="Q109" s="701">
        <v>0.25</v>
      </c>
      <c r="R109" s="696">
        <v>2</v>
      </c>
      <c r="S109" s="701">
        <v>0.25</v>
      </c>
      <c r="T109" s="700">
        <v>0.5</v>
      </c>
      <c r="U109" s="702">
        <v>0.2</v>
      </c>
    </row>
    <row r="110" spans="1:21" ht="14.4" customHeight="1" x14ac:dyDescent="0.3">
      <c r="A110" s="695">
        <v>31</v>
      </c>
      <c r="B110" s="696" t="s">
        <v>557</v>
      </c>
      <c r="C110" s="696">
        <v>89301311</v>
      </c>
      <c r="D110" s="697" t="s">
        <v>2234</v>
      </c>
      <c r="E110" s="698" t="s">
        <v>1609</v>
      </c>
      <c r="F110" s="696" t="s">
        <v>1588</v>
      </c>
      <c r="G110" s="696" t="s">
        <v>1614</v>
      </c>
      <c r="H110" s="696" t="s">
        <v>914</v>
      </c>
      <c r="I110" s="696" t="s">
        <v>1728</v>
      </c>
      <c r="J110" s="696" t="s">
        <v>1317</v>
      </c>
      <c r="K110" s="696" t="s">
        <v>1729</v>
      </c>
      <c r="L110" s="699">
        <v>1166.47</v>
      </c>
      <c r="M110" s="699">
        <v>1166.47</v>
      </c>
      <c r="N110" s="696">
        <v>1</v>
      </c>
      <c r="O110" s="700">
        <v>0.5</v>
      </c>
      <c r="P110" s="699">
        <v>1166.47</v>
      </c>
      <c r="Q110" s="701">
        <v>1</v>
      </c>
      <c r="R110" s="696">
        <v>1</v>
      </c>
      <c r="S110" s="701">
        <v>1</v>
      </c>
      <c r="T110" s="700">
        <v>0.5</v>
      </c>
      <c r="U110" s="702">
        <v>1</v>
      </c>
    </row>
    <row r="111" spans="1:21" ht="14.4" customHeight="1" x14ac:dyDescent="0.3">
      <c r="A111" s="695">
        <v>31</v>
      </c>
      <c r="B111" s="696" t="s">
        <v>557</v>
      </c>
      <c r="C111" s="696">
        <v>89301311</v>
      </c>
      <c r="D111" s="697" t="s">
        <v>2234</v>
      </c>
      <c r="E111" s="698" t="s">
        <v>1609</v>
      </c>
      <c r="F111" s="696" t="s">
        <v>1588</v>
      </c>
      <c r="G111" s="696" t="s">
        <v>1651</v>
      </c>
      <c r="H111" s="696" t="s">
        <v>914</v>
      </c>
      <c r="I111" s="696" t="s">
        <v>944</v>
      </c>
      <c r="J111" s="696" t="s">
        <v>917</v>
      </c>
      <c r="K111" s="696" t="s">
        <v>1542</v>
      </c>
      <c r="L111" s="699">
        <v>48.31</v>
      </c>
      <c r="M111" s="699">
        <v>48.31</v>
      </c>
      <c r="N111" s="696">
        <v>1</v>
      </c>
      <c r="O111" s="700">
        <v>1</v>
      </c>
      <c r="P111" s="699"/>
      <c r="Q111" s="701">
        <v>0</v>
      </c>
      <c r="R111" s="696"/>
      <c r="S111" s="701">
        <v>0</v>
      </c>
      <c r="T111" s="700"/>
      <c r="U111" s="702">
        <v>0</v>
      </c>
    </row>
    <row r="112" spans="1:21" ht="14.4" customHeight="1" x14ac:dyDescent="0.3">
      <c r="A112" s="695">
        <v>31</v>
      </c>
      <c r="B112" s="696" t="s">
        <v>557</v>
      </c>
      <c r="C112" s="696">
        <v>89301311</v>
      </c>
      <c r="D112" s="697" t="s">
        <v>2234</v>
      </c>
      <c r="E112" s="698" t="s">
        <v>1609</v>
      </c>
      <c r="F112" s="696" t="s">
        <v>1588</v>
      </c>
      <c r="G112" s="696" t="s">
        <v>1770</v>
      </c>
      <c r="H112" s="696" t="s">
        <v>558</v>
      </c>
      <c r="I112" s="696" t="s">
        <v>1771</v>
      </c>
      <c r="J112" s="696" t="s">
        <v>1772</v>
      </c>
      <c r="K112" s="696" t="s">
        <v>637</v>
      </c>
      <c r="L112" s="699">
        <v>97.97</v>
      </c>
      <c r="M112" s="699">
        <v>97.97</v>
      </c>
      <c r="N112" s="696">
        <v>1</v>
      </c>
      <c r="O112" s="700">
        <v>0.5</v>
      </c>
      <c r="P112" s="699"/>
      <c r="Q112" s="701">
        <v>0</v>
      </c>
      <c r="R112" s="696"/>
      <c r="S112" s="701">
        <v>0</v>
      </c>
      <c r="T112" s="700"/>
      <c r="U112" s="702">
        <v>0</v>
      </c>
    </row>
    <row r="113" spans="1:21" ht="14.4" customHeight="1" x14ac:dyDescent="0.3">
      <c r="A113" s="695">
        <v>31</v>
      </c>
      <c r="B113" s="696" t="s">
        <v>557</v>
      </c>
      <c r="C113" s="696">
        <v>89301311</v>
      </c>
      <c r="D113" s="697" t="s">
        <v>2234</v>
      </c>
      <c r="E113" s="698" t="s">
        <v>1609</v>
      </c>
      <c r="F113" s="696" t="s">
        <v>1588</v>
      </c>
      <c r="G113" s="696" t="s">
        <v>1665</v>
      </c>
      <c r="H113" s="696" t="s">
        <v>558</v>
      </c>
      <c r="I113" s="696" t="s">
        <v>1773</v>
      </c>
      <c r="J113" s="696" t="s">
        <v>731</v>
      </c>
      <c r="K113" s="696" t="s">
        <v>1774</v>
      </c>
      <c r="L113" s="699">
        <v>0</v>
      </c>
      <c r="M113" s="699">
        <v>0</v>
      </c>
      <c r="N113" s="696">
        <v>1</v>
      </c>
      <c r="O113" s="700">
        <v>1</v>
      </c>
      <c r="P113" s="699"/>
      <c r="Q113" s="701"/>
      <c r="R113" s="696"/>
      <c r="S113" s="701">
        <v>0</v>
      </c>
      <c r="T113" s="700"/>
      <c r="U113" s="702">
        <v>0</v>
      </c>
    </row>
    <row r="114" spans="1:21" ht="14.4" customHeight="1" x14ac:dyDescent="0.3">
      <c r="A114" s="695">
        <v>31</v>
      </c>
      <c r="B114" s="696" t="s">
        <v>557</v>
      </c>
      <c r="C114" s="696">
        <v>89301311</v>
      </c>
      <c r="D114" s="697" t="s">
        <v>2234</v>
      </c>
      <c r="E114" s="698" t="s">
        <v>1609</v>
      </c>
      <c r="F114" s="696" t="s">
        <v>1588</v>
      </c>
      <c r="G114" s="696" t="s">
        <v>1668</v>
      </c>
      <c r="H114" s="696" t="s">
        <v>558</v>
      </c>
      <c r="I114" s="696" t="s">
        <v>647</v>
      </c>
      <c r="J114" s="696" t="s">
        <v>1669</v>
      </c>
      <c r="K114" s="696" t="s">
        <v>1670</v>
      </c>
      <c r="L114" s="699">
        <v>0</v>
      </c>
      <c r="M114" s="699">
        <v>0</v>
      </c>
      <c r="N114" s="696">
        <v>11</v>
      </c>
      <c r="O114" s="700">
        <v>8.5</v>
      </c>
      <c r="P114" s="699">
        <v>0</v>
      </c>
      <c r="Q114" s="701"/>
      <c r="R114" s="696">
        <v>1</v>
      </c>
      <c r="S114" s="701">
        <v>9.0909090909090912E-2</v>
      </c>
      <c r="T114" s="700">
        <v>0.5</v>
      </c>
      <c r="U114" s="702">
        <v>5.8823529411764705E-2</v>
      </c>
    </row>
    <row r="115" spans="1:21" ht="14.4" customHeight="1" x14ac:dyDescent="0.3">
      <c r="A115" s="695">
        <v>31</v>
      </c>
      <c r="B115" s="696" t="s">
        <v>557</v>
      </c>
      <c r="C115" s="696">
        <v>89301311</v>
      </c>
      <c r="D115" s="697" t="s">
        <v>2234</v>
      </c>
      <c r="E115" s="698" t="s">
        <v>1609</v>
      </c>
      <c r="F115" s="696" t="s">
        <v>1588</v>
      </c>
      <c r="G115" s="696" t="s">
        <v>1775</v>
      </c>
      <c r="H115" s="696" t="s">
        <v>558</v>
      </c>
      <c r="I115" s="696" t="s">
        <v>1776</v>
      </c>
      <c r="J115" s="696" t="s">
        <v>1777</v>
      </c>
      <c r="K115" s="696" t="s">
        <v>1778</v>
      </c>
      <c r="L115" s="699">
        <v>0</v>
      </c>
      <c r="M115" s="699">
        <v>0</v>
      </c>
      <c r="N115" s="696">
        <v>1</v>
      </c>
      <c r="O115" s="700">
        <v>0.5</v>
      </c>
      <c r="P115" s="699"/>
      <c r="Q115" s="701"/>
      <c r="R115" s="696"/>
      <c r="S115" s="701">
        <v>0</v>
      </c>
      <c r="T115" s="700"/>
      <c r="U115" s="702">
        <v>0</v>
      </c>
    </row>
    <row r="116" spans="1:21" ht="14.4" customHeight="1" x14ac:dyDescent="0.3">
      <c r="A116" s="695">
        <v>31</v>
      </c>
      <c r="B116" s="696" t="s">
        <v>557</v>
      </c>
      <c r="C116" s="696">
        <v>89301311</v>
      </c>
      <c r="D116" s="697" t="s">
        <v>2234</v>
      </c>
      <c r="E116" s="698" t="s">
        <v>1609</v>
      </c>
      <c r="F116" s="696" t="s">
        <v>1588</v>
      </c>
      <c r="G116" s="696" t="s">
        <v>1779</v>
      </c>
      <c r="H116" s="696" t="s">
        <v>914</v>
      </c>
      <c r="I116" s="696" t="s">
        <v>1780</v>
      </c>
      <c r="J116" s="696" t="s">
        <v>1781</v>
      </c>
      <c r="K116" s="696" t="s">
        <v>1782</v>
      </c>
      <c r="L116" s="699">
        <v>193.14</v>
      </c>
      <c r="M116" s="699">
        <v>193.14</v>
      </c>
      <c r="N116" s="696">
        <v>1</v>
      </c>
      <c r="O116" s="700">
        <v>1</v>
      </c>
      <c r="P116" s="699"/>
      <c r="Q116" s="701">
        <v>0</v>
      </c>
      <c r="R116" s="696"/>
      <c r="S116" s="701">
        <v>0</v>
      </c>
      <c r="T116" s="700"/>
      <c r="U116" s="702">
        <v>0</v>
      </c>
    </row>
    <row r="117" spans="1:21" ht="14.4" customHeight="1" x14ac:dyDescent="0.3">
      <c r="A117" s="695">
        <v>31</v>
      </c>
      <c r="B117" s="696" t="s">
        <v>557</v>
      </c>
      <c r="C117" s="696">
        <v>89301311</v>
      </c>
      <c r="D117" s="697" t="s">
        <v>2234</v>
      </c>
      <c r="E117" s="698" t="s">
        <v>1609</v>
      </c>
      <c r="F117" s="696" t="s">
        <v>1590</v>
      </c>
      <c r="G117" s="696" t="s">
        <v>1680</v>
      </c>
      <c r="H117" s="696" t="s">
        <v>558</v>
      </c>
      <c r="I117" s="696" t="s">
        <v>1681</v>
      </c>
      <c r="J117" s="696" t="s">
        <v>1684</v>
      </c>
      <c r="K117" s="696" t="s">
        <v>1685</v>
      </c>
      <c r="L117" s="699">
        <v>410</v>
      </c>
      <c r="M117" s="699">
        <v>2460</v>
      </c>
      <c r="N117" s="696">
        <v>6</v>
      </c>
      <c r="O117" s="700">
        <v>6</v>
      </c>
      <c r="P117" s="699">
        <v>2460</v>
      </c>
      <c r="Q117" s="701">
        <v>1</v>
      </c>
      <c r="R117" s="696">
        <v>6</v>
      </c>
      <c r="S117" s="701">
        <v>1</v>
      </c>
      <c r="T117" s="700">
        <v>6</v>
      </c>
      <c r="U117" s="702">
        <v>1</v>
      </c>
    </row>
    <row r="118" spans="1:21" ht="14.4" customHeight="1" x14ac:dyDescent="0.3">
      <c r="A118" s="695">
        <v>31</v>
      </c>
      <c r="B118" s="696" t="s">
        <v>557</v>
      </c>
      <c r="C118" s="696">
        <v>89301311</v>
      </c>
      <c r="D118" s="697" t="s">
        <v>2234</v>
      </c>
      <c r="E118" s="698" t="s">
        <v>1609</v>
      </c>
      <c r="F118" s="696" t="s">
        <v>1590</v>
      </c>
      <c r="G118" s="696" t="s">
        <v>1689</v>
      </c>
      <c r="H118" s="696" t="s">
        <v>558</v>
      </c>
      <c r="I118" s="696" t="s">
        <v>1690</v>
      </c>
      <c r="J118" s="696" t="s">
        <v>1691</v>
      </c>
      <c r="K118" s="696" t="s">
        <v>1692</v>
      </c>
      <c r="L118" s="699">
        <v>35.75</v>
      </c>
      <c r="M118" s="699">
        <v>143</v>
      </c>
      <c r="N118" s="696">
        <v>4</v>
      </c>
      <c r="O118" s="700">
        <v>2</v>
      </c>
      <c r="P118" s="699">
        <v>143</v>
      </c>
      <c r="Q118" s="701">
        <v>1</v>
      </c>
      <c r="R118" s="696">
        <v>4</v>
      </c>
      <c r="S118" s="701">
        <v>1</v>
      </c>
      <c r="T118" s="700">
        <v>2</v>
      </c>
      <c r="U118" s="702">
        <v>1</v>
      </c>
    </row>
    <row r="119" spans="1:21" ht="14.4" customHeight="1" x14ac:dyDescent="0.3">
      <c r="A119" s="695">
        <v>31</v>
      </c>
      <c r="B119" s="696" t="s">
        <v>557</v>
      </c>
      <c r="C119" s="696">
        <v>89301311</v>
      </c>
      <c r="D119" s="697" t="s">
        <v>2234</v>
      </c>
      <c r="E119" s="698" t="s">
        <v>1609</v>
      </c>
      <c r="F119" s="696" t="s">
        <v>1590</v>
      </c>
      <c r="G119" s="696" t="s">
        <v>1700</v>
      </c>
      <c r="H119" s="696" t="s">
        <v>558</v>
      </c>
      <c r="I119" s="696" t="s">
        <v>1701</v>
      </c>
      <c r="J119" s="696" t="s">
        <v>1702</v>
      </c>
      <c r="K119" s="696" t="s">
        <v>1703</v>
      </c>
      <c r="L119" s="699">
        <v>3000</v>
      </c>
      <c r="M119" s="699">
        <v>3000</v>
      </c>
      <c r="N119" s="696">
        <v>1</v>
      </c>
      <c r="O119" s="700">
        <v>1</v>
      </c>
      <c r="P119" s="699">
        <v>3000</v>
      </c>
      <c r="Q119" s="701">
        <v>1</v>
      </c>
      <c r="R119" s="696">
        <v>1</v>
      </c>
      <c r="S119" s="701">
        <v>1</v>
      </c>
      <c r="T119" s="700">
        <v>1</v>
      </c>
      <c r="U119" s="702">
        <v>1</v>
      </c>
    </row>
    <row r="120" spans="1:21" ht="14.4" customHeight="1" x14ac:dyDescent="0.3">
      <c r="A120" s="695">
        <v>31</v>
      </c>
      <c r="B120" s="696" t="s">
        <v>557</v>
      </c>
      <c r="C120" s="696">
        <v>89301311</v>
      </c>
      <c r="D120" s="697" t="s">
        <v>2234</v>
      </c>
      <c r="E120" s="698" t="s">
        <v>1609</v>
      </c>
      <c r="F120" s="696" t="s">
        <v>1590</v>
      </c>
      <c r="G120" s="696" t="s">
        <v>1700</v>
      </c>
      <c r="H120" s="696" t="s">
        <v>558</v>
      </c>
      <c r="I120" s="696" t="s">
        <v>1707</v>
      </c>
      <c r="J120" s="696" t="s">
        <v>1708</v>
      </c>
      <c r="K120" s="696" t="s">
        <v>1709</v>
      </c>
      <c r="L120" s="699">
        <v>492.18</v>
      </c>
      <c r="M120" s="699">
        <v>2460.9</v>
      </c>
      <c r="N120" s="696">
        <v>5</v>
      </c>
      <c r="O120" s="700">
        <v>5</v>
      </c>
      <c r="P120" s="699">
        <v>2460.9</v>
      </c>
      <c r="Q120" s="701">
        <v>1</v>
      </c>
      <c r="R120" s="696">
        <v>5</v>
      </c>
      <c r="S120" s="701">
        <v>1</v>
      </c>
      <c r="T120" s="700">
        <v>5</v>
      </c>
      <c r="U120" s="702">
        <v>1</v>
      </c>
    </row>
    <row r="121" spans="1:21" ht="14.4" customHeight="1" x14ac:dyDescent="0.3">
      <c r="A121" s="695">
        <v>31</v>
      </c>
      <c r="B121" s="696" t="s">
        <v>557</v>
      </c>
      <c r="C121" s="696">
        <v>89301311</v>
      </c>
      <c r="D121" s="697" t="s">
        <v>2234</v>
      </c>
      <c r="E121" s="698" t="s">
        <v>1609</v>
      </c>
      <c r="F121" s="696" t="s">
        <v>1590</v>
      </c>
      <c r="G121" s="696" t="s">
        <v>1700</v>
      </c>
      <c r="H121" s="696" t="s">
        <v>558</v>
      </c>
      <c r="I121" s="696" t="s">
        <v>1710</v>
      </c>
      <c r="J121" s="696" t="s">
        <v>1711</v>
      </c>
      <c r="K121" s="696" t="s">
        <v>1712</v>
      </c>
      <c r="L121" s="699">
        <v>750</v>
      </c>
      <c r="M121" s="699">
        <v>750</v>
      </c>
      <c r="N121" s="696">
        <v>1</v>
      </c>
      <c r="O121" s="700">
        <v>1</v>
      </c>
      <c r="P121" s="699">
        <v>750</v>
      </c>
      <c r="Q121" s="701">
        <v>1</v>
      </c>
      <c r="R121" s="696">
        <v>1</v>
      </c>
      <c r="S121" s="701">
        <v>1</v>
      </c>
      <c r="T121" s="700">
        <v>1</v>
      </c>
      <c r="U121" s="702">
        <v>1</v>
      </c>
    </row>
    <row r="122" spans="1:21" ht="14.4" customHeight="1" x14ac:dyDescent="0.3">
      <c r="A122" s="695">
        <v>31</v>
      </c>
      <c r="B122" s="696" t="s">
        <v>557</v>
      </c>
      <c r="C122" s="696">
        <v>89301311</v>
      </c>
      <c r="D122" s="697" t="s">
        <v>2234</v>
      </c>
      <c r="E122" s="698" t="s">
        <v>1609</v>
      </c>
      <c r="F122" s="696" t="s">
        <v>1590</v>
      </c>
      <c r="G122" s="696" t="s">
        <v>1700</v>
      </c>
      <c r="H122" s="696" t="s">
        <v>558</v>
      </c>
      <c r="I122" s="696" t="s">
        <v>1715</v>
      </c>
      <c r="J122" s="696" t="s">
        <v>1716</v>
      </c>
      <c r="K122" s="696" t="s">
        <v>1717</v>
      </c>
      <c r="L122" s="699">
        <v>971.25</v>
      </c>
      <c r="M122" s="699">
        <v>971.25</v>
      </c>
      <c r="N122" s="696">
        <v>1</v>
      </c>
      <c r="O122" s="700">
        <v>1</v>
      </c>
      <c r="P122" s="699">
        <v>971.25</v>
      </c>
      <c r="Q122" s="701">
        <v>1</v>
      </c>
      <c r="R122" s="696">
        <v>1</v>
      </c>
      <c r="S122" s="701">
        <v>1</v>
      </c>
      <c r="T122" s="700">
        <v>1</v>
      </c>
      <c r="U122" s="702">
        <v>1</v>
      </c>
    </row>
    <row r="123" spans="1:21" ht="14.4" customHeight="1" x14ac:dyDescent="0.3">
      <c r="A123" s="695">
        <v>31</v>
      </c>
      <c r="B123" s="696" t="s">
        <v>557</v>
      </c>
      <c r="C123" s="696">
        <v>89301311</v>
      </c>
      <c r="D123" s="697" t="s">
        <v>2234</v>
      </c>
      <c r="E123" s="698" t="s">
        <v>1611</v>
      </c>
      <c r="F123" s="696" t="s">
        <v>1588</v>
      </c>
      <c r="G123" s="696" t="s">
        <v>1614</v>
      </c>
      <c r="H123" s="696" t="s">
        <v>914</v>
      </c>
      <c r="I123" s="696" t="s">
        <v>1367</v>
      </c>
      <c r="J123" s="696" t="s">
        <v>1317</v>
      </c>
      <c r="K123" s="696" t="s">
        <v>1368</v>
      </c>
      <c r="L123" s="699">
        <v>625.29</v>
      </c>
      <c r="M123" s="699">
        <v>625.29</v>
      </c>
      <c r="N123" s="696">
        <v>1</v>
      </c>
      <c r="O123" s="700">
        <v>0.5</v>
      </c>
      <c r="P123" s="699">
        <v>625.29</v>
      </c>
      <c r="Q123" s="701">
        <v>1</v>
      </c>
      <c r="R123" s="696">
        <v>1</v>
      </c>
      <c r="S123" s="701">
        <v>1</v>
      </c>
      <c r="T123" s="700">
        <v>0.5</v>
      </c>
      <c r="U123" s="702">
        <v>1</v>
      </c>
    </row>
    <row r="124" spans="1:21" ht="14.4" customHeight="1" x14ac:dyDescent="0.3">
      <c r="A124" s="695">
        <v>31</v>
      </c>
      <c r="B124" s="696" t="s">
        <v>557</v>
      </c>
      <c r="C124" s="696">
        <v>89301311</v>
      </c>
      <c r="D124" s="697" t="s">
        <v>2234</v>
      </c>
      <c r="E124" s="698" t="s">
        <v>1611</v>
      </c>
      <c r="F124" s="696" t="s">
        <v>1588</v>
      </c>
      <c r="G124" s="696" t="s">
        <v>1651</v>
      </c>
      <c r="H124" s="696" t="s">
        <v>914</v>
      </c>
      <c r="I124" s="696" t="s">
        <v>916</v>
      </c>
      <c r="J124" s="696" t="s">
        <v>917</v>
      </c>
      <c r="K124" s="696" t="s">
        <v>1543</v>
      </c>
      <c r="L124" s="699">
        <v>96.63</v>
      </c>
      <c r="M124" s="699">
        <v>193.26</v>
      </c>
      <c r="N124" s="696">
        <v>2</v>
      </c>
      <c r="O124" s="700">
        <v>2</v>
      </c>
      <c r="P124" s="699"/>
      <c r="Q124" s="701">
        <v>0</v>
      </c>
      <c r="R124" s="696"/>
      <c r="S124" s="701">
        <v>0</v>
      </c>
      <c r="T124" s="700"/>
      <c r="U124" s="702">
        <v>0</v>
      </c>
    </row>
    <row r="125" spans="1:21" ht="14.4" customHeight="1" x14ac:dyDescent="0.3">
      <c r="A125" s="695">
        <v>31</v>
      </c>
      <c r="B125" s="696" t="s">
        <v>557</v>
      </c>
      <c r="C125" s="696">
        <v>89301311</v>
      </c>
      <c r="D125" s="697" t="s">
        <v>2234</v>
      </c>
      <c r="E125" s="698" t="s">
        <v>1611</v>
      </c>
      <c r="F125" s="696" t="s">
        <v>1588</v>
      </c>
      <c r="G125" s="696" t="s">
        <v>1668</v>
      </c>
      <c r="H125" s="696" t="s">
        <v>558</v>
      </c>
      <c r="I125" s="696" t="s">
        <v>647</v>
      </c>
      <c r="J125" s="696" t="s">
        <v>1669</v>
      </c>
      <c r="K125" s="696" t="s">
        <v>1670</v>
      </c>
      <c r="L125" s="699">
        <v>0</v>
      </c>
      <c r="M125" s="699">
        <v>0</v>
      </c>
      <c r="N125" s="696">
        <v>3</v>
      </c>
      <c r="O125" s="700">
        <v>2</v>
      </c>
      <c r="P125" s="699">
        <v>0</v>
      </c>
      <c r="Q125" s="701"/>
      <c r="R125" s="696">
        <v>1</v>
      </c>
      <c r="S125" s="701">
        <v>0.33333333333333331</v>
      </c>
      <c r="T125" s="700">
        <v>0.5</v>
      </c>
      <c r="U125" s="702">
        <v>0.25</v>
      </c>
    </row>
    <row r="126" spans="1:21" ht="14.4" customHeight="1" x14ac:dyDescent="0.3">
      <c r="A126" s="695">
        <v>31</v>
      </c>
      <c r="B126" s="696" t="s">
        <v>557</v>
      </c>
      <c r="C126" s="696">
        <v>89301311</v>
      </c>
      <c r="D126" s="697" t="s">
        <v>2234</v>
      </c>
      <c r="E126" s="698" t="s">
        <v>1611</v>
      </c>
      <c r="F126" s="696" t="s">
        <v>1588</v>
      </c>
      <c r="G126" s="696" t="s">
        <v>1615</v>
      </c>
      <c r="H126" s="696" t="s">
        <v>558</v>
      </c>
      <c r="I126" s="696" t="s">
        <v>988</v>
      </c>
      <c r="J126" s="696" t="s">
        <v>989</v>
      </c>
      <c r="K126" s="696" t="s">
        <v>1616</v>
      </c>
      <c r="L126" s="699">
        <v>194.73</v>
      </c>
      <c r="M126" s="699">
        <v>194.73</v>
      </c>
      <c r="N126" s="696">
        <v>1</v>
      </c>
      <c r="O126" s="700">
        <v>0.5</v>
      </c>
      <c r="P126" s="699"/>
      <c r="Q126" s="701">
        <v>0</v>
      </c>
      <c r="R126" s="696"/>
      <c r="S126" s="701">
        <v>0</v>
      </c>
      <c r="T126" s="700"/>
      <c r="U126" s="702">
        <v>0</v>
      </c>
    </row>
    <row r="127" spans="1:21" ht="14.4" customHeight="1" x14ac:dyDescent="0.3">
      <c r="A127" s="695">
        <v>31</v>
      </c>
      <c r="B127" s="696" t="s">
        <v>557</v>
      </c>
      <c r="C127" s="696">
        <v>89301311</v>
      </c>
      <c r="D127" s="697" t="s">
        <v>2234</v>
      </c>
      <c r="E127" s="698" t="s">
        <v>1611</v>
      </c>
      <c r="F127" s="696" t="s">
        <v>1590</v>
      </c>
      <c r="G127" s="696" t="s">
        <v>1680</v>
      </c>
      <c r="H127" s="696" t="s">
        <v>558</v>
      </c>
      <c r="I127" s="696" t="s">
        <v>1681</v>
      </c>
      <c r="J127" s="696" t="s">
        <v>1682</v>
      </c>
      <c r="K127" s="696" t="s">
        <v>1683</v>
      </c>
      <c r="L127" s="699">
        <v>410</v>
      </c>
      <c r="M127" s="699">
        <v>3280</v>
      </c>
      <c r="N127" s="696">
        <v>8</v>
      </c>
      <c r="O127" s="700">
        <v>8</v>
      </c>
      <c r="P127" s="699">
        <v>3280</v>
      </c>
      <c r="Q127" s="701">
        <v>1</v>
      </c>
      <c r="R127" s="696">
        <v>8</v>
      </c>
      <c r="S127" s="701">
        <v>1</v>
      </c>
      <c r="T127" s="700">
        <v>8</v>
      </c>
      <c r="U127" s="702">
        <v>1</v>
      </c>
    </row>
    <row r="128" spans="1:21" ht="14.4" customHeight="1" x14ac:dyDescent="0.3">
      <c r="A128" s="695">
        <v>31</v>
      </c>
      <c r="B128" s="696" t="s">
        <v>557</v>
      </c>
      <c r="C128" s="696">
        <v>89301311</v>
      </c>
      <c r="D128" s="697" t="s">
        <v>2234</v>
      </c>
      <c r="E128" s="698" t="s">
        <v>1611</v>
      </c>
      <c r="F128" s="696" t="s">
        <v>1590</v>
      </c>
      <c r="G128" s="696" t="s">
        <v>1689</v>
      </c>
      <c r="H128" s="696" t="s">
        <v>558</v>
      </c>
      <c r="I128" s="696" t="s">
        <v>1690</v>
      </c>
      <c r="J128" s="696" t="s">
        <v>1691</v>
      </c>
      <c r="K128" s="696" t="s">
        <v>1692</v>
      </c>
      <c r="L128" s="699">
        <v>35.75</v>
      </c>
      <c r="M128" s="699">
        <v>214.5</v>
      </c>
      <c r="N128" s="696">
        <v>6</v>
      </c>
      <c r="O128" s="700">
        <v>3</v>
      </c>
      <c r="P128" s="699">
        <v>214.5</v>
      </c>
      <c r="Q128" s="701">
        <v>1</v>
      </c>
      <c r="R128" s="696">
        <v>6</v>
      </c>
      <c r="S128" s="701">
        <v>1</v>
      </c>
      <c r="T128" s="700">
        <v>3</v>
      </c>
      <c r="U128" s="702">
        <v>1</v>
      </c>
    </row>
    <row r="129" spans="1:21" ht="14.4" customHeight="1" x14ac:dyDescent="0.3">
      <c r="A129" s="695">
        <v>31</v>
      </c>
      <c r="B129" s="696" t="s">
        <v>557</v>
      </c>
      <c r="C129" s="696">
        <v>89301311</v>
      </c>
      <c r="D129" s="697" t="s">
        <v>2234</v>
      </c>
      <c r="E129" s="698" t="s">
        <v>1611</v>
      </c>
      <c r="F129" s="696" t="s">
        <v>1590</v>
      </c>
      <c r="G129" s="696" t="s">
        <v>1693</v>
      </c>
      <c r="H129" s="696" t="s">
        <v>558</v>
      </c>
      <c r="I129" s="696" t="s">
        <v>1694</v>
      </c>
      <c r="J129" s="696" t="s">
        <v>1695</v>
      </c>
      <c r="K129" s="696" t="s">
        <v>1696</v>
      </c>
      <c r="L129" s="699">
        <v>260</v>
      </c>
      <c r="M129" s="699">
        <v>520</v>
      </c>
      <c r="N129" s="696">
        <v>2</v>
      </c>
      <c r="O129" s="700">
        <v>1</v>
      </c>
      <c r="P129" s="699">
        <v>520</v>
      </c>
      <c r="Q129" s="701">
        <v>1</v>
      </c>
      <c r="R129" s="696">
        <v>2</v>
      </c>
      <c r="S129" s="701">
        <v>1</v>
      </c>
      <c r="T129" s="700">
        <v>1</v>
      </c>
      <c r="U129" s="702">
        <v>1</v>
      </c>
    </row>
    <row r="130" spans="1:21" ht="14.4" customHeight="1" x14ac:dyDescent="0.3">
      <c r="A130" s="695">
        <v>31</v>
      </c>
      <c r="B130" s="696" t="s">
        <v>557</v>
      </c>
      <c r="C130" s="696">
        <v>89301311</v>
      </c>
      <c r="D130" s="697" t="s">
        <v>2234</v>
      </c>
      <c r="E130" s="698" t="s">
        <v>1611</v>
      </c>
      <c r="F130" s="696" t="s">
        <v>1590</v>
      </c>
      <c r="G130" s="696" t="s">
        <v>1693</v>
      </c>
      <c r="H130" s="696" t="s">
        <v>558</v>
      </c>
      <c r="I130" s="696" t="s">
        <v>1697</v>
      </c>
      <c r="J130" s="696" t="s">
        <v>1698</v>
      </c>
      <c r="K130" s="696" t="s">
        <v>1699</v>
      </c>
      <c r="L130" s="699">
        <v>200</v>
      </c>
      <c r="M130" s="699">
        <v>2000</v>
      </c>
      <c r="N130" s="696">
        <v>10</v>
      </c>
      <c r="O130" s="700">
        <v>5</v>
      </c>
      <c r="P130" s="699">
        <v>2000</v>
      </c>
      <c r="Q130" s="701">
        <v>1</v>
      </c>
      <c r="R130" s="696">
        <v>10</v>
      </c>
      <c r="S130" s="701">
        <v>1</v>
      </c>
      <c r="T130" s="700">
        <v>5</v>
      </c>
      <c r="U130" s="702">
        <v>1</v>
      </c>
    </row>
    <row r="131" spans="1:21" ht="14.4" customHeight="1" x14ac:dyDescent="0.3">
      <c r="A131" s="695">
        <v>31</v>
      </c>
      <c r="B131" s="696" t="s">
        <v>557</v>
      </c>
      <c r="C131" s="696">
        <v>89301311</v>
      </c>
      <c r="D131" s="697" t="s">
        <v>2234</v>
      </c>
      <c r="E131" s="698" t="s">
        <v>1611</v>
      </c>
      <c r="F131" s="696" t="s">
        <v>1590</v>
      </c>
      <c r="G131" s="696" t="s">
        <v>1700</v>
      </c>
      <c r="H131" s="696" t="s">
        <v>558</v>
      </c>
      <c r="I131" s="696" t="s">
        <v>1701</v>
      </c>
      <c r="J131" s="696" t="s">
        <v>1702</v>
      </c>
      <c r="K131" s="696" t="s">
        <v>1703</v>
      </c>
      <c r="L131" s="699">
        <v>3000</v>
      </c>
      <c r="M131" s="699">
        <v>3000</v>
      </c>
      <c r="N131" s="696">
        <v>1</v>
      </c>
      <c r="O131" s="700">
        <v>1</v>
      </c>
      <c r="P131" s="699">
        <v>3000</v>
      </c>
      <c r="Q131" s="701">
        <v>1</v>
      </c>
      <c r="R131" s="696">
        <v>1</v>
      </c>
      <c r="S131" s="701">
        <v>1</v>
      </c>
      <c r="T131" s="700">
        <v>1</v>
      </c>
      <c r="U131" s="702">
        <v>1</v>
      </c>
    </row>
    <row r="132" spans="1:21" ht="14.4" customHeight="1" x14ac:dyDescent="0.3">
      <c r="A132" s="695">
        <v>31</v>
      </c>
      <c r="B132" s="696" t="s">
        <v>557</v>
      </c>
      <c r="C132" s="696">
        <v>89301311</v>
      </c>
      <c r="D132" s="697" t="s">
        <v>2234</v>
      </c>
      <c r="E132" s="698" t="s">
        <v>1611</v>
      </c>
      <c r="F132" s="696" t="s">
        <v>1590</v>
      </c>
      <c r="G132" s="696" t="s">
        <v>1700</v>
      </c>
      <c r="H132" s="696" t="s">
        <v>558</v>
      </c>
      <c r="I132" s="696" t="s">
        <v>1704</v>
      </c>
      <c r="J132" s="696" t="s">
        <v>1705</v>
      </c>
      <c r="K132" s="696" t="s">
        <v>1706</v>
      </c>
      <c r="L132" s="699">
        <v>199.5</v>
      </c>
      <c r="M132" s="699">
        <v>598.5</v>
      </c>
      <c r="N132" s="696">
        <v>3</v>
      </c>
      <c r="O132" s="700">
        <v>3</v>
      </c>
      <c r="P132" s="699">
        <v>598.5</v>
      </c>
      <c r="Q132" s="701">
        <v>1</v>
      </c>
      <c r="R132" s="696">
        <v>3</v>
      </c>
      <c r="S132" s="701">
        <v>1</v>
      </c>
      <c r="T132" s="700">
        <v>3</v>
      </c>
      <c r="U132" s="702">
        <v>1</v>
      </c>
    </row>
    <row r="133" spans="1:21" ht="14.4" customHeight="1" x14ac:dyDescent="0.3">
      <c r="A133" s="695">
        <v>31</v>
      </c>
      <c r="B133" s="696" t="s">
        <v>557</v>
      </c>
      <c r="C133" s="696">
        <v>89301311</v>
      </c>
      <c r="D133" s="697" t="s">
        <v>2234</v>
      </c>
      <c r="E133" s="698" t="s">
        <v>1611</v>
      </c>
      <c r="F133" s="696" t="s">
        <v>1590</v>
      </c>
      <c r="G133" s="696" t="s">
        <v>1700</v>
      </c>
      <c r="H133" s="696" t="s">
        <v>558</v>
      </c>
      <c r="I133" s="696" t="s">
        <v>1707</v>
      </c>
      <c r="J133" s="696" t="s">
        <v>1708</v>
      </c>
      <c r="K133" s="696" t="s">
        <v>1709</v>
      </c>
      <c r="L133" s="699">
        <v>492.18</v>
      </c>
      <c r="M133" s="699">
        <v>1968.72</v>
      </c>
      <c r="N133" s="696">
        <v>4</v>
      </c>
      <c r="O133" s="700">
        <v>4</v>
      </c>
      <c r="P133" s="699">
        <v>1968.72</v>
      </c>
      <c r="Q133" s="701">
        <v>1</v>
      </c>
      <c r="R133" s="696">
        <v>4</v>
      </c>
      <c r="S133" s="701">
        <v>1</v>
      </c>
      <c r="T133" s="700">
        <v>4</v>
      </c>
      <c r="U133" s="702">
        <v>1</v>
      </c>
    </row>
    <row r="134" spans="1:21" ht="14.4" customHeight="1" x14ac:dyDescent="0.3">
      <c r="A134" s="695">
        <v>31</v>
      </c>
      <c r="B134" s="696" t="s">
        <v>557</v>
      </c>
      <c r="C134" s="696">
        <v>89301311</v>
      </c>
      <c r="D134" s="697" t="s">
        <v>2234</v>
      </c>
      <c r="E134" s="698" t="s">
        <v>1611</v>
      </c>
      <c r="F134" s="696" t="s">
        <v>1590</v>
      </c>
      <c r="G134" s="696" t="s">
        <v>1700</v>
      </c>
      <c r="H134" s="696" t="s">
        <v>558</v>
      </c>
      <c r="I134" s="696" t="s">
        <v>1783</v>
      </c>
      <c r="J134" s="696" t="s">
        <v>1784</v>
      </c>
      <c r="K134" s="696" t="s">
        <v>1785</v>
      </c>
      <c r="L134" s="699">
        <v>2296.87</v>
      </c>
      <c r="M134" s="699">
        <v>2296.87</v>
      </c>
      <c r="N134" s="696">
        <v>1</v>
      </c>
      <c r="O134" s="700">
        <v>1</v>
      </c>
      <c r="P134" s="699">
        <v>2296.87</v>
      </c>
      <c r="Q134" s="701">
        <v>1</v>
      </c>
      <c r="R134" s="696">
        <v>1</v>
      </c>
      <c r="S134" s="701">
        <v>1</v>
      </c>
      <c r="T134" s="700">
        <v>1</v>
      </c>
      <c r="U134" s="702">
        <v>1</v>
      </c>
    </row>
    <row r="135" spans="1:21" ht="14.4" customHeight="1" x14ac:dyDescent="0.3">
      <c r="A135" s="695">
        <v>31</v>
      </c>
      <c r="B135" s="696" t="s">
        <v>557</v>
      </c>
      <c r="C135" s="696">
        <v>89301311</v>
      </c>
      <c r="D135" s="697" t="s">
        <v>2234</v>
      </c>
      <c r="E135" s="698" t="s">
        <v>1611</v>
      </c>
      <c r="F135" s="696" t="s">
        <v>1590</v>
      </c>
      <c r="G135" s="696" t="s">
        <v>1700</v>
      </c>
      <c r="H135" s="696" t="s">
        <v>558</v>
      </c>
      <c r="I135" s="696" t="s">
        <v>1786</v>
      </c>
      <c r="J135" s="696" t="s">
        <v>1787</v>
      </c>
      <c r="K135" s="696" t="s">
        <v>1788</v>
      </c>
      <c r="L135" s="699">
        <v>320.25</v>
      </c>
      <c r="M135" s="699">
        <v>320.25</v>
      </c>
      <c r="N135" s="696">
        <v>1</v>
      </c>
      <c r="O135" s="700">
        <v>1</v>
      </c>
      <c r="P135" s="699">
        <v>320.25</v>
      </c>
      <c r="Q135" s="701">
        <v>1</v>
      </c>
      <c r="R135" s="696">
        <v>1</v>
      </c>
      <c r="S135" s="701">
        <v>1</v>
      </c>
      <c r="T135" s="700">
        <v>1</v>
      </c>
      <c r="U135" s="702">
        <v>1</v>
      </c>
    </row>
    <row r="136" spans="1:21" ht="14.4" customHeight="1" x14ac:dyDescent="0.3">
      <c r="A136" s="695">
        <v>31</v>
      </c>
      <c r="B136" s="696" t="s">
        <v>557</v>
      </c>
      <c r="C136" s="696">
        <v>89301311</v>
      </c>
      <c r="D136" s="697" t="s">
        <v>2234</v>
      </c>
      <c r="E136" s="698" t="s">
        <v>1611</v>
      </c>
      <c r="F136" s="696" t="s">
        <v>1590</v>
      </c>
      <c r="G136" s="696" t="s">
        <v>1700</v>
      </c>
      <c r="H136" s="696" t="s">
        <v>558</v>
      </c>
      <c r="I136" s="696" t="s">
        <v>1715</v>
      </c>
      <c r="J136" s="696" t="s">
        <v>1716</v>
      </c>
      <c r="K136" s="696" t="s">
        <v>1717</v>
      </c>
      <c r="L136" s="699">
        <v>971.25</v>
      </c>
      <c r="M136" s="699">
        <v>3885</v>
      </c>
      <c r="N136" s="696">
        <v>4</v>
      </c>
      <c r="O136" s="700">
        <v>4</v>
      </c>
      <c r="P136" s="699">
        <v>3885</v>
      </c>
      <c r="Q136" s="701">
        <v>1</v>
      </c>
      <c r="R136" s="696">
        <v>4</v>
      </c>
      <c r="S136" s="701">
        <v>1</v>
      </c>
      <c r="T136" s="700">
        <v>4</v>
      </c>
      <c r="U136" s="702">
        <v>1</v>
      </c>
    </row>
    <row r="137" spans="1:21" ht="14.4" customHeight="1" x14ac:dyDescent="0.3">
      <c r="A137" s="695">
        <v>31</v>
      </c>
      <c r="B137" s="696" t="s">
        <v>557</v>
      </c>
      <c r="C137" s="696">
        <v>89301311</v>
      </c>
      <c r="D137" s="697" t="s">
        <v>2234</v>
      </c>
      <c r="E137" s="698" t="s">
        <v>1611</v>
      </c>
      <c r="F137" s="696" t="s">
        <v>1590</v>
      </c>
      <c r="G137" s="696" t="s">
        <v>1700</v>
      </c>
      <c r="H137" s="696" t="s">
        <v>558</v>
      </c>
      <c r="I137" s="696" t="s">
        <v>1747</v>
      </c>
      <c r="J137" s="696" t="s">
        <v>1748</v>
      </c>
      <c r="K137" s="696" t="s">
        <v>1749</v>
      </c>
      <c r="L137" s="699">
        <v>349.12</v>
      </c>
      <c r="M137" s="699">
        <v>349.12</v>
      </c>
      <c r="N137" s="696">
        <v>1</v>
      </c>
      <c r="O137" s="700">
        <v>1</v>
      </c>
      <c r="P137" s="699">
        <v>349.12</v>
      </c>
      <c r="Q137" s="701">
        <v>1</v>
      </c>
      <c r="R137" s="696">
        <v>1</v>
      </c>
      <c r="S137" s="701">
        <v>1</v>
      </c>
      <c r="T137" s="700">
        <v>1</v>
      </c>
      <c r="U137" s="702">
        <v>1</v>
      </c>
    </row>
    <row r="138" spans="1:21" ht="14.4" customHeight="1" x14ac:dyDescent="0.3">
      <c r="A138" s="695">
        <v>31</v>
      </c>
      <c r="B138" s="696" t="s">
        <v>557</v>
      </c>
      <c r="C138" s="696">
        <v>89301311</v>
      </c>
      <c r="D138" s="697" t="s">
        <v>2234</v>
      </c>
      <c r="E138" s="698" t="s">
        <v>1611</v>
      </c>
      <c r="F138" s="696" t="s">
        <v>1590</v>
      </c>
      <c r="G138" s="696" t="s">
        <v>1700</v>
      </c>
      <c r="H138" s="696" t="s">
        <v>558</v>
      </c>
      <c r="I138" s="696" t="s">
        <v>1762</v>
      </c>
      <c r="J138" s="696" t="s">
        <v>1763</v>
      </c>
      <c r="K138" s="696" t="s">
        <v>1764</v>
      </c>
      <c r="L138" s="699">
        <v>855</v>
      </c>
      <c r="M138" s="699">
        <v>855</v>
      </c>
      <c r="N138" s="696">
        <v>1</v>
      </c>
      <c r="O138" s="700">
        <v>1</v>
      </c>
      <c r="P138" s="699">
        <v>855</v>
      </c>
      <c r="Q138" s="701">
        <v>1</v>
      </c>
      <c r="R138" s="696">
        <v>1</v>
      </c>
      <c r="S138" s="701">
        <v>1</v>
      </c>
      <c r="T138" s="700">
        <v>1</v>
      </c>
      <c r="U138" s="702">
        <v>1</v>
      </c>
    </row>
    <row r="139" spans="1:21" ht="14.4" customHeight="1" x14ac:dyDescent="0.3">
      <c r="A139" s="695">
        <v>31</v>
      </c>
      <c r="B139" s="696" t="s">
        <v>557</v>
      </c>
      <c r="C139" s="696">
        <v>89301311</v>
      </c>
      <c r="D139" s="697" t="s">
        <v>2234</v>
      </c>
      <c r="E139" s="698" t="s">
        <v>1612</v>
      </c>
      <c r="F139" s="696" t="s">
        <v>1588</v>
      </c>
      <c r="G139" s="696" t="s">
        <v>1614</v>
      </c>
      <c r="H139" s="696" t="s">
        <v>914</v>
      </c>
      <c r="I139" s="696" t="s">
        <v>1367</v>
      </c>
      <c r="J139" s="696" t="s">
        <v>1317</v>
      </c>
      <c r="K139" s="696" t="s">
        <v>1368</v>
      </c>
      <c r="L139" s="699">
        <v>625.29</v>
      </c>
      <c r="M139" s="699">
        <v>3751.74</v>
      </c>
      <c r="N139" s="696">
        <v>6</v>
      </c>
      <c r="O139" s="700">
        <v>3.5</v>
      </c>
      <c r="P139" s="699">
        <v>2501.16</v>
      </c>
      <c r="Q139" s="701">
        <v>0.66666666666666663</v>
      </c>
      <c r="R139" s="696">
        <v>4</v>
      </c>
      <c r="S139" s="701">
        <v>0.66666666666666663</v>
      </c>
      <c r="T139" s="700">
        <v>2</v>
      </c>
      <c r="U139" s="702">
        <v>0.5714285714285714</v>
      </c>
    </row>
    <row r="140" spans="1:21" ht="14.4" customHeight="1" x14ac:dyDescent="0.3">
      <c r="A140" s="695">
        <v>31</v>
      </c>
      <c r="B140" s="696" t="s">
        <v>557</v>
      </c>
      <c r="C140" s="696">
        <v>89301311</v>
      </c>
      <c r="D140" s="697" t="s">
        <v>2234</v>
      </c>
      <c r="E140" s="698" t="s">
        <v>1612</v>
      </c>
      <c r="F140" s="696" t="s">
        <v>1588</v>
      </c>
      <c r="G140" s="696" t="s">
        <v>1651</v>
      </c>
      <c r="H140" s="696" t="s">
        <v>914</v>
      </c>
      <c r="I140" s="696" t="s">
        <v>944</v>
      </c>
      <c r="J140" s="696" t="s">
        <v>917</v>
      </c>
      <c r="K140" s="696" t="s">
        <v>1542</v>
      </c>
      <c r="L140" s="699">
        <v>48.31</v>
      </c>
      <c r="M140" s="699">
        <v>48.31</v>
      </c>
      <c r="N140" s="696">
        <v>1</v>
      </c>
      <c r="O140" s="700">
        <v>1</v>
      </c>
      <c r="P140" s="699"/>
      <c r="Q140" s="701">
        <v>0</v>
      </c>
      <c r="R140" s="696"/>
      <c r="S140" s="701">
        <v>0</v>
      </c>
      <c r="T140" s="700"/>
      <c r="U140" s="702">
        <v>0</v>
      </c>
    </row>
    <row r="141" spans="1:21" ht="14.4" customHeight="1" x14ac:dyDescent="0.3">
      <c r="A141" s="695">
        <v>31</v>
      </c>
      <c r="B141" s="696" t="s">
        <v>557</v>
      </c>
      <c r="C141" s="696">
        <v>89301311</v>
      </c>
      <c r="D141" s="697" t="s">
        <v>2234</v>
      </c>
      <c r="E141" s="698" t="s">
        <v>1612</v>
      </c>
      <c r="F141" s="696" t="s">
        <v>1588</v>
      </c>
      <c r="G141" s="696" t="s">
        <v>1654</v>
      </c>
      <c r="H141" s="696" t="s">
        <v>558</v>
      </c>
      <c r="I141" s="696" t="s">
        <v>1789</v>
      </c>
      <c r="J141" s="696" t="s">
        <v>743</v>
      </c>
      <c r="K141" s="696" t="s">
        <v>1790</v>
      </c>
      <c r="L141" s="699">
        <v>0</v>
      </c>
      <c r="M141" s="699">
        <v>0</v>
      </c>
      <c r="N141" s="696">
        <v>6</v>
      </c>
      <c r="O141" s="700">
        <v>5.5</v>
      </c>
      <c r="P141" s="699"/>
      <c r="Q141" s="701"/>
      <c r="R141" s="696"/>
      <c r="S141" s="701">
        <v>0</v>
      </c>
      <c r="T141" s="700"/>
      <c r="U141" s="702">
        <v>0</v>
      </c>
    </row>
    <row r="142" spans="1:21" ht="14.4" customHeight="1" x14ac:dyDescent="0.3">
      <c r="A142" s="695">
        <v>31</v>
      </c>
      <c r="B142" s="696" t="s">
        <v>557</v>
      </c>
      <c r="C142" s="696">
        <v>89301311</v>
      </c>
      <c r="D142" s="697" t="s">
        <v>2234</v>
      </c>
      <c r="E142" s="698" t="s">
        <v>1612</v>
      </c>
      <c r="F142" s="696" t="s">
        <v>1588</v>
      </c>
      <c r="G142" s="696" t="s">
        <v>1668</v>
      </c>
      <c r="H142" s="696" t="s">
        <v>558</v>
      </c>
      <c r="I142" s="696" t="s">
        <v>647</v>
      </c>
      <c r="J142" s="696" t="s">
        <v>1669</v>
      </c>
      <c r="K142" s="696" t="s">
        <v>1670</v>
      </c>
      <c r="L142" s="699">
        <v>0</v>
      </c>
      <c r="M142" s="699">
        <v>0</v>
      </c>
      <c r="N142" s="696">
        <v>6</v>
      </c>
      <c r="O142" s="700">
        <v>3</v>
      </c>
      <c r="P142" s="699">
        <v>0</v>
      </c>
      <c r="Q142" s="701"/>
      <c r="R142" s="696">
        <v>3</v>
      </c>
      <c r="S142" s="701">
        <v>0.5</v>
      </c>
      <c r="T142" s="700">
        <v>1</v>
      </c>
      <c r="U142" s="702">
        <v>0.33333333333333331</v>
      </c>
    </row>
    <row r="143" spans="1:21" ht="14.4" customHeight="1" x14ac:dyDescent="0.3">
      <c r="A143" s="695">
        <v>31</v>
      </c>
      <c r="B143" s="696" t="s">
        <v>557</v>
      </c>
      <c r="C143" s="696">
        <v>89301311</v>
      </c>
      <c r="D143" s="697" t="s">
        <v>2234</v>
      </c>
      <c r="E143" s="698" t="s">
        <v>1613</v>
      </c>
      <c r="F143" s="696" t="s">
        <v>1588</v>
      </c>
      <c r="G143" s="696" t="s">
        <v>1617</v>
      </c>
      <c r="H143" s="696" t="s">
        <v>558</v>
      </c>
      <c r="I143" s="696" t="s">
        <v>782</v>
      </c>
      <c r="J143" s="696" t="s">
        <v>1618</v>
      </c>
      <c r="K143" s="696" t="s">
        <v>1619</v>
      </c>
      <c r="L143" s="699">
        <v>0</v>
      </c>
      <c r="M143" s="699">
        <v>0</v>
      </c>
      <c r="N143" s="696">
        <v>2</v>
      </c>
      <c r="O143" s="700">
        <v>1</v>
      </c>
      <c r="P143" s="699">
        <v>0</v>
      </c>
      <c r="Q143" s="701"/>
      <c r="R143" s="696">
        <v>1</v>
      </c>
      <c r="S143" s="701">
        <v>0.5</v>
      </c>
      <c r="T143" s="700">
        <v>0.5</v>
      </c>
      <c r="U143" s="702">
        <v>0.5</v>
      </c>
    </row>
    <row r="144" spans="1:21" ht="14.4" customHeight="1" x14ac:dyDescent="0.3">
      <c r="A144" s="695">
        <v>31</v>
      </c>
      <c r="B144" s="696" t="s">
        <v>557</v>
      </c>
      <c r="C144" s="696">
        <v>89301311</v>
      </c>
      <c r="D144" s="697" t="s">
        <v>2234</v>
      </c>
      <c r="E144" s="698" t="s">
        <v>1613</v>
      </c>
      <c r="F144" s="696" t="s">
        <v>1588</v>
      </c>
      <c r="G144" s="696" t="s">
        <v>1620</v>
      </c>
      <c r="H144" s="696" t="s">
        <v>914</v>
      </c>
      <c r="I144" s="696" t="s">
        <v>1019</v>
      </c>
      <c r="J144" s="696" t="s">
        <v>1525</v>
      </c>
      <c r="K144" s="696" t="s">
        <v>1526</v>
      </c>
      <c r="L144" s="699">
        <v>333.31</v>
      </c>
      <c r="M144" s="699">
        <v>333.31</v>
      </c>
      <c r="N144" s="696">
        <v>1</v>
      </c>
      <c r="O144" s="700">
        <v>1</v>
      </c>
      <c r="P144" s="699">
        <v>333.31</v>
      </c>
      <c r="Q144" s="701">
        <v>1</v>
      </c>
      <c r="R144" s="696">
        <v>1</v>
      </c>
      <c r="S144" s="701">
        <v>1</v>
      </c>
      <c r="T144" s="700">
        <v>1</v>
      </c>
      <c r="U144" s="702">
        <v>1</v>
      </c>
    </row>
    <row r="145" spans="1:21" ht="14.4" customHeight="1" x14ac:dyDescent="0.3">
      <c r="A145" s="695">
        <v>31</v>
      </c>
      <c r="B145" s="696" t="s">
        <v>557</v>
      </c>
      <c r="C145" s="696">
        <v>89301311</v>
      </c>
      <c r="D145" s="697" t="s">
        <v>2234</v>
      </c>
      <c r="E145" s="698" t="s">
        <v>1613</v>
      </c>
      <c r="F145" s="696" t="s">
        <v>1588</v>
      </c>
      <c r="G145" s="696" t="s">
        <v>1620</v>
      </c>
      <c r="H145" s="696" t="s">
        <v>914</v>
      </c>
      <c r="I145" s="696" t="s">
        <v>1041</v>
      </c>
      <c r="J145" s="696" t="s">
        <v>1529</v>
      </c>
      <c r="K145" s="696" t="s">
        <v>1530</v>
      </c>
      <c r="L145" s="699">
        <v>333.31</v>
      </c>
      <c r="M145" s="699">
        <v>999.93000000000006</v>
      </c>
      <c r="N145" s="696">
        <v>3</v>
      </c>
      <c r="O145" s="700">
        <v>2</v>
      </c>
      <c r="P145" s="699">
        <v>666.62</v>
      </c>
      <c r="Q145" s="701">
        <v>0.66666666666666663</v>
      </c>
      <c r="R145" s="696">
        <v>2</v>
      </c>
      <c r="S145" s="701">
        <v>0.66666666666666663</v>
      </c>
      <c r="T145" s="700">
        <v>1</v>
      </c>
      <c r="U145" s="702">
        <v>0.5</v>
      </c>
    </row>
    <row r="146" spans="1:21" ht="14.4" customHeight="1" x14ac:dyDescent="0.3">
      <c r="A146" s="695">
        <v>31</v>
      </c>
      <c r="B146" s="696" t="s">
        <v>557</v>
      </c>
      <c r="C146" s="696">
        <v>89301311</v>
      </c>
      <c r="D146" s="697" t="s">
        <v>2234</v>
      </c>
      <c r="E146" s="698" t="s">
        <v>1613</v>
      </c>
      <c r="F146" s="696" t="s">
        <v>1588</v>
      </c>
      <c r="G146" s="696" t="s">
        <v>1620</v>
      </c>
      <c r="H146" s="696" t="s">
        <v>558</v>
      </c>
      <c r="I146" s="696" t="s">
        <v>1791</v>
      </c>
      <c r="J146" s="696" t="s">
        <v>1792</v>
      </c>
      <c r="K146" s="696" t="s">
        <v>1793</v>
      </c>
      <c r="L146" s="699">
        <v>0</v>
      </c>
      <c r="M146" s="699">
        <v>0</v>
      </c>
      <c r="N146" s="696">
        <v>2</v>
      </c>
      <c r="O146" s="700">
        <v>0.5</v>
      </c>
      <c r="P146" s="699"/>
      <c r="Q146" s="701"/>
      <c r="R146" s="696"/>
      <c r="S146" s="701">
        <v>0</v>
      </c>
      <c r="T146" s="700"/>
      <c r="U146" s="702">
        <v>0</v>
      </c>
    </row>
    <row r="147" spans="1:21" ht="14.4" customHeight="1" x14ac:dyDescent="0.3">
      <c r="A147" s="695">
        <v>31</v>
      </c>
      <c r="B147" s="696" t="s">
        <v>557</v>
      </c>
      <c r="C147" s="696">
        <v>89301311</v>
      </c>
      <c r="D147" s="697" t="s">
        <v>2234</v>
      </c>
      <c r="E147" s="698" t="s">
        <v>1613</v>
      </c>
      <c r="F147" s="696" t="s">
        <v>1588</v>
      </c>
      <c r="G147" s="696" t="s">
        <v>1627</v>
      </c>
      <c r="H147" s="696" t="s">
        <v>914</v>
      </c>
      <c r="I147" s="696" t="s">
        <v>1030</v>
      </c>
      <c r="J147" s="696" t="s">
        <v>1031</v>
      </c>
      <c r="K147" s="696" t="s">
        <v>1537</v>
      </c>
      <c r="L147" s="699">
        <v>69.86</v>
      </c>
      <c r="M147" s="699">
        <v>69.86</v>
      </c>
      <c r="N147" s="696">
        <v>1</v>
      </c>
      <c r="O147" s="700">
        <v>0.5</v>
      </c>
      <c r="P147" s="699">
        <v>69.86</v>
      </c>
      <c r="Q147" s="701">
        <v>1</v>
      </c>
      <c r="R147" s="696">
        <v>1</v>
      </c>
      <c r="S147" s="701">
        <v>1</v>
      </c>
      <c r="T147" s="700">
        <v>0.5</v>
      </c>
      <c r="U147" s="702">
        <v>1</v>
      </c>
    </row>
    <row r="148" spans="1:21" ht="14.4" customHeight="1" x14ac:dyDescent="0.3">
      <c r="A148" s="695">
        <v>31</v>
      </c>
      <c r="B148" s="696" t="s">
        <v>557</v>
      </c>
      <c r="C148" s="696">
        <v>89301311</v>
      </c>
      <c r="D148" s="697" t="s">
        <v>2234</v>
      </c>
      <c r="E148" s="698" t="s">
        <v>1613</v>
      </c>
      <c r="F148" s="696" t="s">
        <v>1588</v>
      </c>
      <c r="G148" s="696" t="s">
        <v>1794</v>
      </c>
      <c r="H148" s="696" t="s">
        <v>558</v>
      </c>
      <c r="I148" s="696" t="s">
        <v>1795</v>
      </c>
      <c r="J148" s="696" t="s">
        <v>1796</v>
      </c>
      <c r="K148" s="696" t="s">
        <v>1797</v>
      </c>
      <c r="L148" s="699">
        <v>81.77</v>
      </c>
      <c r="M148" s="699">
        <v>81.77</v>
      </c>
      <c r="N148" s="696">
        <v>1</v>
      </c>
      <c r="O148" s="700">
        <v>0.5</v>
      </c>
      <c r="P148" s="699">
        <v>81.77</v>
      </c>
      <c r="Q148" s="701">
        <v>1</v>
      </c>
      <c r="R148" s="696">
        <v>1</v>
      </c>
      <c r="S148" s="701">
        <v>1</v>
      </c>
      <c r="T148" s="700">
        <v>0.5</v>
      </c>
      <c r="U148" s="702">
        <v>1</v>
      </c>
    </row>
    <row r="149" spans="1:21" ht="14.4" customHeight="1" x14ac:dyDescent="0.3">
      <c r="A149" s="695">
        <v>31</v>
      </c>
      <c r="B149" s="696" t="s">
        <v>557</v>
      </c>
      <c r="C149" s="696">
        <v>89301311</v>
      </c>
      <c r="D149" s="697" t="s">
        <v>2234</v>
      </c>
      <c r="E149" s="698" t="s">
        <v>1613</v>
      </c>
      <c r="F149" s="696" t="s">
        <v>1588</v>
      </c>
      <c r="G149" s="696" t="s">
        <v>1798</v>
      </c>
      <c r="H149" s="696" t="s">
        <v>558</v>
      </c>
      <c r="I149" s="696" t="s">
        <v>1799</v>
      </c>
      <c r="J149" s="696" t="s">
        <v>1451</v>
      </c>
      <c r="K149" s="696" t="s">
        <v>1800</v>
      </c>
      <c r="L149" s="699">
        <v>0</v>
      </c>
      <c r="M149" s="699">
        <v>0</v>
      </c>
      <c r="N149" s="696">
        <v>2</v>
      </c>
      <c r="O149" s="700">
        <v>0.5</v>
      </c>
      <c r="P149" s="699">
        <v>0</v>
      </c>
      <c r="Q149" s="701"/>
      <c r="R149" s="696">
        <v>2</v>
      </c>
      <c r="S149" s="701">
        <v>1</v>
      </c>
      <c r="T149" s="700">
        <v>0.5</v>
      </c>
      <c r="U149" s="702">
        <v>1</v>
      </c>
    </row>
    <row r="150" spans="1:21" ht="14.4" customHeight="1" x14ac:dyDescent="0.3">
      <c r="A150" s="695">
        <v>31</v>
      </c>
      <c r="B150" s="696" t="s">
        <v>557</v>
      </c>
      <c r="C150" s="696">
        <v>89301311</v>
      </c>
      <c r="D150" s="697" t="s">
        <v>2234</v>
      </c>
      <c r="E150" s="698" t="s">
        <v>1613</v>
      </c>
      <c r="F150" s="696" t="s">
        <v>1588</v>
      </c>
      <c r="G150" s="696" t="s">
        <v>1638</v>
      </c>
      <c r="H150" s="696" t="s">
        <v>558</v>
      </c>
      <c r="I150" s="696" t="s">
        <v>1639</v>
      </c>
      <c r="J150" s="696" t="s">
        <v>1640</v>
      </c>
      <c r="K150" s="696"/>
      <c r="L150" s="699">
        <v>0</v>
      </c>
      <c r="M150" s="699">
        <v>0</v>
      </c>
      <c r="N150" s="696">
        <v>7</v>
      </c>
      <c r="O150" s="700">
        <v>5</v>
      </c>
      <c r="P150" s="699">
        <v>0</v>
      </c>
      <c r="Q150" s="701"/>
      <c r="R150" s="696">
        <v>5</v>
      </c>
      <c r="S150" s="701">
        <v>0.7142857142857143</v>
      </c>
      <c r="T150" s="700">
        <v>3.5</v>
      </c>
      <c r="U150" s="702">
        <v>0.7</v>
      </c>
    </row>
    <row r="151" spans="1:21" ht="14.4" customHeight="1" x14ac:dyDescent="0.3">
      <c r="A151" s="695">
        <v>31</v>
      </c>
      <c r="B151" s="696" t="s">
        <v>557</v>
      </c>
      <c r="C151" s="696">
        <v>89301311</v>
      </c>
      <c r="D151" s="697" t="s">
        <v>2234</v>
      </c>
      <c r="E151" s="698" t="s">
        <v>1613</v>
      </c>
      <c r="F151" s="696" t="s">
        <v>1588</v>
      </c>
      <c r="G151" s="696" t="s">
        <v>1725</v>
      </c>
      <c r="H151" s="696" t="s">
        <v>558</v>
      </c>
      <c r="I151" s="696" t="s">
        <v>1726</v>
      </c>
      <c r="J151" s="696" t="s">
        <v>716</v>
      </c>
      <c r="K151" s="696" t="s">
        <v>1727</v>
      </c>
      <c r="L151" s="699">
        <v>0</v>
      </c>
      <c r="M151" s="699">
        <v>0</v>
      </c>
      <c r="N151" s="696">
        <v>2</v>
      </c>
      <c r="O151" s="700">
        <v>1</v>
      </c>
      <c r="P151" s="699">
        <v>0</v>
      </c>
      <c r="Q151" s="701"/>
      <c r="R151" s="696">
        <v>2</v>
      </c>
      <c r="S151" s="701">
        <v>1</v>
      </c>
      <c r="T151" s="700">
        <v>1</v>
      </c>
      <c r="U151" s="702">
        <v>1</v>
      </c>
    </row>
    <row r="152" spans="1:21" ht="14.4" customHeight="1" x14ac:dyDescent="0.3">
      <c r="A152" s="695">
        <v>31</v>
      </c>
      <c r="B152" s="696" t="s">
        <v>557</v>
      </c>
      <c r="C152" s="696">
        <v>89301311</v>
      </c>
      <c r="D152" s="697" t="s">
        <v>2234</v>
      </c>
      <c r="E152" s="698" t="s">
        <v>1613</v>
      </c>
      <c r="F152" s="696" t="s">
        <v>1588</v>
      </c>
      <c r="G152" s="696" t="s">
        <v>1645</v>
      </c>
      <c r="H152" s="696" t="s">
        <v>914</v>
      </c>
      <c r="I152" s="696" t="s">
        <v>1045</v>
      </c>
      <c r="J152" s="696" t="s">
        <v>1046</v>
      </c>
      <c r="K152" s="696" t="s">
        <v>1047</v>
      </c>
      <c r="L152" s="699">
        <v>154.01</v>
      </c>
      <c r="M152" s="699">
        <v>2002.1299999999999</v>
      </c>
      <c r="N152" s="696">
        <v>13</v>
      </c>
      <c r="O152" s="700">
        <v>5</v>
      </c>
      <c r="P152" s="699">
        <v>2002.1299999999999</v>
      </c>
      <c r="Q152" s="701">
        <v>1</v>
      </c>
      <c r="R152" s="696">
        <v>13</v>
      </c>
      <c r="S152" s="701">
        <v>1</v>
      </c>
      <c r="T152" s="700">
        <v>5</v>
      </c>
      <c r="U152" s="702">
        <v>1</v>
      </c>
    </row>
    <row r="153" spans="1:21" ht="14.4" customHeight="1" x14ac:dyDescent="0.3">
      <c r="A153" s="695">
        <v>31</v>
      </c>
      <c r="B153" s="696" t="s">
        <v>557</v>
      </c>
      <c r="C153" s="696">
        <v>89301311</v>
      </c>
      <c r="D153" s="697" t="s">
        <v>2234</v>
      </c>
      <c r="E153" s="698" t="s">
        <v>1613</v>
      </c>
      <c r="F153" s="696" t="s">
        <v>1588</v>
      </c>
      <c r="G153" s="696" t="s">
        <v>1756</v>
      </c>
      <c r="H153" s="696" t="s">
        <v>558</v>
      </c>
      <c r="I153" s="696" t="s">
        <v>972</v>
      </c>
      <c r="J153" s="696" t="s">
        <v>973</v>
      </c>
      <c r="K153" s="696" t="s">
        <v>1757</v>
      </c>
      <c r="L153" s="699">
        <v>31.54</v>
      </c>
      <c r="M153" s="699">
        <v>31.54</v>
      </c>
      <c r="N153" s="696">
        <v>1</v>
      </c>
      <c r="O153" s="700">
        <v>0.5</v>
      </c>
      <c r="P153" s="699">
        <v>31.54</v>
      </c>
      <c r="Q153" s="701">
        <v>1</v>
      </c>
      <c r="R153" s="696">
        <v>1</v>
      </c>
      <c r="S153" s="701">
        <v>1</v>
      </c>
      <c r="T153" s="700">
        <v>0.5</v>
      </c>
      <c r="U153" s="702">
        <v>1</v>
      </c>
    </row>
    <row r="154" spans="1:21" ht="14.4" customHeight="1" x14ac:dyDescent="0.3">
      <c r="A154" s="695">
        <v>31</v>
      </c>
      <c r="B154" s="696" t="s">
        <v>557</v>
      </c>
      <c r="C154" s="696">
        <v>89301311</v>
      </c>
      <c r="D154" s="697" t="s">
        <v>2234</v>
      </c>
      <c r="E154" s="698" t="s">
        <v>1613</v>
      </c>
      <c r="F154" s="696" t="s">
        <v>1588</v>
      </c>
      <c r="G154" s="696" t="s">
        <v>1614</v>
      </c>
      <c r="H154" s="696" t="s">
        <v>914</v>
      </c>
      <c r="I154" s="696" t="s">
        <v>1367</v>
      </c>
      <c r="J154" s="696" t="s">
        <v>1317</v>
      </c>
      <c r="K154" s="696" t="s">
        <v>1368</v>
      </c>
      <c r="L154" s="699">
        <v>625.29</v>
      </c>
      <c r="M154" s="699">
        <v>43770.3</v>
      </c>
      <c r="N154" s="696">
        <v>70</v>
      </c>
      <c r="O154" s="700">
        <v>20.5</v>
      </c>
      <c r="P154" s="699">
        <v>30639.210000000003</v>
      </c>
      <c r="Q154" s="701">
        <v>0.70000000000000007</v>
      </c>
      <c r="R154" s="696">
        <v>49</v>
      </c>
      <c r="S154" s="701">
        <v>0.7</v>
      </c>
      <c r="T154" s="700">
        <v>14.5</v>
      </c>
      <c r="U154" s="702">
        <v>0.70731707317073167</v>
      </c>
    </row>
    <row r="155" spans="1:21" ht="14.4" customHeight="1" x14ac:dyDescent="0.3">
      <c r="A155" s="695">
        <v>31</v>
      </c>
      <c r="B155" s="696" t="s">
        <v>557</v>
      </c>
      <c r="C155" s="696">
        <v>89301311</v>
      </c>
      <c r="D155" s="697" t="s">
        <v>2234</v>
      </c>
      <c r="E155" s="698" t="s">
        <v>1613</v>
      </c>
      <c r="F155" s="696" t="s">
        <v>1588</v>
      </c>
      <c r="G155" s="696" t="s">
        <v>1614</v>
      </c>
      <c r="H155" s="696" t="s">
        <v>914</v>
      </c>
      <c r="I155" s="696" t="s">
        <v>1316</v>
      </c>
      <c r="J155" s="696" t="s">
        <v>1317</v>
      </c>
      <c r="K155" s="696" t="s">
        <v>1318</v>
      </c>
      <c r="L155" s="699">
        <v>937.93</v>
      </c>
      <c r="M155" s="699">
        <v>18758.599999999999</v>
      </c>
      <c r="N155" s="696">
        <v>20</v>
      </c>
      <c r="O155" s="700">
        <v>4.5</v>
      </c>
      <c r="P155" s="699">
        <v>7503.44</v>
      </c>
      <c r="Q155" s="701">
        <v>0.4</v>
      </c>
      <c r="R155" s="696">
        <v>8</v>
      </c>
      <c r="S155" s="701">
        <v>0.4</v>
      </c>
      <c r="T155" s="700">
        <v>2</v>
      </c>
      <c r="U155" s="702">
        <v>0.44444444444444442</v>
      </c>
    </row>
    <row r="156" spans="1:21" ht="14.4" customHeight="1" x14ac:dyDescent="0.3">
      <c r="A156" s="695">
        <v>31</v>
      </c>
      <c r="B156" s="696" t="s">
        <v>557</v>
      </c>
      <c r="C156" s="696">
        <v>89301311</v>
      </c>
      <c r="D156" s="697" t="s">
        <v>2234</v>
      </c>
      <c r="E156" s="698" t="s">
        <v>1613</v>
      </c>
      <c r="F156" s="696" t="s">
        <v>1588</v>
      </c>
      <c r="G156" s="696" t="s">
        <v>1614</v>
      </c>
      <c r="H156" s="696" t="s">
        <v>914</v>
      </c>
      <c r="I156" s="696" t="s">
        <v>1728</v>
      </c>
      <c r="J156" s="696" t="s">
        <v>1317</v>
      </c>
      <c r="K156" s="696" t="s">
        <v>1729</v>
      </c>
      <c r="L156" s="699">
        <v>1166.47</v>
      </c>
      <c r="M156" s="699">
        <v>8165.2900000000009</v>
      </c>
      <c r="N156" s="696">
        <v>7</v>
      </c>
      <c r="O156" s="700">
        <v>3</v>
      </c>
      <c r="P156" s="699">
        <v>5832.35</v>
      </c>
      <c r="Q156" s="701">
        <v>0.7142857142857143</v>
      </c>
      <c r="R156" s="696">
        <v>5</v>
      </c>
      <c r="S156" s="701">
        <v>0.7142857142857143</v>
      </c>
      <c r="T156" s="700">
        <v>2</v>
      </c>
      <c r="U156" s="702">
        <v>0.66666666666666663</v>
      </c>
    </row>
    <row r="157" spans="1:21" ht="14.4" customHeight="1" x14ac:dyDescent="0.3">
      <c r="A157" s="695">
        <v>31</v>
      </c>
      <c r="B157" s="696" t="s">
        <v>557</v>
      </c>
      <c r="C157" s="696">
        <v>89301311</v>
      </c>
      <c r="D157" s="697" t="s">
        <v>2234</v>
      </c>
      <c r="E157" s="698" t="s">
        <v>1613</v>
      </c>
      <c r="F157" s="696" t="s">
        <v>1588</v>
      </c>
      <c r="G157" s="696" t="s">
        <v>1651</v>
      </c>
      <c r="H157" s="696" t="s">
        <v>914</v>
      </c>
      <c r="I157" s="696" t="s">
        <v>944</v>
      </c>
      <c r="J157" s="696" t="s">
        <v>917</v>
      </c>
      <c r="K157" s="696" t="s">
        <v>1542</v>
      </c>
      <c r="L157" s="699">
        <v>48.31</v>
      </c>
      <c r="M157" s="699">
        <v>48.31</v>
      </c>
      <c r="N157" s="696">
        <v>1</v>
      </c>
      <c r="O157" s="700">
        <v>0.5</v>
      </c>
      <c r="P157" s="699">
        <v>48.31</v>
      </c>
      <c r="Q157" s="701">
        <v>1</v>
      </c>
      <c r="R157" s="696">
        <v>1</v>
      </c>
      <c r="S157" s="701">
        <v>1</v>
      </c>
      <c r="T157" s="700">
        <v>0.5</v>
      </c>
      <c r="U157" s="702">
        <v>1</v>
      </c>
    </row>
    <row r="158" spans="1:21" ht="14.4" customHeight="1" x14ac:dyDescent="0.3">
      <c r="A158" s="695">
        <v>31</v>
      </c>
      <c r="B158" s="696" t="s">
        <v>557</v>
      </c>
      <c r="C158" s="696">
        <v>89301311</v>
      </c>
      <c r="D158" s="697" t="s">
        <v>2234</v>
      </c>
      <c r="E158" s="698" t="s">
        <v>1613</v>
      </c>
      <c r="F158" s="696" t="s">
        <v>1588</v>
      </c>
      <c r="G158" s="696" t="s">
        <v>1651</v>
      </c>
      <c r="H158" s="696" t="s">
        <v>914</v>
      </c>
      <c r="I158" s="696" t="s">
        <v>916</v>
      </c>
      <c r="J158" s="696" t="s">
        <v>917</v>
      </c>
      <c r="K158" s="696" t="s">
        <v>1543</v>
      </c>
      <c r="L158" s="699">
        <v>96.63</v>
      </c>
      <c r="M158" s="699">
        <v>2415.75</v>
      </c>
      <c r="N158" s="696">
        <v>25</v>
      </c>
      <c r="O158" s="700">
        <v>18</v>
      </c>
      <c r="P158" s="699">
        <v>1256.19</v>
      </c>
      <c r="Q158" s="701">
        <v>0.52</v>
      </c>
      <c r="R158" s="696">
        <v>13</v>
      </c>
      <c r="S158" s="701">
        <v>0.52</v>
      </c>
      <c r="T158" s="700">
        <v>9</v>
      </c>
      <c r="U158" s="702">
        <v>0.5</v>
      </c>
    </row>
    <row r="159" spans="1:21" ht="14.4" customHeight="1" x14ac:dyDescent="0.3">
      <c r="A159" s="695">
        <v>31</v>
      </c>
      <c r="B159" s="696" t="s">
        <v>557</v>
      </c>
      <c r="C159" s="696">
        <v>89301311</v>
      </c>
      <c r="D159" s="697" t="s">
        <v>2234</v>
      </c>
      <c r="E159" s="698" t="s">
        <v>1613</v>
      </c>
      <c r="F159" s="696" t="s">
        <v>1588</v>
      </c>
      <c r="G159" s="696" t="s">
        <v>1657</v>
      </c>
      <c r="H159" s="696" t="s">
        <v>558</v>
      </c>
      <c r="I159" s="696" t="s">
        <v>1801</v>
      </c>
      <c r="J159" s="696" t="s">
        <v>1659</v>
      </c>
      <c r="K159" s="696" t="s">
        <v>1660</v>
      </c>
      <c r="L159" s="699">
        <v>28.74</v>
      </c>
      <c r="M159" s="699">
        <v>28.74</v>
      </c>
      <c r="N159" s="696">
        <v>1</v>
      </c>
      <c r="O159" s="700">
        <v>0.5</v>
      </c>
      <c r="P159" s="699">
        <v>28.74</v>
      </c>
      <c r="Q159" s="701">
        <v>1</v>
      </c>
      <c r="R159" s="696">
        <v>1</v>
      </c>
      <c r="S159" s="701">
        <v>1</v>
      </c>
      <c r="T159" s="700">
        <v>0.5</v>
      </c>
      <c r="U159" s="702">
        <v>1</v>
      </c>
    </row>
    <row r="160" spans="1:21" ht="14.4" customHeight="1" x14ac:dyDescent="0.3">
      <c r="A160" s="695">
        <v>31</v>
      </c>
      <c r="B160" s="696" t="s">
        <v>557</v>
      </c>
      <c r="C160" s="696">
        <v>89301311</v>
      </c>
      <c r="D160" s="697" t="s">
        <v>2234</v>
      </c>
      <c r="E160" s="698" t="s">
        <v>1613</v>
      </c>
      <c r="F160" s="696" t="s">
        <v>1588</v>
      </c>
      <c r="G160" s="696" t="s">
        <v>1657</v>
      </c>
      <c r="H160" s="696" t="s">
        <v>558</v>
      </c>
      <c r="I160" s="696" t="s">
        <v>1658</v>
      </c>
      <c r="J160" s="696" t="s">
        <v>1659</v>
      </c>
      <c r="K160" s="696" t="s">
        <v>1660</v>
      </c>
      <c r="L160" s="699">
        <v>28.74</v>
      </c>
      <c r="M160" s="699">
        <v>114.96</v>
      </c>
      <c r="N160" s="696">
        <v>4</v>
      </c>
      <c r="O160" s="700">
        <v>3</v>
      </c>
      <c r="P160" s="699">
        <v>114.96</v>
      </c>
      <c r="Q160" s="701">
        <v>1</v>
      </c>
      <c r="R160" s="696">
        <v>4</v>
      </c>
      <c r="S160" s="701">
        <v>1</v>
      </c>
      <c r="T160" s="700">
        <v>3</v>
      </c>
      <c r="U160" s="702">
        <v>1</v>
      </c>
    </row>
    <row r="161" spans="1:21" ht="14.4" customHeight="1" x14ac:dyDescent="0.3">
      <c r="A161" s="695">
        <v>31</v>
      </c>
      <c r="B161" s="696" t="s">
        <v>557</v>
      </c>
      <c r="C161" s="696">
        <v>89301311</v>
      </c>
      <c r="D161" s="697" t="s">
        <v>2234</v>
      </c>
      <c r="E161" s="698" t="s">
        <v>1613</v>
      </c>
      <c r="F161" s="696" t="s">
        <v>1588</v>
      </c>
      <c r="G161" s="696" t="s">
        <v>1665</v>
      </c>
      <c r="H161" s="696" t="s">
        <v>558</v>
      </c>
      <c r="I161" s="696" t="s">
        <v>1666</v>
      </c>
      <c r="J161" s="696" t="s">
        <v>731</v>
      </c>
      <c r="K161" s="696" t="s">
        <v>1667</v>
      </c>
      <c r="L161" s="699">
        <v>112.13</v>
      </c>
      <c r="M161" s="699">
        <v>112.13</v>
      </c>
      <c r="N161" s="696">
        <v>1</v>
      </c>
      <c r="O161" s="700">
        <v>0.5</v>
      </c>
      <c r="P161" s="699">
        <v>112.13</v>
      </c>
      <c r="Q161" s="701">
        <v>1</v>
      </c>
      <c r="R161" s="696">
        <v>1</v>
      </c>
      <c r="S161" s="701">
        <v>1</v>
      </c>
      <c r="T161" s="700">
        <v>0.5</v>
      </c>
      <c r="U161" s="702">
        <v>1</v>
      </c>
    </row>
    <row r="162" spans="1:21" ht="14.4" customHeight="1" x14ac:dyDescent="0.3">
      <c r="A162" s="695">
        <v>31</v>
      </c>
      <c r="B162" s="696" t="s">
        <v>557</v>
      </c>
      <c r="C162" s="696">
        <v>89301311</v>
      </c>
      <c r="D162" s="697" t="s">
        <v>2234</v>
      </c>
      <c r="E162" s="698" t="s">
        <v>1613</v>
      </c>
      <c r="F162" s="696" t="s">
        <v>1588</v>
      </c>
      <c r="G162" s="696" t="s">
        <v>1668</v>
      </c>
      <c r="H162" s="696" t="s">
        <v>558</v>
      </c>
      <c r="I162" s="696" t="s">
        <v>647</v>
      </c>
      <c r="J162" s="696" t="s">
        <v>1669</v>
      </c>
      <c r="K162" s="696" t="s">
        <v>1670</v>
      </c>
      <c r="L162" s="699">
        <v>0</v>
      </c>
      <c r="M162" s="699">
        <v>0</v>
      </c>
      <c r="N162" s="696">
        <v>66</v>
      </c>
      <c r="O162" s="700">
        <v>47.5</v>
      </c>
      <c r="P162" s="699">
        <v>0</v>
      </c>
      <c r="Q162" s="701"/>
      <c r="R162" s="696">
        <v>37</v>
      </c>
      <c r="S162" s="701">
        <v>0.56060606060606055</v>
      </c>
      <c r="T162" s="700">
        <v>24.5</v>
      </c>
      <c r="U162" s="702">
        <v>0.51578947368421058</v>
      </c>
    </row>
    <row r="163" spans="1:21" ht="14.4" customHeight="1" x14ac:dyDescent="0.3">
      <c r="A163" s="695">
        <v>31</v>
      </c>
      <c r="B163" s="696" t="s">
        <v>557</v>
      </c>
      <c r="C163" s="696">
        <v>89301311</v>
      </c>
      <c r="D163" s="697" t="s">
        <v>2234</v>
      </c>
      <c r="E163" s="698" t="s">
        <v>1613</v>
      </c>
      <c r="F163" s="696" t="s">
        <v>1588</v>
      </c>
      <c r="G163" s="696" t="s">
        <v>1671</v>
      </c>
      <c r="H163" s="696" t="s">
        <v>558</v>
      </c>
      <c r="I163" s="696" t="s">
        <v>1672</v>
      </c>
      <c r="J163" s="696" t="s">
        <v>1673</v>
      </c>
      <c r="K163" s="696" t="s">
        <v>1674</v>
      </c>
      <c r="L163" s="699">
        <v>23.46</v>
      </c>
      <c r="M163" s="699">
        <v>23.46</v>
      </c>
      <c r="N163" s="696">
        <v>1</v>
      </c>
      <c r="O163" s="700">
        <v>0.5</v>
      </c>
      <c r="P163" s="699">
        <v>23.46</v>
      </c>
      <c r="Q163" s="701">
        <v>1</v>
      </c>
      <c r="R163" s="696">
        <v>1</v>
      </c>
      <c r="S163" s="701">
        <v>1</v>
      </c>
      <c r="T163" s="700">
        <v>0.5</v>
      </c>
      <c r="U163" s="702">
        <v>1</v>
      </c>
    </row>
    <row r="164" spans="1:21" ht="14.4" customHeight="1" x14ac:dyDescent="0.3">
      <c r="A164" s="695">
        <v>31</v>
      </c>
      <c r="B164" s="696" t="s">
        <v>557</v>
      </c>
      <c r="C164" s="696">
        <v>89301311</v>
      </c>
      <c r="D164" s="697" t="s">
        <v>2234</v>
      </c>
      <c r="E164" s="698" t="s">
        <v>1613</v>
      </c>
      <c r="F164" s="696" t="s">
        <v>1588</v>
      </c>
      <c r="G164" s="696" t="s">
        <v>1615</v>
      </c>
      <c r="H164" s="696" t="s">
        <v>558</v>
      </c>
      <c r="I164" s="696" t="s">
        <v>988</v>
      </c>
      <c r="J164" s="696" t="s">
        <v>989</v>
      </c>
      <c r="K164" s="696" t="s">
        <v>1616</v>
      </c>
      <c r="L164" s="699">
        <v>194.73</v>
      </c>
      <c r="M164" s="699">
        <v>2336.7599999999998</v>
      </c>
      <c r="N164" s="696">
        <v>12</v>
      </c>
      <c r="O164" s="700">
        <v>5</v>
      </c>
      <c r="P164" s="699">
        <v>1947.3</v>
      </c>
      <c r="Q164" s="701">
        <v>0.83333333333333337</v>
      </c>
      <c r="R164" s="696">
        <v>10</v>
      </c>
      <c r="S164" s="701">
        <v>0.83333333333333337</v>
      </c>
      <c r="T164" s="700">
        <v>4.5</v>
      </c>
      <c r="U164" s="702">
        <v>0.9</v>
      </c>
    </row>
    <row r="165" spans="1:21" ht="14.4" customHeight="1" x14ac:dyDescent="0.3">
      <c r="A165" s="695">
        <v>31</v>
      </c>
      <c r="B165" s="696" t="s">
        <v>557</v>
      </c>
      <c r="C165" s="696">
        <v>89301311</v>
      </c>
      <c r="D165" s="697" t="s">
        <v>2234</v>
      </c>
      <c r="E165" s="698" t="s">
        <v>1613</v>
      </c>
      <c r="F165" s="696" t="s">
        <v>1588</v>
      </c>
      <c r="G165" s="696" t="s">
        <v>1675</v>
      </c>
      <c r="H165" s="696" t="s">
        <v>558</v>
      </c>
      <c r="I165" s="696" t="s">
        <v>1676</v>
      </c>
      <c r="J165" s="696" t="s">
        <v>1677</v>
      </c>
      <c r="K165" s="696" t="s">
        <v>1678</v>
      </c>
      <c r="L165" s="699">
        <v>98.23</v>
      </c>
      <c r="M165" s="699">
        <v>294.69</v>
      </c>
      <c r="N165" s="696">
        <v>3</v>
      </c>
      <c r="O165" s="700">
        <v>2.5</v>
      </c>
      <c r="P165" s="699">
        <v>98.23</v>
      </c>
      <c r="Q165" s="701">
        <v>0.33333333333333337</v>
      </c>
      <c r="R165" s="696">
        <v>1</v>
      </c>
      <c r="S165" s="701">
        <v>0.33333333333333331</v>
      </c>
      <c r="T165" s="700">
        <v>1</v>
      </c>
      <c r="U165" s="702">
        <v>0.4</v>
      </c>
    </row>
    <row r="166" spans="1:21" ht="14.4" customHeight="1" x14ac:dyDescent="0.3">
      <c r="A166" s="695">
        <v>31</v>
      </c>
      <c r="B166" s="696" t="s">
        <v>557</v>
      </c>
      <c r="C166" s="696">
        <v>89301311</v>
      </c>
      <c r="D166" s="697" t="s">
        <v>2234</v>
      </c>
      <c r="E166" s="698" t="s">
        <v>1613</v>
      </c>
      <c r="F166" s="696" t="s">
        <v>1588</v>
      </c>
      <c r="G166" s="696" t="s">
        <v>1675</v>
      </c>
      <c r="H166" s="696" t="s">
        <v>914</v>
      </c>
      <c r="I166" s="696" t="s">
        <v>1802</v>
      </c>
      <c r="J166" s="696" t="s">
        <v>1803</v>
      </c>
      <c r="K166" s="696" t="s">
        <v>1804</v>
      </c>
      <c r="L166" s="699">
        <v>32.74</v>
      </c>
      <c r="M166" s="699">
        <v>32.74</v>
      </c>
      <c r="N166" s="696">
        <v>1</v>
      </c>
      <c r="O166" s="700">
        <v>1</v>
      </c>
      <c r="P166" s="699">
        <v>32.74</v>
      </c>
      <c r="Q166" s="701">
        <v>1</v>
      </c>
      <c r="R166" s="696">
        <v>1</v>
      </c>
      <c r="S166" s="701">
        <v>1</v>
      </c>
      <c r="T166" s="700">
        <v>1</v>
      </c>
      <c r="U166" s="702">
        <v>1</v>
      </c>
    </row>
    <row r="167" spans="1:21" ht="14.4" customHeight="1" x14ac:dyDescent="0.3">
      <c r="A167" s="695">
        <v>31</v>
      </c>
      <c r="B167" s="696" t="s">
        <v>557</v>
      </c>
      <c r="C167" s="696">
        <v>89301311</v>
      </c>
      <c r="D167" s="697" t="s">
        <v>2234</v>
      </c>
      <c r="E167" s="698" t="s">
        <v>1613</v>
      </c>
      <c r="F167" s="696" t="s">
        <v>1588</v>
      </c>
      <c r="G167" s="696" t="s">
        <v>1675</v>
      </c>
      <c r="H167" s="696" t="s">
        <v>558</v>
      </c>
      <c r="I167" s="696" t="s">
        <v>1805</v>
      </c>
      <c r="J167" s="696" t="s">
        <v>1806</v>
      </c>
      <c r="K167" s="696" t="s">
        <v>1807</v>
      </c>
      <c r="L167" s="699">
        <v>32.74</v>
      </c>
      <c r="M167" s="699">
        <v>32.74</v>
      </c>
      <c r="N167" s="696">
        <v>1</v>
      </c>
      <c r="O167" s="700">
        <v>1</v>
      </c>
      <c r="P167" s="699">
        <v>32.74</v>
      </c>
      <c r="Q167" s="701">
        <v>1</v>
      </c>
      <c r="R167" s="696">
        <v>1</v>
      </c>
      <c r="S167" s="701">
        <v>1</v>
      </c>
      <c r="T167" s="700">
        <v>1</v>
      </c>
      <c r="U167" s="702">
        <v>1</v>
      </c>
    </row>
    <row r="168" spans="1:21" ht="14.4" customHeight="1" x14ac:dyDescent="0.3">
      <c r="A168" s="695">
        <v>31</v>
      </c>
      <c r="B168" s="696" t="s">
        <v>557</v>
      </c>
      <c r="C168" s="696">
        <v>89301311</v>
      </c>
      <c r="D168" s="697" t="s">
        <v>2234</v>
      </c>
      <c r="E168" s="698" t="s">
        <v>1613</v>
      </c>
      <c r="F168" s="696" t="s">
        <v>1588</v>
      </c>
      <c r="G168" s="696" t="s">
        <v>1808</v>
      </c>
      <c r="H168" s="696" t="s">
        <v>558</v>
      </c>
      <c r="I168" s="696" t="s">
        <v>1809</v>
      </c>
      <c r="J168" s="696" t="s">
        <v>1810</v>
      </c>
      <c r="K168" s="696" t="s">
        <v>1811</v>
      </c>
      <c r="L168" s="699">
        <v>0</v>
      </c>
      <c r="M168" s="699">
        <v>0</v>
      </c>
      <c r="N168" s="696">
        <v>1</v>
      </c>
      <c r="O168" s="700">
        <v>0.5</v>
      </c>
      <c r="P168" s="699">
        <v>0</v>
      </c>
      <c r="Q168" s="701"/>
      <c r="R168" s="696">
        <v>1</v>
      </c>
      <c r="S168" s="701">
        <v>1</v>
      </c>
      <c r="T168" s="700">
        <v>0.5</v>
      </c>
      <c r="U168" s="702">
        <v>1</v>
      </c>
    </row>
    <row r="169" spans="1:21" ht="14.4" customHeight="1" x14ac:dyDescent="0.3">
      <c r="A169" s="695">
        <v>31</v>
      </c>
      <c r="B169" s="696" t="s">
        <v>557</v>
      </c>
      <c r="C169" s="696">
        <v>89301311</v>
      </c>
      <c r="D169" s="697" t="s">
        <v>2234</v>
      </c>
      <c r="E169" s="698" t="s">
        <v>1613</v>
      </c>
      <c r="F169" s="696" t="s">
        <v>1590</v>
      </c>
      <c r="G169" s="696" t="s">
        <v>1680</v>
      </c>
      <c r="H169" s="696" t="s">
        <v>558</v>
      </c>
      <c r="I169" s="696" t="s">
        <v>1681</v>
      </c>
      <c r="J169" s="696" t="s">
        <v>1684</v>
      </c>
      <c r="K169" s="696" t="s">
        <v>1685</v>
      </c>
      <c r="L169" s="699">
        <v>410</v>
      </c>
      <c r="M169" s="699">
        <v>26650</v>
      </c>
      <c r="N169" s="696">
        <v>65</v>
      </c>
      <c r="O169" s="700">
        <v>65</v>
      </c>
      <c r="P169" s="699">
        <v>26650</v>
      </c>
      <c r="Q169" s="701">
        <v>1</v>
      </c>
      <c r="R169" s="696">
        <v>65</v>
      </c>
      <c r="S169" s="701">
        <v>1</v>
      </c>
      <c r="T169" s="700">
        <v>65</v>
      </c>
      <c r="U169" s="702">
        <v>1</v>
      </c>
    </row>
    <row r="170" spans="1:21" ht="14.4" customHeight="1" x14ac:dyDescent="0.3">
      <c r="A170" s="695">
        <v>31</v>
      </c>
      <c r="B170" s="696" t="s">
        <v>557</v>
      </c>
      <c r="C170" s="696">
        <v>89301311</v>
      </c>
      <c r="D170" s="697" t="s">
        <v>2234</v>
      </c>
      <c r="E170" s="698" t="s">
        <v>1613</v>
      </c>
      <c r="F170" s="696" t="s">
        <v>1590</v>
      </c>
      <c r="G170" s="696" t="s">
        <v>1689</v>
      </c>
      <c r="H170" s="696" t="s">
        <v>558</v>
      </c>
      <c r="I170" s="696" t="s">
        <v>1690</v>
      </c>
      <c r="J170" s="696" t="s">
        <v>1691</v>
      </c>
      <c r="K170" s="696" t="s">
        <v>1692</v>
      </c>
      <c r="L170" s="699">
        <v>35.75</v>
      </c>
      <c r="M170" s="699">
        <v>3575</v>
      </c>
      <c r="N170" s="696">
        <v>100</v>
      </c>
      <c r="O170" s="700">
        <v>50</v>
      </c>
      <c r="P170" s="699">
        <v>3503.5</v>
      </c>
      <c r="Q170" s="701">
        <v>0.98</v>
      </c>
      <c r="R170" s="696">
        <v>98</v>
      </c>
      <c r="S170" s="701">
        <v>0.98</v>
      </c>
      <c r="T170" s="700">
        <v>49</v>
      </c>
      <c r="U170" s="702">
        <v>0.98</v>
      </c>
    </row>
    <row r="171" spans="1:21" ht="14.4" customHeight="1" x14ac:dyDescent="0.3">
      <c r="A171" s="695">
        <v>31</v>
      </c>
      <c r="B171" s="696" t="s">
        <v>557</v>
      </c>
      <c r="C171" s="696">
        <v>89301311</v>
      </c>
      <c r="D171" s="697" t="s">
        <v>2234</v>
      </c>
      <c r="E171" s="698" t="s">
        <v>1613</v>
      </c>
      <c r="F171" s="696" t="s">
        <v>1590</v>
      </c>
      <c r="G171" s="696" t="s">
        <v>1693</v>
      </c>
      <c r="H171" s="696" t="s">
        <v>558</v>
      </c>
      <c r="I171" s="696" t="s">
        <v>1694</v>
      </c>
      <c r="J171" s="696" t="s">
        <v>1695</v>
      </c>
      <c r="K171" s="696" t="s">
        <v>1696</v>
      </c>
      <c r="L171" s="699">
        <v>260</v>
      </c>
      <c r="M171" s="699">
        <v>260</v>
      </c>
      <c r="N171" s="696">
        <v>1</v>
      </c>
      <c r="O171" s="700">
        <v>1</v>
      </c>
      <c r="P171" s="699">
        <v>260</v>
      </c>
      <c r="Q171" s="701">
        <v>1</v>
      </c>
      <c r="R171" s="696">
        <v>1</v>
      </c>
      <c r="S171" s="701">
        <v>1</v>
      </c>
      <c r="T171" s="700">
        <v>1</v>
      </c>
      <c r="U171" s="702">
        <v>1</v>
      </c>
    </row>
    <row r="172" spans="1:21" ht="14.4" customHeight="1" x14ac:dyDescent="0.3">
      <c r="A172" s="695">
        <v>31</v>
      </c>
      <c r="B172" s="696" t="s">
        <v>557</v>
      </c>
      <c r="C172" s="696">
        <v>89301311</v>
      </c>
      <c r="D172" s="697" t="s">
        <v>2234</v>
      </c>
      <c r="E172" s="698" t="s">
        <v>1613</v>
      </c>
      <c r="F172" s="696" t="s">
        <v>1590</v>
      </c>
      <c r="G172" s="696" t="s">
        <v>1693</v>
      </c>
      <c r="H172" s="696" t="s">
        <v>558</v>
      </c>
      <c r="I172" s="696" t="s">
        <v>1697</v>
      </c>
      <c r="J172" s="696" t="s">
        <v>1698</v>
      </c>
      <c r="K172" s="696" t="s">
        <v>1699</v>
      </c>
      <c r="L172" s="699">
        <v>200</v>
      </c>
      <c r="M172" s="699">
        <v>8000</v>
      </c>
      <c r="N172" s="696">
        <v>40</v>
      </c>
      <c r="O172" s="700">
        <v>20</v>
      </c>
      <c r="P172" s="699">
        <v>8000</v>
      </c>
      <c r="Q172" s="701">
        <v>1</v>
      </c>
      <c r="R172" s="696">
        <v>40</v>
      </c>
      <c r="S172" s="701">
        <v>1</v>
      </c>
      <c r="T172" s="700">
        <v>20</v>
      </c>
      <c r="U172" s="702">
        <v>1</v>
      </c>
    </row>
    <row r="173" spans="1:21" ht="14.4" customHeight="1" x14ac:dyDescent="0.3">
      <c r="A173" s="695">
        <v>31</v>
      </c>
      <c r="B173" s="696" t="s">
        <v>557</v>
      </c>
      <c r="C173" s="696">
        <v>89301311</v>
      </c>
      <c r="D173" s="697" t="s">
        <v>2234</v>
      </c>
      <c r="E173" s="698" t="s">
        <v>1613</v>
      </c>
      <c r="F173" s="696" t="s">
        <v>1590</v>
      </c>
      <c r="G173" s="696" t="s">
        <v>1693</v>
      </c>
      <c r="H173" s="696" t="s">
        <v>558</v>
      </c>
      <c r="I173" s="696" t="s">
        <v>1738</v>
      </c>
      <c r="J173" s="696" t="s">
        <v>1739</v>
      </c>
      <c r="K173" s="696" t="s">
        <v>1740</v>
      </c>
      <c r="L173" s="699">
        <v>1200</v>
      </c>
      <c r="M173" s="699">
        <v>1200</v>
      </c>
      <c r="N173" s="696">
        <v>1</v>
      </c>
      <c r="O173" s="700">
        <v>1</v>
      </c>
      <c r="P173" s="699">
        <v>1200</v>
      </c>
      <c r="Q173" s="701">
        <v>1</v>
      </c>
      <c r="R173" s="696">
        <v>1</v>
      </c>
      <c r="S173" s="701">
        <v>1</v>
      </c>
      <c r="T173" s="700">
        <v>1</v>
      </c>
      <c r="U173" s="702">
        <v>1</v>
      </c>
    </row>
    <row r="174" spans="1:21" ht="14.4" customHeight="1" x14ac:dyDescent="0.3">
      <c r="A174" s="695">
        <v>31</v>
      </c>
      <c r="B174" s="696" t="s">
        <v>557</v>
      </c>
      <c r="C174" s="696">
        <v>89301311</v>
      </c>
      <c r="D174" s="697" t="s">
        <v>2234</v>
      </c>
      <c r="E174" s="698" t="s">
        <v>1613</v>
      </c>
      <c r="F174" s="696" t="s">
        <v>1590</v>
      </c>
      <c r="G174" s="696" t="s">
        <v>1700</v>
      </c>
      <c r="H174" s="696" t="s">
        <v>558</v>
      </c>
      <c r="I174" s="696" t="s">
        <v>1701</v>
      </c>
      <c r="J174" s="696" t="s">
        <v>1702</v>
      </c>
      <c r="K174" s="696" t="s">
        <v>1703</v>
      </c>
      <c r="L174" s="699">
        <v>3000</v>
      </c>
      <c r="M174" s="699">
        <v>3000</v>
      </c>
      <c r="N174" s="696">
        <v>1</v>
      </c>
      <c r="O174" s="700">
        <v>1</v>
      </c>
      <c r="P174" s="699"/>
      <c r="Q174" s="701">
        <v>0</v>
      </c>
      <c r="R174" s="696"/>
      <c r="S174" s="701">
        <v>0</v>
      </c>
      <c r="T174" s="700"/>
      <c r="U174" s="702">
        <v>0</v>
      </c>
    </row>
    <row r="175" spans="1:21" ht="14.4" customHeight="1" x14ac:dyDescent="0.3">
      <c r="A175" s="695">
        <v>31</v>
      </c>
      <c r="B175" s="696" t="s">
        <v>557</v>
      </c>
      <c r="C175" s="696">
        <v>89301311</v>
      </c>
      <c r="D175" s="697" t="s">
        <v>2234</v>
      </c>
      <c r="E175" s="698" t="s">
        <v>1613</v>
      </c>
      <c r="F175" s="696" t="s">
        <v>1590</v>
      </c>
      <c r="G175" s="696" t="s">
        <v>1700</v>
      </c>
      <c r="H175" s="696" t="s">
        <v>558</v>
      </c>
      <c r="I175" s="696" t="s">
        <v>1704</v>
      </c>
      <c r="J175" s="696" t="s">
        <v>1705</v>
      </c>
      <c r="K175" s="696" t="s">
        <v>1706</v>
      </c>
      <c r="L175" s="699">
        <v>199.5</v>
      </c>
      <c r="M175" s="699">
        <v>798</v>
      </c>
      <c r="N175" s="696">
        <v>4</v>
      </c>
      <c r="O175" s="700">
        <v>4</v>
      </c>
      <c r="P175" s="699">
        <v>798</v>
      </c>
      <c r="Q175" s="701">
        <v>1</v>
      </c>
      <c r="R175" s="696">
        <v>4</v>
      </c>
      <c r="S175" s="701">
        <v>1</v>
      </c>
      <c r="T175" s="700">
        <v>4</v>
      </c>
      <c r="U175" s="702">
        <v>1</v>
      </c>
    </row>
    <row r="176" spans="1:21" ht="14.4" customHeight="1" x14ac:dyDescent="0.3">
      <c r="A176" s="695">
        <v>31</v>
      </c>
      <c r="B176" s="696" t="s">
        <v>557</v>
      </c>
      <c r="C176" s="696">
        <v>89301311</v>
      </c>
      <c r="D176" s="697" t="s">
        <v>2234</v>
      </c>
      <c r="E176" s="698" t="s">
        <v>1613</v>
      </c>
      <c r="F176" s="696" t="s">
        <v>1590</v>
      </c>
      <c r="G176" s="696" t="s">
        <v>1700</v>
      </c>
      <c r="H176" s="696" t="s">
        <v>558</v>
      </c>
      <c r="I176" s="696" t="s">
        <v>1707</v>
      </c>
      <c r="J176" s="696" t="s">
        <v>1708</v>
      </c>
      <c r="K176" s="696" t="s">
        <v>1709</v>
      </c>
      <c r="L176" s="699">
        <v>492.18</v>
      </c>
      <c r="M176" s="699">
        <v>3445.2599999999998</v>
      </c>
      <c r="N176" s="696">
        <v>7</v>
      </c>
      <c r="O176" s="700">
        <v>7</v>
      </c>
      <c r="P176" s="699">
        <v>3445.2599999999998</v>
      </c>
      <c r="Q176" s="701">
        <v>1</v>
      </c>
      <c r="R176" s="696">
        <v>7</v>
      </c>
      <c r="S176" s="701">
        <v>1</v>
      </c>
      <c r="T176" s="700">
        <v>7</v>
      </c>
      <c r="U176" s="702">
        <v>1</v>
      </c>
    </row>
    <row r="177" spans="1:21" ht="14.4" customHeight="1" x14ac:dyDescent="0.3">
      <c r="A177" s="695">
        <v>31</v>
      </c>
      <c r="B177" s="696" t="s">
        <v>557</v>
      </c>
      <c r="C177" s="696">
        <v>89301311</v>
      </c>
      <c r="D177" s="697" t="s">
        <v>2234</v>
      </c>
      <c r="E177" s="698" t="s">
        <v>1613</v>
      </c>
      <c r="F177" s="696" t="s">
        <v>1590</v>
      </c>
      <c r="G177" s="696" t="s">
        <v>1700</v>
      </c>
      <c r="H177" s="696" t="s">
        <v>558</v>
      </c>
      <c r="I177" s="696" t="s">
        <v>1710</v>
      </c>
      <c r="J177" s="696" t="s">
        <v>1711</v>
      </c>
      <c r="K177" s="696" t="s">
        <v>1712</v>
      </c>
      <c r="L177" s="699">
        <v>750</v>
      </c>
      <c r="M177" s="699">
        <v>750</v>
      </c>
      <c r="N177" s="696">
        <v>1</v>
      </c>
      <c r="O177" s="700">
        <v>1</v>
      </c>
      <c r="P177" s="699"/>
      <c r="Q177" s="701">
        <v>0</v>
      </c>
      <c r="R177" s="696"/>
      <c r="S177" s="701">
        <v>0</v>
      </c>
      <c r="T177" s="700"/>
      <c r="U177" s="702">
        <v>0</v>
      </c>
    </row>
    <row r="178" spans="1:21" ht="14.4" customHeight="1" x14ac:dyDescent="0.3">
      <c r="A178" s="695">
        <v>31</v>
      </c>
      <c r="B178" s="696" t="s">
        <v>557</v>
      </c>
      <c r="C178" s="696">
        <v>89301311</v>
      </c>
      <c r="D178" s="697" t="s">
        <v>2234</v>
      </c>
      <c r="E178" s="698" t="s">
        <v>1613</v>
      </c>
      <c r="F178" s="696" t="s">
        <v>1590</v>
      </c>
      <c r="G178" s="696" t="s">
        <v>1700</v>
      </c>
      <c r="H178" s="696" t="s">
        <v>558</v>
      </c>
      <c r="I178" s="696" t="s">
        <v>1715</v>
      </c>
      <c r="J178" s="696" t="s">
        <v>1716</v>
      </c>
      <c r="K178" s="696" t="s">
        <v>1717</v>
      </c>
      <c r="L178" s="699">
        <v>971.25</v>
      </c>
      <c r="M178" s="699">
        <v>2913.75</v>
      </c>
      <c r="N178" s="696">
        <v>3</v>
      </c>
      <c r="O178" s="700">
        <v>3</v>
      </c>
      <c r="P178" s="699">
        <v>2913.75</v>
      </c>
      <c r="Q178" s="701">
        <v>1</v>
      </c>
      <c r="R178" s="696">
        <v>3</v>
      </c>
      <c r="S178" s="701">
        <v>1</v>
      </c>
      <c r="T178" s="700">
        <v>3</v>
      </c>
      <c r="U178" s="702">
        <v>1</v>
      </c>
    </row>
    <row r="179" spans="1:21" ht="14.4" customHeight="1" x14ac:dyDescent="0.3">
      <c r="A179" s="695">
        <v>31</v>
      </c>
      <c r="B179" s="696" t="s">
        <v>557</v>
      </c>
      <c r="C179" s="696">
        <v>89301311</v>
      </c>
      <c r="D179" s="697" t="s">
        <v>2234</v>
      </c>
      <c r="E179" s="698" t="s">
        <v>1613</v>
      </c>
      <c r="F179" s="696" t="s">
        <v>1590</v>
      </c>
      <c r="G179" s="696" t="s">
        <v>1700</v>
      </c>
      <c r="H179" s="696" t="s">
        <v>558</v>
      </c>
      <c r="I179" s="696" t="s">
        <v>1744</v>
      </c>
      <c r="J179" s="696" t="s">
        <v>1745</v>
      </c>
      <c r="K179" s="696" t="s">
        <v>1746</v>
      </c>
      <c r="L179" s="699">
        <v>2010.55</v>
      </c>
      <c r="M179" s="699">
        <v>2010.55</v>
      </c>
      <c r="N179" s="696">
        <v>1</v>
      </c>
      <c r="O179" s="700">
        <v>1</v>
      </c>
      <c r="P179" s="699"/>
      <c r="Q179" s="701">
        <v>0</v>
      </c>
      <c r="R179" s="696"/>
      <c r="S179" s="701">
        <v>0</v>
      </c>
      <c r="T179" s="700"/>
      <c r="U179" s="702">
        <v>0</v>
      </c>
    </row>
    <row r="180" spans="1:21" ht="14.4" customHeight="1" x14ac:dyDescent="0.3">
      <c r="A180" s="695">
        <v>31</v>
      </c>
      <c r="B180" s="696" t="s">
        <v>557</v>
      </c>
      <c r="C180" s="696">
        <v>89301311</v>
      </c>
      <c r="D180" s="697" t="s">
        <v>2234</v>
      </c>
      <c r="E180" s="698" t="s">
        <v>1613</v>
      </c>
      <c r="F180" s="696" t="s">
        <v>1590</v>
      </c>
      <c r="G180" s="696" t="s">
        <v>1700</v>
      </c>
      <c r="H180" s="696" t="s">
        <v>558</v>
      </c>
      <c r="I180" s="696" t="s">
        <v>1720</v>
      </c>
      <c r="J180" s="696" t="s">
        <v>1721</v>
      </c>
      <c r="K180" s="696" t="s">
        <v>1722</v>
      </c>
      <c r="L180" s="699">
        <v>1978.94</v>
      </c>
      <c r="M180" s="699">
        <v>3957.88</v>
      </c>
      <c r="N180" s="696">
        <v>2</v>
      </c>
      <c r="O180" s="700">
        <v>2</v>
      </c>
      <c r="P180" s="699">
        <v>3957.88</v>
      </c>
      <c r="Q180" s="701">
        <v>1</v>
      </c>
      <c r="R180" s="696">
        <v>2</v>
      </c>
      <c r="S180" s="701">
        <v>1</v>
      </c>
      <c r="T180" s="700">
        <v>2</v>
      </c>
      <c r="U180" s="702">
        <v>1</v>
      </c>
    </row>
    <row r="181" spans="1:21" ht="14.4" customHeight="1" x14ac:dyDescent="0.3">
      <c r="A181" s="695">
        <v>31</v>
      </c>
      <c r="B181" s="696" t="s">
        <v>557</v>
      </c>
      <c r="C181" s="696">
        <v>89301311</v>
      </c>
      <c r="D181" s="697" t="s">
        <v>2234</v>
      </c>
      <c r="E181" s="698" t="s">
        <v>1613</v>
      </c>
      <c r="F181" s="696" t="s">
        <v>1590</v>
      </c>
      <c r="G181" s="696" t="s">
        <v>1700</v>
      </c>
      <c r="H181" s="696" t="s">
        <v>558</v>
      </c>
      <c r="I181" s="696" t="s">
        <v>1812</v>
      </c>
      <c r="J181" s="696" t="s">
        <v>1813</v>
      </c>
      <c r="K181" s="696" t="s">
        <v>1814</v>
      </c>
      <c r="L181" s="699">
        <v>350</v>
      </c>
      <c r="M181" s="699">
        <v>700</v>
      </c>
      <c r="N181" s="696">
        <v>2</v>
      </c>
      <c r="O181" s="700">
        <v>2</v>
      </c>
      <c r="P181" s="699">
        <v>350</v>
      </c>
      <c r="Q181" s="701">
        <v>0.5</v>
      </c>
      <c r="R181" s="696">
        <v>1</v>
      </c>
      <c r="S181" s="701">
        <v>0.5</v>
      </c>
      <c r="T181" s="700">
        <v>1</v>
      </c>
      <c r="U181" s="702">
        <v>0.5</v>
      </c>
    </row>
    <row r="182" spans="1:21" ht="14.4" customHeight="1" x14ac:dyDescent="0.3">
      <c r="A182" s="695">
        <v>31</v>
      </c>
      <c r="B182" s="696" t="s">
        <v>557</v>
      </c>
      <c r="C182" s="696">
        <v>89301312</v>
      </c>
      <c r="D182" s="697" t="s">
        <v>2235</v>
      </c>
      <c r="E182" s="698" t="s">
        <v>1597</v>
      </c>
      <c r="F182" s="696" t="s">
        <v>1590</v>
      </c>
      <c r="G182" s="696" t="s">
        <v>1700</v>
      </c>
      <c r="H182" s="696" t="s">
        <v>558</v>
      </c>
      <c r="I182" s="696" t="s">
        <v>1812</v>
      </c>
      <c r="J182" s="696" t="s">
        <v>1813</v>
      </c>
      <c r="K182" s="696" t="s">
        <v>1814</v>
      </c>
      <c r="L182" s="699">
        <v>350</v>
      </c>
      <c r="M182" s="699">
        <v>700</v>
      </c>
      <c r="N182" s="696">
        <v>2</v>
      </c>
      <c r="O182" s="700">
        <v>2</v>
      </c>
      <c r="P182" s="699">
        <v>700</v>
      </c>
      <c r="Q182" s="701">
        <v>1</v>
      </c>
      <c r="R182" s="696">
        <v>2</v>
      </c>
      <c r="S182" s="701">
        <v>1</v>
      </c>
      <c r="T182" s="700">
        <v>2</v>
      </c>
      <c r="U182" s="702">
        <v>1</v>
      </c>
    </row>
    <row r="183" spans="1:21" ht="14.4" customHeight="1" x14ac:dyDescent="0.3">
      <c r="A183" s="695">
        <v>31</v>
      </c>
      <c r="B183" s="696" t="s">
        <v>557</v>
      </c>
      <c r="C183" s="696">
        <v>89301312</v>
      </c>
      <c r="D183" s="697" t="s">
        <v>2235</v>
      </c>
      <c r="E183" s="698" t="s">
        <v>1598</v>
      </c>
      <c r="F183" s="696" t="s">
        <v>1588</v>
      </c>
      <c r="G183" s="696" t="s">
        <v>1614</v>
      </c>
      <c r="H183" s="696" t="s">
        <v>914</v>
      </c>
      <c r="I183" s="696" t="s">
        <v>1316</v>
      </c>
      <c r="J183" s="696" t="s">
        <v>1317</v>
      </c>
      <c r="K183" s="696" t="s">
        <v>1318</v>
      </c>
      <c r="L183" s="699">
        <v>937.93</v>
      </c>
      <c r="M183" s="699">
        <v>1875.86</v>
      </c>
      <c r="N183" s="696">
        <v>2</v>
      </c>
      <c r="O183" s="700">
        <v>1</v>
      </c>
      <c r="P183" s="699">
        <v>1875.86</v>
      </c>
      <c r="Q183" s="701">
        <v>1</v>
      </c>
      <c r="R183" s="696">
        <v>2</v>
      </c>
      <c r="S183" s="701">
        <v>1</v>
      </c>
      <c r="T183" s="700">
        <v>1</v>
      </c>
      <c r="U183" s="702">
        <v>1</v>
      </c>
    </row>
    <row r="184" spans="1:21" ht="14.4" customHeight="1" x14ac:dyDescent="0.3">
      <c r="A184" s="695">
        <v>31</v>
      </c>
      <c r="B184" s="696" t="s">
        <v>557</v>
      </c>
      <c r="C184" s="696">
        <v>89301312</v>
      </c>
      <c r="D184" s="697" t="s">
        <v>2235</v>
      </c>
      <c r="E184" s="698" t="s">
        <v>1598</v>
      </c>
      <c r="F184" s="696" t="s">
        <v>1588</v>
      </c>
      <c r="G184" s="696" t="s">
        <v>1651</v>
      </c>
      <c r="H184" s="696" t="s">
        <v>914</v>
      </c>
      <c r="I184" s="696" t="s">
        <v>916</v>
      </c>
      <c r="J184" s="696" t="s">
        <v>917</v>
      </c>
      <c r="K184" s="696" t="s">
        <v>1543</v>
      </c>
      <c r="L184" s="699">
        <v>96.63</v>
      </c>
      <c r="M184" s="699">
        <v>193.26</v>
      </c>
      <c r="N184" s="696">
        <v>2</v>
      </c>
      <c r="O184" s="700">
        <v>1</v>
      </c>
      <c r="P184" s="699">
        <v>193.26</v>
      </c>
      <c r="Q184" s="701">
        <v>1</v>
      </c>
      <c r="R184" s="696">
        <v>2</v>
      </c>
      <c r="S184" s="701">
        <v>1</v>
      </c>
      <c r="T184" s="700">
        <v>1</v>
      </c>
      <c r="U184" s="702">
        <v>1</v>
      </c>
    </row>
    <row r="185" spans="1:21" ht="14.4" customHeight="1" x14ac:dyDescent="0.3">
      <c r="A185" s="695">
        <v>31</v>
      </c>
      <c r="B185" s="696" t="s">
        <v>557</v>
      </c>
      <c r="C185" s="696">
        <v>89301312</v>
      </c>
      <c r="D185" s="697" t="s">
        <v>2235</v>
      </c>
      <c r="E185" s="698" t="s">
        <v>1598</v>
      </c>
      <c r="F185" s="696" t="s">
        <v>1588</v>
      </c>
      <c r="G185" s="696" t="s">
        <v>1770</v>
      </c>
      <c r="H185" s="696" t="s">
        <v>558</v>
      </c>
      <c r="I185" s="696" t="s">
        <v>1815</v>
      </c>
      <c r="J185" s="696" t="s">
        <v>636</v>
      </c>
      <c r="K185" s="696" t="s">
        <v>1816</v>
      </c>
      <c r="L185" s="699">
        <v>48.98</v>
      </c>
      <c r="M185" s="699">
        <v>97.96</v>
      </c>
      <c r="N185" s="696">
        <v>2</v>
      </c>
      <c r="O185" s="700">
        <v>0.5</v>
      </c>
      <c r="P185" s="699">
        <v>97.96</v>
      </c>
      <c r="Q185" s="701">
        <v>1</v>
      </c>
      <c r="R185" s="696">
        <v>2</v>
      </c>
      <c r="S185" s="701">
        <v>1</v>
      </c>
      <c r="T185" s="700">
        <v>0.5</v>
      </c>
      <c r="U185" s="702">
        <v>1</v>
      </c>
    </row>
    <row r="186" spans="1:21" ht="14.4" customHeight="1" x14ac:dyDescent="0.3">
      <c r="A186" s="695">
        <v>31</v>
      </c>
      <c r="B186" s="696" t="s">
        <v>557</v>
      </c>
      <c r="C186" s="696">
        <v>89301312</v>
      </c>
      <c r="D186" s="697" t="s">
        <v>2235</v>
      </c>
      <c r="E186" s="698" t="s">
        <v>1598</v>
      </c>
      <c r="F186" s="696" t="s">
        <v>1588</v>
      </c>
      <c r="G186" s="696" t="s">
        <v>1817</v>
      </c>
      <c r="H186" s="696" t="s">
        <v>558</v>
      </c>
      <c r="I186" s="696" t="s">
        <v>1818</v>
      </c>
      <c r="J186" s="696" t="s">
        <v>1819</v>
      </c>
      <c r="K186" s="696" t="s">
        <v>1820</v>
      </c>
      <c r="L186" s="699">
        <v>0</v>
      </c>
      <c r="M186" s="699">
        <v>0</v>
      </c>
      <c r="N186" s="696">
        <v>3</v>
      </c>
      <c r="O186" s="700">
        <v>0.5</v>
      </c>
      <c r="P186" s="699">
        <v>0</v>
      </c>
      <c r="Q186" s="701"/>
      <c r="R186" s="696">
        <v>3</v>
      </c>
      <c r="S186" s="701">
        <v>1</v>
      </c>
      <c r="T186" s="700">
        <v>0.5</v>
      </c>
      <c r="U186" s="702">
        <v>1</v>
      </c>
    </row>
    <row r="187" spans="1:21" ht="14.4" customHeight="1" x14ac:dyDescent="0.3">
      <c r="A187" s="695">
        <v>31</v>
      </c>
      <c r="B187" s="696" t="s">
        <v>557</v>
      </c>
      <c r="C187" s="696">
        <v>89301312</v>
      </c>
      <c r="D187" s="697" t="s">
        <v>2235</v>
      </c>
      <c r="E187" s="698" t="s">
        <v>1598</v>
      </c>
      <c r="F187" s="696" t="s">
        <v>1590</v>
      </c>
      <c r="G187" s="696" t="s">
        <v>1730</v>
      </c>
      <c r="H187" s="696" t="s">
        <v>558</v>
      </c>
      <c r="I187" s="696" t="s">
        <v>1731</v>
      </c>
      <c r="J187" s="696" t="s">
        <v>1732</v>
      </c>
      <c r="K187" s="696" t="s">
        <v>1733</v>
      </c>
      <c r="L187" s="699">
        <v>1668</v>
      </c>
      <c r="M187" s="699">
        <v>1668</v>
      </c>
      <c r="N187" s="696">
        <v>1</v>
      </c>
      <c r="O187" s="700">
        <v>1</v>
      </c>
      <c r="P187" s="699"/>
      <c r="Q187" s="701">
        <v>0</v>
      </c>
      <c r="R187" s="696"/>
      <c r="S187" s="701">
        <v>0</v>
      </c>
      <c r="T187" s="700"/>
      <c r="U187" s="702">
        <v>0</v>
      </c>
    </row>
    <row r="188" spans="1:21" ht="14.4" customHeight="1" x14ac:dyDescent="0.3">
      <c r="A188" s="695">
        <v>31</v>
      </c>
      <c r="B188" s="696" t="s">
        <v>557</v>
      </c>
      <c r="C188" s="696">
        <v>89301312</v>
      </c>
      <c r="D188" s="697" t="s">
        <v>2235</v>
      </c>
      <c r="E188" s="698" t="s">
        <v>1598</v>
      </c>
      <c r="F188" s="696" t="s">
        <v>1590</v>
      </c>
      <c r="G188" s="696" t="s">
        <v>1700</v>
      </c>
      <c r="H188" s="696" t="s">
        <v>558</v>
      </c>
      <c r="I188" s="696" t="s">
        <v>1783</v>
      </c>
      <c r="J188" s="696" t="s">
        <v>1784</v>
      </c>
      <c r="K188" s="696" t="s">
        <v>1785</v>
      </c>
      <c r="L188" s="699">
        <v>2296.87</v>
      </c>
      <c r="M188" s="699">
        <v>2296.87</v>
      </c>
      <c r="N188" s="696">
        <v>1</v>
      </c>
      <c r="O188" s="700">
        <v>1</v>
      </c>
      <c r="P188" s="699">
        <v>2296.87</v>
      </c>
      <c r="Q188" s="701">
        <v>1</v>
      </c>
      <c r="R188" s="696">
        <v>1</v>
      </c>
      <c r="S188" s="701">
        <v>1</v>
      </c>
      <c r="T188" s="700">
        <v>1</v>
      </c>
      <c r="U188" s="702">
        <v>1</v>
      </c>
    </row>
    <row r="189" spans="1:21" ht="14.4" customHeight="1" x14ac:dyDescent="0.3">
      <c r="A189" s="695">
        <v>31</v>
      </c>
      <c r="B189" s="696" t="s">
        <v>557</v>
      </c>
      <c r="C189" s="696">
        <v>89301312</v>
      </c>
      <c r="D189" s="697" t="s">
        <v>2235</v>
      </c>
      <c r="E189" s="698" t="s">
        <v>1598</v>
      </c>
      <c r="F189" s="696" t="s">
        <v>1590</v>
      </c>
      <c r="G189" s="696" t="s">
        <v>1700</v>
      </c>
      <c r="H189" s="696" t="s">
        <v>558</v>
      </c>
      <c r="I189" s="696" t="s">
        <v>1786</v>
      </c>
      <c r="J189" s="696" t="s">
        <v>1787</v>
      </c>
      <c r="K189" s="696" t="s">
        <v>1788</v>
      </c>
      <c r="L189" s="699">
        <v>320.25</v>
      </c>
      <c r="M189" s="699">
        <v>320.25</v>
      </c>
      <c r="N189" s="696">
        <v>1</v>
      </c>
      <c r="O189" s="700">
        <v>1</v>
      </c>
      <c r="P189" s="699">
        <v>320.25</v>
      </c>
      <c r="Q189" s="701">
        <v>1</v>
      </c>
      <c r="R189" s="696">
        <v>1</v>
      </c>
      <c r="S189" s="701">
        <v>1</v>
      </c>
      <c r="T189" s="700">
        <v>1</v>
      </c>
      <c r="U189" s="702">
        <v>1</v>
      </c>
    </row>
    <row r="190" spans="1:21" ht="14.4" customHeight="1" x14ac:dyDescent="0.3">
      <c r="A190" s="695">
        <v>31</v>
      </c>
      <c r="B190" s="696" t="s">
        <v>557</v>
      </c>
      <c r="C190" s="696">
        <v>89301312</v>
      </c>
      <c r="D190" s="697" t="s">
        <v>2235</v>
      </c>
      <c r="E190" s="698" t="s">
        <v>1598</v>
      </c>
      <c r="F190" s="696" t="s">
        <v>1590</v>
      </c>
      <c r="G190" s="696" t="s">
        <v>1700</v>
      </c>
      <c r="H190" s="696" t="s">
        <v>558</v>
      </c>
      <c r="I190" s="696" t="s">
        <v>1821</v>
      </c>
      <c r="J190" s="696" t="s">
        <v>1822</v>
      </c>
      <c r="K190" s="696"/>
      <c r="L190" s="699">
        <v>400</v>
      </c>
      <c r="M190" s="699">
        <v>400</v>
      </c>
      <c r="N190" s="696">
        <v>1</v>
      </c>
      <c r="O190" s="700">
        <v>1</v>
      </c>
      <c r="P190" s="699"/>
      <c r="Q190" s="701">
        <v>0</v>
      </c>
      <c r="R190" s="696"/>
      <c r="S190" s="701">
        <v>0</v>
      </c>
      <c r="T190" s="700"/>
      <c r="U190" s="702">
        <v>0</v>
      </c>
    </row>
    <row r="191" spans="1:21" ht="14.4" customHeight="1" x14ac:dyDescent="0.3">
      <c r="A191" s="695">
        <v>31</v>
      </c>
      <c r="B191" s="696" t="s">
        <v>557</v>
      </c>
      <c r="C191" s="696">
        <v>89301312</v>
      </c>
      <c r="D191" s="697" t="s">
        <v>2235</v>
      </c>
      <c r="E191" s="698" t="s">
        <v>1598</v>
      </c>
      <c r="F191" s="696" t="s">
        <v>1590</v>
      </c>
      <c r="G191" s="696" t="s">
        <v>1700</v>
      </c>
      <c r="H191" s="696" t="s">
        <v>558</v>
      </c>
      <c r="I191" s="696" t="s">
        <v>1747</v>
      </c>
      <c r="J191" s="696" t="s">
        <v>1748</v>
      </c>
      <c r="K191" s="696" t="s">
        <v>1749</v>
      </c>
      <c r="L191" s="699">
        <v>349.12</v>
      </c>
      <c r="M191" s="699">
        <v>349.12</v>
      </c>
      <c r="N191" s="696">
        <v>1</v>
      </c>
      <c r="O191" s="700">
        <v>1</v>
      </c>
      <c r="P191" s="699">
        <v>349.12</v>
      </c>
      <c r="Q191" s="701">
        <v>1</v>
      </c>
      <c r="R191" s="696">
        <v>1</v>
      </c>
      <c r="S191" s="701">
        <v>1</v>
      </c>
      <c r="T191" s="700">
        <v>1</v>
      </c>
      <c r="U191" s="702">
        <v>1</v>
      </c>
    </row>
    <row r="192" spans="1:21" ht="14.4" customHeight="1" x14ac:dyDescent="0.3">
      <c r="A192" s="695">
        <v>31</v>
      </c>
      <c r="B192" s="696" t="s">
        <v>557</v>
      </c>
      <c r="C192" s="696">
        <v>89301312</v>
      </c>
      <c r="D192" s="697" t="s">
        <v>2235</v>
      </c>
      <c r="E192" s="698" t="s">
        <v>1598</v>
      </c>
      <c r="F192" s="696" t="s">
        <v>1590</v>
      </c>
      <c r="G192" s="696" t="s">
        <v>1700</v>
      </c>
      <c r="H192" s="696" t="s">
        <v>558</v>
      </c>
      <c r="I192" s="696" t="s">
        <v>1812</v>
      </c>
      <c r="J192" s="696" t="s">
        <v>1813</v>
      </c>
      <c r="K192" s="696" t="s">
        <v>1814</v>
      </c>
      <c r="L192" s="699">
        <v>350</v>
      </c>
      <c r="M192" s="699">
        <v>1050</v>
      </c>
      <c r="N192" s="696">
        <v>3</v>
      </c>
      <c r="O192" s="700">
        <v>3</v>
      </c>
      <c r="P192" s="699">
        <v>1050</v>
      </c>
      <c r="Q192" s="701">
        <v>1</v>
      </c>
      <c r="R192" s="696">
        <v>3</v>
      </c>
      <c r="S192" s="701">
        <v>1</v>
      </c>
      <c r="T192" s="700">
        <v>3</v>
      </c>
      <c r="U192" s="702">
        <v>1</v>
      </c>
    </row>
    <row r="193" spans="1:21" ht="14.4" customHeight="1" x14ac:dyDescent="0.3">
      <c r="A193" s="695">
        <v>31</v>
      </c>
      <c r="B193" s="696" t="s">
        <v>557</v>
      </c>
      <c r="C193" s="696">
        <v>89301312</v>
      </c>
      <c r="D193" s="697" t="s">
        <v>2235</v>
      </c>
      <c r="E193" s="698" t="s">
        <v>1598</v>
      </c>
      <c r="F193" s="696" t="s">
        <v>1590</v>
      </c>
      <c r="G193" s="696" t="s">
        <v>1700</v>
      </c>
      <c r="H193" s="696" t="s">
        <v>558</v>
      </c>
      <c r="I193" s="696" t="s">
        <v>1823</v>
      </c>
      <c r="J193" s="696" t="s">
        <v>1824</v>
      </c>
      <c r="K193" s="696" t="s">
        <v>1825</v>
      </c>
      <c r="L193" s="699">
        <v>250</v>
      </c>
      <c r="M193" s="699">
        <v>500</v>
      </c>
      <c r="N193" s="696">
        <v>2</v>
      </c>
      <c r="O193" s="700">
        <v>2</v>
      </c>
      <c r="P193" s="699">
        <v>250</v>
      </c>
      <c r="Q193" s="701">
        <v>0.5</v>
      </c>
      <c r="R193" s="696">
        <v>1</v>
      </c>
      <c r="S193" s="701">
        <v>0.5</v>
      </c>
      <c r="T193" s="700">
        <v>1</v>
      </c>
      <c r="U193" s="702">
        <v>0.5</v>
      </c>
    </row>
    <row r="194" spans="1:21" ht="14.4" customHeight="1" x14ac:dyDescent="0.3">
      <c r="A194" s="695">
        <v>31</v>
      </c>
      <c r="B194" s="696" t="s">
        <v>557</v>
      </c>
      <c r="C194" s="696">
        <v>89301312</v>
      </c>
      <c r="D194" s="697" t="s">
        <v>2235</v>
      </c>
      <c r="E194" s="698" t="s">
        <v>1598</v>
      </c>
      <c r="F194" s="696" t="s">
        <v>1590</v>
      </c>
      <c r="G194" s="696" t="s">
        <v>1700</v>
      </c>
      <c r="H194" s="696" t="s">
        <v>558</v>
      </c>
      <c r="I194" s="696" t="s">
        <v>1826</v>
      </c>
      <c r="J194" s="696" t="s">
        <v>1827</v>
      </c>
      <c r="K194" s="696" t="s">
        <v>1825</v>
      </c>
      <c r="L194" s="699">
        <v>250</v>
      </c>
      <c r="M194" s="699">
        <v>250</v>
      </c>
      <c r="N194" s="696">
        <v>1</v>
      </c>
      <c r="O194" s="700">
        <v>1</v>
      </c>
      <c r="P194" s="699">
        <v>250</v>
      </c>
      <c r="Q194" s="701">
        <v>1</v>
      </c>
      <c r="R194" s="696">
        <v>1</v>
      </c>
      <c r="S194" s="701">
        <v>1</v>
      </c>
      <c r="T194" s="700">
        <v>1</v>
      </c>
      <c r="U194" s="702">
        <v>1</v>
      </c>
    </row>
    <row r="195" spans="1:21" ht="14.4" customHeight="1" x14ac:dyDescent="0.3">
      <c r="A195" s="695">
        <v>31</v>
      </c>
      <c r="B195" s="696" t="s">
        <v>557</v>
      </c>
      <c r="C195" s="696">
        <v>89301312</v>
      </c>
      <c r="D195" s="697" t="s">
        <v>2235</v>
      </c>
      <c r="E195" s="698" t="s">
        <v>1598</v>
      </c>
      <c r="F195" s="696" t="s">
        <v>1590</v>
      </c>
      <c r="G195" s="696" t="s">
        <v>1828</v>
      </c>
      <c r="H195" s="696" t="s">
        <v>558</v>
      </c>
      <c r="I195" s="696" t="s">
        <v>1829</v>
      </c>
      <c r="J195" s="696" t="s">
        <v>1830</v>
      </c>
      <c r="K195" s="696" t="s">
        <v>1831</v>
      </c>
      <c r="L195" s="699">
        <v>0</v>
      </c>
      <c r="M195" s="699">
        <v>0</v>
      </c>
      <c r="N195" s="696">
        <v>2</v>
      </c>
      <c r="O195" s="700">
        <v>2</v>
      </c>
      <c r="P195" s="699"/>
      <c r="Q195" s="701"/>
      <c r="R195" s="696"/>
      <c r="S195" s="701">
        <v>0</v>
      </c>
      <c r="T195" s="700"/>
      <c r="U195" s="702">
        <v>0</v>
      </c>
    </row>
    <row r="196" spans="1:21" ht="14.4" customHeight="1" x14ac:dyDescent="0.3">
      <c r="A196" s="695">
        <v>31</v>
      </c>
      <c r="B196" s="696" t="s">
        <v>557</v>
      </c>
      <c r="C196" s="696">
        <v>89301312</v>
      </c>
      <c r="D196" s="697" t="s">
        <v>2235</v>
      </c>
      <c r="E196" s="698" t="s">
        <v>1599</v>
      </c>
      <c r="F196" s="696" t="s">
        <v>1588</v>
      </c>
      <c r="G196" s="696" t="s">
        <v>1620</v>
      </c>
      <c r="H196" s="696" t="s">
        <v>558</v>
      </c>
      <c r="I196" s="696" t="s">
        <v>1832</v>
      </c>
      <c r="J196" s="696" t="s">
        <v>1833</v>
      </c>
      <c r="K196" s="696" t="s">
        <v>1834</v>
      </c>
      <c r="L196" s="699">
        <v>333.31</v>
      </c>
      <c r="M196" s="699">
        <v>333.31</v>
      </c>
      <c r="N196" s="696">
        <v>1</v>
      </c>
      <c r="O196" s="700"/>
      <c r="P196" s="699">
        <v>333.31</v>
      </c>
      <c r="Q196" s="701">
        <v>1</v>
      </c>
      <c r="R196" s="696">
        <v>1</v>
      </c>
      <c r="S196" s="701">
        <v>1</v>
      </c>
      <c r="T196" s="700"/>
      <c r="U196" s="702"/>
    </row>
    <row r="197" spans="1:21" ht="14.4" customHeight="1" x14ac:dyDescent="0.3">
      <c r="A197" s="695">
        <v>31</v>
      </c>
      <c r="B197" s="696" t="s">
        <v>557</v>
      </c>
      <c r="C197" s="696">
        <v>89301312</v>
      </c>
      <c r="D197" s="697" t="s">
        <v>2235</v>
      </c>
      <c r="E197" s="698" t="s">
        <v>1599</v>
      </c>
      <c r="F197" s="696" t="s">
        <v>1588</v>
      </c>
      <c r="G197" s="696" t="s">
        <v>1645</v>
      </c>
      <c r="H197" s="696" t="s">
        <v>914</v>
      </c>
      <c r="I197" s="696" t="s">
        <v>1045</v>
      </c>
      <c r="J197" s="696" t="s">
        <v>1046</v>
      </c>
      <c r="K197" s="696" t="s">
        <v>1047</v>
      </c>
      <c r="L197" s="699">
        <v>154.01</v>
      </c>
      <c r="M197" s="699">
        <v>154.01</v>
      </c>
      <c r="N197" s="696">
        <v>1</v>
      </c>
      <c r="O197" s="700"/>
      <c r="P197" s="699">
        <v>154.01</v>
      </c>
      <c r="Q197" s="701">
        <v>1</v>
      </c>
      <c r="R197" s="696">
        <v>1</v>
      </c>
      <c r="S197" s="701">
        <v>1</v>
      </c>
      <c r="T197" s="700"/>
      <c r="U197" s="702"/>
    </row>
    <row r="198" spans="1:21" ht="14.4" customHeight="1" x14ac:dyDescent="0.3">
      <c r="A198" s="695">
        <v>31</v>
      </c>
      <c r="B198" s="696" t="s">
        <v>557</v>
      </c>
      <c r="C198" s="696">
        <v>89301312</v>
      </c>
      <c r="D198" s="697" t="s">
        <v>2235</v>
      </c>
      <c r="E198" s="698" t="s">
        <v>1599</v>
      </c>
      <c r="F198" s="696" t="s">
        <v>1588</v>
      </c>
      <c r="G198" s="696" t="s">
        <v>1645</v>
      </c>
      <c r="H198" s="696" t="s">
        <v>558</v>
      </c>
      <c r="I198" s="696" t="s">
        <v>1835</v>
      </c>
      <c r="J198" s="696" t="s">
        <v>1046</v>
      </c>
      <c r="K198" s="696" t="s">
        <v>1346</v>
      </c>
      <c r="L198" s="699">
        <v>0</v>
      </c>
      <c r="M198" s="699">
        <v>0</v>
      </c>
      <c r="N198" s="696">
        <v>1</v>
      </c>
      <c r="O198" s="700"/>
      <c r="P198" s="699">
        <v>0</v>
      </c>
      <c r="Q198" s="701"/>
      <c r="R198" s="696">
        <v>1</v>
      </c>
      <c r="S198" s="701">
        <v>1</v>
      </c>
      <c r="T198" s="700"/>
      <c r="U198" s="702"/>
    </row>
    <row r="199" spans="1:21" ht="14.4" customHeight="1" x14ac:dyDescent="0.3">
      <c r="A199" s="695">
        <v>31</v>
      </c>
      <c r="B199" s="696" t="s">
        <v>557</v>
      </c>
      <c r="C199" s="696">
        <v>89301312</v>
      </c>
      <c r="D199" s="697" t="s">
        <v>2235</v>
      </c>
      <c r="E199" s="698" t="s">
        <v>1599</v>
      </c>
      <c r="F199" s="696" t="s">
        <v>1588</v>
      </c>
      <c r="G199" s="696" t="s">
        <v>1645</v>
      </c>
      <c r="H199" s="696" t="s">
        <v>558</v>
      </c>
      <c r="I199" s="696" t="s">
        <v>1836</v>
      </c>
      <c r="J199" s="696" t="s">
        <v>1046</v>
      </c>
      <c r="K199" s="696" t="s">
        <v>1047</v>
      </c>
      <c r="L199" s="699">
        <v>154.01</v>
      </c>
      <c r="M199" s="699">
        <v>154.01</v>
      </c>
      <c r="N199" s="696">
        <v>1</v>
      </c>
      <c r="O199" s="700"/>
      <c r="P199" s="699">
        <v>154.01</v>
      </c>
      <c r="Q199" s="701">
        <v>1</v>
      </c>
      <c r="R199" s="696">
        <v>1</v>
      </c>
      <c r="S199" s="701">
        <v>1</v>
      </c>
      <c r="T199" s="700"/>
      <c r="U199" s="702"/>
    </row>
    <row r="200" spans="1:21" ht="14.4" customHeight="1" x14ac:dyDescent="0.3">
      <c r="A200" s="695">
        <v>31</v>
      </c>
      <c r="B200" s="696" t="s">
        <v>557</v>
      </c>
      <c r="C200" s="696">
        <v>89301312</v>
      </c>
      <c r="D200" s="697" t="s">
        <v>2235</v>
      </c>
      <c r="E200" s="698" t="s">
        <v>1599</v>
      </c>
      <c r="F200" s="696" t="s">
        <v>1588</v>
      </c>
      <c r="G200" s="696" t="s">
        <v>1614</v>
      </c>
      <c r="H200" s="696" t="s">
        <v>914</v>
      </c>
      <c r="I200" s="696" t="s">
        <v>1367</v>
      </c>
      <c r="J200" s="696" t="s">
        <v>1317</v>
      </c>
      <c r="K200" s="696" t="s">
        <v>1368</v>
      </c>
      <c r="L200" s="699">
        <v>625.29</v>
      </c>
      <c r="M200" s="699">
        <v>1250.58</v>
      </c>
      <c r="N200" s="696">
        <v>2</v>
      </c>
      <c r="O200" s="700"/>
      <c r="P200" s="699">
        <v>1250.58</v>
      </c>
      <c r="Q200" s="701">
        <v>1</v>
      </c>
      <c r="R200" s="696">
        <v>2</v>
      </c>
      <c r="S200" s="701">
        <v>1</v>
      </c>
      <c r="T200" s="700"/>
      <c r="U200" s="702"/>
    </row>
    <row r="201" spans="1:21" ht="14.4" customHeight="1" x14ac:dyDescent="0.3">
      <c r="A201" s="695">
        <v>31</v>
      </c>
      <c r="B201" s="696" t="s">
        <v>557</v>
      </c>
      <c r="C201" s="696">
        <v>89301312</v>
      </c>
      <c r="D201" s="697" t="s">
        <v>2235</v>
      </c>
      <c r="E201" s="698" t="s">
        <v>1599</v>
      </c>
      <c r="F201" s="696" t="s">
        <v>1590</v>
      </c>
      <c r="G201" s="696" t="s">
        <v>1693</v>
      </c>
      <c r="H201" s="696" t="s">
        <v>558</v>
      </c>
      <c r="I201" s="696" t="s">
        <v>1697</v>
      </c>
      <c r="J201" s="696" t="s">
        <v>1698</v>
      </c>
      <c r="K201" s="696" t="s">
        <v>1699</v>
      </c>
      <c r="L201" s="699">
        <v>200</v>
      </c>
      <c r="M201" s="699">
        <v>400</v>
      </c>
      <c r="N201" s="696">
        <v>2</v>
      </c>
      <c r="O201" s="700">
        <v>1</v>
      </c>
      <c r="P201" s="699">
        <v>400</v>
      </c>
      <c r="Q201" s="701">
        <v>1</v>
      </c>
      <c r="R201" s="696">
        <v>2</v>
      </c>
      <c r="S201" s="701">
        <v>1</v>
      </c>
      <c r="T201" s="700">
        <v>1</v>
      </c>
      <c r="U201" s="702">
        <v>1</v>
      </c>
    </row>
    <row r="202" spans="1:21" ht="14.4" customHeight="1" x14ac:dyDescent="0.3">
      <c r="A202" s="695">
        <v>31</v>
      </c>
      <c r="B202" s="696" t="s">
        <v>557</v>
      </c>
      <c r="C202" s="696">
        <v>89301312</v>
      </c>
      <c r="D202" s="697" t="s">
        <v>2235</v>
      </c>
      <c r="E202" s="698" t="s">
        <v>1600</v>
      </c>
      <c r="F202" s="696" t="s">
        <v>1588</v>
      </c>
      <c r="G202" s="696" t="s">
        <v>1620</v>
      </c>
      <c r="H202" s="696" t="s">
        <v>914</v>
      </c>
      <c r="I202" s="696" t="s">
        <v>1019</v>
      </c>
      <c r="J202" s="696" t="s">
        <v>1525</v>
      </c>
      <c r="K202" s="696" t="s">
        <v>1526</v>
      </c>
      <c r="L202" s="699">
        <v>333.31</v>
      </c>
      <c r="M202" s="699">
        <v>666.62</v>
      </c>
      <c r="N202" s="696">
        <v>2</v>
      </c>
      <c r="O202" s="700">
        <v>1.5</v>
      </c>
      <c r="P202" s="699">
        <v>666.62</v>
      </c>
      <c r="Q202" s="701">
        <v>1</v>
      </c>
      <c r="R202" s="696">
        <v>2</v>
      </c>
      <c r="S202" s="701">
        <v>1</v>
      </c>
      <c r="T202" s="700">
        <v>1.5</v>
      </c>
      <c r="U202" s="702">
        <v>1</v>
      </c>
    </row>
    <row r="203" spans="1:21" ht="14.4" customHeight="1" x14ac:dyDescent="0.3">
      <c r="A203" s="695">
        <v>31</v>
      </c>
      <c r="B203" s="696" t="s">
        <v>557</v>
      </c>
      <c r="C203" s="696">
        <v>89301312</v>
      </c>
      <c r="D203" s="697" t="s">
        <v>2235</v>
      </c>
      <c r="E203" s="698" t="s">
        <v>1600</v>
      </c>
      <c r="F203" s="696" t="s">
        <v>1588</v>
      </c>
      <c r="G203" s="696" t="s">
        <v>1837</v>
      </c>
      <c r="H203" s="696" t="s">
        <v>914</v>
      </c>
      <c r="I203" s="696" t="s">
        <v>1838</v>
      </c>
      <c r="J203" s="696" t="s">
        <v>1839</v>
      </c>
      <c r="K203" s="696" t="s">
        <v>1840</v>
      </c>
      <c r="L203" s="699">
        <v>60.02</v>
      </c>
      <c r="M203" s="699">
        <v>180.06</v>
      </c>
      <c r="N203" s="696">
        <v>3</v>
      </c>
      <c r="O203" s="700">
        <v>0.5</v>
      </c>
      <c r="P203" s="699"/>
      <c r="Q203" s="701">
        <v>0</v>
      </c>
      <c r="R203" s="696"/>
      <c r="S203" s="701">
        <v>0</v>
      </c>
      <c r="T203" s="700"/>
      <c r="U203" s="702">
        <v>0</v>
      </c>
    </row>
    <row r="204" spans="1:21" ht="14.4" customHeight="1" x14ac:dyDescent="0.3">
      <c r="A204" s="695">
        <v>31</v>
      </c>
      <c r="B204" s="696" t="s">
        <v>557</v>
      </c>
      <c r="C204" s="696">
        <v>89301312</v>
      </c>
      <c r="D204" s="697" t="s">
        <v>2235</v>
      </c>
      <c r="E204" s="698" t="s">
        <v>1600</v>
      </c>
      <c r="F204" s="696" t="s">
        <v>1588</v>
      </c>
      <c r="G204" s="696" t="s">
        <v>1632</v>
      </c>
      <c r="H204" s="696" t="s">
        <v>558</v>
      </c>
      <c r="I204" s="696" t="s">
        <v>1633</v>
      </c>
      <c r="J204" s="696" t="s">
        <v>1634</v>
      </c>
      <c r="K204" s="696" t="s">
        <v>1635</v>
      </c>
      <c r="L204" s="699">
        <v>84.78</v>
      </c>
      <c r="M204" s="699">
        <v>84.78</v>
      </c>
      <c r="N204" s="696">
        <v>1</v>
      </c>
      <c r="O204" s="700">
        <v>1</v>
      </c>
      <c r="P204" s="699">
        <v>84.78</v>
      </c>
      <c r="Q204" s="701">
        <v>1</v>
      </c>
      <c r="R204" s="696">
        <v>1</v>
      </c>
      <c r="S204" s="701">
        <v>1</v>
      </c>
      <c r="T204" s="700">
        <v>1</v>
      </c>
      <c r="U204" s="702">
        <v>1</v>
      </c>
    </row>
    <row r="205" spans="1:21" ht="14.4" customHeight="1" x14ac:dyDescent="0.3">
      <c r="A205" s="695">
        <v>31</v>
      </c>
      <c r="B205" s="696" t="s">
        <v>557</v>
      </c>
      <c r="C205" s="696">
        <v>89301312</v>
      </c>
      <c r="D205" s="697" t="s">
        <v>2235</v>
      </c>
      <c r="E205" s="698" t="s">
        <v>1600</v>
      </c>
      <c r="F205" s="696" t="s">
        <v>1588</v>
      </c>
      <c r="G205" s="696" t="s">
        <v>1632</v>
      </c>
      <c r="H205" s="696" t="s">
        <v>558</v>
      </c>
      <c r="I205" s="696" t="s">
        <v>1841</v>
      </c>
      <c r="J205" s="696" t="s">
        <v>1842</v>
      </c>
      <c r="K205" s="696" t="s">
        <v>942</v>
      </c>
      <c r="L205" s="699">
        <v>0</v>
      </c>
      <c r="M205" s="699">
        <v>0</v>
      </c>
      <c r="N205" s="696">
        <v>1</v>
      </c>
      <c r="O205" s="700">
        <v>1</v>
      </c>
      <c r="P205" s="699">
        <v>0</v>
      </c>
      <c r="Q205" s="701"/>
      <c r="R205" s="696">
        <v>1</v>
      </c>
      <c r="S205" s="701">
        <v>1</v>
      </c>
      <c r="T205" s="700">
        <v>1</v>
      </c>
      <c r="U205" s="702">
        <v>1</v>
      </c>
    </row>
    <row r="206" spans="1:21" ht="14.4" customHeight="1" x14ac:dyDescent="0.3">
      <c r="A206" s="695">
        <v>31</v>
      </c>
      <c r="B206" s="696" t="s">
        <v>557</v>
      </c>
      <c r="C206" s="696">
        <v>89301312</v>
      </c>
      <c r="D206" s="697" t="s">
        <v>2235</v>
      </c>
      <c r="E206" s="698" t="s">
        <v>1600</v>
      </c>
      <c r="F206" s="696" t="s">
        <v>1588</v>
      </c>
      <c r="G206" s="696" t="s">
        <v>1843</v>
      </c>
      <c r="H206" s="696" t="s">
        <v>558</v>
      </c>
      <c r="I206" s="696" t="s">
        <v>1844</v>
      </c>
      <c r="J206" s="696" t="s">
        <v>1845</v>
      </c>
      <c r="K206" s="696" t="s">
        <v>1846</v>
      </c>
      <c r="L206" s="699">
        <v>73.819999999999993</v>
      </c>
      <c r="M206" s="699">
        <v>221.45999999999998</v>
      </c>
      <c r="N206" s="696">
        <v>3</v>
      </c>
      <c r="O206" s="700">
        <v>0.5</v>
      </c>
      <c r="P206" s="699">
        <v>221.45999999999998</v>
      </c>
      <c r="Q206" s="701">
        <v>1</v>
      </c>
      <c r="R206" s="696">
        <v>3</v>
      </c>
      <c r="S206" s="701">
        <v>1</v>
      </c>
      <c r="T206" s="700">
        <v>0.5</v>
      </c>
      <c r="U206" s="702">
        <v>1</v>
      </c>
    </row>
    <row r="207" spans="1:21" ht="14.4" customHeight="1" x14ac:dyDescent="0.3">
      <c r="A207" s="695">
        <v>31</v>
      </c>
      <c r="B207" s="696" t="s">
        <v>557</v>
      </c>
      <c r="C207" s="696">
        <v>89301312</v>
      </c>
      <c r="D207" s="697" t="s">
        <v>2235</v>
      </c>
      <c r="E207" s="698" t="s">
        <v>1600</v>
      </c>
      <c r="F207" s="696" t="s">
        <v>1588</v>
      </c>
      <c r="G207" s="696" t="s">
        <v>1847</v>
      </c>
      <c r="H207" s="696" t="s">
        <v>558</v>
      </c>
      <c r="I207" s="696" t="s">
        <v>667</v>
      </c>
      <c r="J207" s="696" t="s">
        <v>668</v>
      </c>
      <c r="K207" s="696" t="s">
        <v>1848</v>
      </c>
      <c r="L207" s="699">
        <v>163.9</v>
      </c>
      <c r="M207" s="699">
        <v>327.8</v>
      </c>
      <c r="N207" s="696">
        <v>2</v>
      </c>
      <c r="O207" s="700">
        <v>1</v>
      </c>
      <c r="P207" s="699"/>
      <c r="Q207" s="701">
        <v>0</v>
      </c>
      <c r="R207" s="696"/>
      <c r="S207" s="701">
        <v>0</v>
      </c>
      <c r="T207" s="700"/>
      <c r="U207" s="702">
        <v>0</v>
      </c>
    </row>
    <row r="208" spans="1:21" ht="14.4" customHeight="1" x14ac:dyDescent="0.3">
      <c r="A208" s="695">
        <v>31</v>
      </c>
      <c r="B208" s="696" t="s">
        <v>557</v>
      </c>
      <c r="C208" s="696">
        <v>89301312</v>
      </c>
      <c r="D208" s="697" t="s">
        <v>2235</v>
      </c>
      <c r="E208" s="698" t="s">
        <v>1600</v>
      </c>
      <c r="F208" s="696" t="s">
        <v>1588</v>
      </c>
      <c r="G208" s="696" t="s">
        <v>1849</v>
      </c>
      <c r="H208" s="696" t="s">
        <v>558</v>
      </c>
      <c r="I208" s="696" t="s">
        <v>856</v>
      </c>
      <c r="J208" s="696" t="s">
        <v>1850</v>
      </c>
      <c r="K208" s="696" t="s">
        <v>1851</v>
      </c>
      <c r="L208" s="699">
        <v>33.36</v>
      </c>
      <c r="M208" s="699">
        <v>33.36</v>
      </c>
      <c r="N208" s="696">
        <v>1</v>
      </c>
      <c r="O208" s="700">
        <v>0.5</v>
      </c>
      <c r="P208" s="699">
        <v>33.36</v>
      </c>
      <c r="Q208" s="701">
        <v>1</v>
      </c>
      <c r="R208" s="696">
        <v>1</v>
      </c>
      <c r="S208" s="701">
        <v>1</v>
      </c>
      <c r="T208" s="700">
        <v>0.5</v>
      </c>
      <c r="U208" s="702">
        <v>1</v>
      </c>
    </row>
    <row r="209" spans="1:21" ht="14.4" customHeight="1" x14ac:dyDescent="0.3">
      <c r="A209" s="695">
        <v>31</v>
      </c>
      <c r="B209" s="696" t="s">
        <v>557</v>
      </c>
      <c r="C209" s="696">
        <v>89301312</v>
      </c>
      <c r="D209" s="697" t="s">
        <v>2235</v>
      </c>
      <c r="E209" s="698" t="s">
        <v>1600</v>
      </c>
      <c r="F209" s="696" t="s">
        <v>1588</v>
      </c>
      <c r="G209" s="696" t="s">
        <v>1852</v>
      </c>
      <c r="H209" s="696" t="s">
        <v>558</v>
      </c>
      <c r="I209" s="696" t="s">
        <v>1853</v>
      </c>
      <c r="J209" s="696" t="s">
        <v>1854</v>
      </c>
      <c r="K209" s="696" t="s">
        <v>736</v>
      </c>
      <c r="L209" s="699">
        <v>0</v>
      </c>
      <c r="M209" s="699">
        <v>0</v>
      </c>
      <c r="N209" s="696">
        <v>3</v>
      </c>
      <c r="O209" s="700">
        <v>0.5</v>
      </c>
      <c r="P209" s="699"/>
      <c r="Q209" s="701"/>
      <c r="R209" s="696"/>
      <c r="S209" s="701">
        <v>0</v>
      </c>
      <c r="T209" s="700"/>
      <c r="U209" s="702">
        <v>0</v>
      </c>
    </row>
    <row r="210" spans="1:21" ht="14.4" customHeight="1" x14ac:dyDescent="0.3">
      <c r="A210" s="695">
        <v>31</v>
      </c>
      <c r="B210" s="696" t="s">
        <v>557</v>
      </c>
      <c r="C210" s="696">
        <v>89301312</v>
      </c>
      <c r="D210" s="697" t="s">
        <v>2235</v>
      </c>
      <c r="E210" s="698" t="s">
        <v>1600</v>
      </c>
      <c r="F210" s="696" t="s">
        <v>1588</v>
      </c>
      <c r="G210" s="696" t="s">
        <v>1852</v>
      </c>
      <c r="H210" s="696" t="s">
        <v>558</v>
      </c>
      <c r="I210" s="696" t="s">
        <v>1855</v>
      </c>
      <c r="J210" s="696" t="s">
        <v>1854</v>
      </c>
      <c r="K210" s="696" t="s">
        <v>1856</v>
      </c>
      <c r="L210" s="699">
        <v>42.18</v>
      </c>
      <c r="M210" s="699">
        <v>42.18</v>
      </c>
      <c r="N210" s="696">
        <v>1</v>
      </c>
      <c r="O210" s="700">
        <v>1</v>
      </c>
      <c r="P210" s="699">
        <v>42.18</v>
      </c>
      <c r="Q210" s="701">
        <v>1</v>
      </c>
      <c r="R210" s="696">
        <v>1</v>
      </c>
      <c r="S210" s="701">
        <v>1</v>
      </c>
      <c r="T210" s="700">
        <v>1</v>
      </c>
      <c r="U210" s="702">
        <v>1</v>
      </c>
    </row>
    <row r="211" spans="1:21" ht="14.4" customHeight="1" x14ac:dyDescent="0.3">
      <c r="A211" s="695">
        <v>31</v>
      </c>
      <c r="B211" s="696" t="s">
        <v>557</v>
      </c>
      <c r="C211" s="696">
        <v>89301312</v>
      </c>
      <c r="D211" s="697" t="s">
        <v>2235</v>
      </c>
      <c r="E211" s="698" t="s">
        <v>1600</v>
      </c>
      <c r="F211" s="696" t="s">
        <v>1588</v>
      </c>
      <c r="G211" s="696" t="s">
        <v>1638</v>
      </c>
      <c r="H211" s="696" t="s">
        <v>558</v>
      </c>
      <c r="I211" s="696" t="s">
        <v>1639</v>
      </c>
      <c r="J211" s="696" t="s">
        <v>1640</v>
      </c>
      <c r="K211" s="696"/>
      <c r="L211" s="699">
        <v>0</v>
      </c>
      <c r="M211" s="699">
        <v>0</v>
      </c>
      <c r="N211" s="696">
        <v>1</v>
      </c>
      <c r="O211" s="700">
        <v>1</v>
      </c>
      <c r="P211" s="699">
        <v>0</v>
      </c>
      <c r="Q211" s="701"/>
      <c r="R211" s="696">
        <v>1</v>
      </c>
      <c r="S211" s="701">
        <v>1</v>
      </c>
      <c r="T211" s="700">
        <v>1</v>
      </c>
      <c r="U211" s="702">
        <v>1</v>
      </c>
    </row>
    <row r="212" spans="1:21" ht="14.4" customHeight="1" x14ac:dyDescent="0.3">
      <c r="A212" s="695">
        <v>31</v>
      </c>
      <c r="B212" s="696" t="s">
        <v>557</v>
      </c>
      <c r="C212" s="696">
        <v>89301312</v>
      </c>
      <c r="D212" s="697" t="s">
        <v>2235</v>
      </c>
      <c r="E212" s="698" t="s">
        <v>1600</v>
      </c>
      <c r="F212" s="696" t="s">
        <v>1588</v>
      </c>
      <c r="G212" s="696" t="s">
        <v>1857</v>
      </c>
      <c r="H212" s="696" t="s">
        <v>558</v>
      </c>
      <c r="I212" s="696" t="s">
        <v>663</v>
      </c>
      <c r="J212" s="696" t="s">
        <v>664</v>
      </c>
      <c r="K212" s="696" t="s">
        <v>1858</v>
      </c>
      <c r="L212" s="699">
        <v>0</v>
      </c>
      <c r="M212" s="699">
        <v>0</v>
      </c>
      <c r="N212" s="696">
        <v>6</v>
      </c>
      <c r="O212" s="700">
        <v>5.5</v>
      </c>
      <c r="P212" s="699">
        <v>0</v>
      </c>
      <c r="Q212" s="701"/>
      <c r="R212" s="696">
        <v>4</v>
      </c>
      <c r="S212" s="701">
        <v>0.66666666666666663</v>
      </c>
      <c r="T212" s="700">
        <v>3.5</v>
      </c>
      <c r="U212" s="702">
        <v>0.63636363636363635</v>
      </c>
    </row>
    <row r="213" spans="1:21" ht="14.4" customHeight="1" x14ac:dyDescent="0.3">
      <c r="A213" s="695">
        <v>31</v>
      </c>
      <c r="B213" s="696" t="s">
        <v>557</v>
      </c>
      <c r="C213" s="696">
        <v>89301312</v>
      </c>
      <c r="D213" s="697" t="s">
        <v>2235</v>
      </c>
      <c r="E213" s="698" t="s">
        <v>1600</v>
      </c>
      <c r="F213" s="696" t="s">
        <v>1588</v>
      </c>
      <c r="G213" s="696" t="s">
        <v>1645</v>
      </c>
      <c r="H213" s="696" t="s">
        <v>914</v>
      </c>
      <c r="I213" s="696" t="s">
        <v>1045</v>
      </c>
      <c r="J213" s="696" t="s">
        <v>1046</v>
      </c>
      <c r="K213" s="696" t="s">
        <v>1047</v>
      </c>
      <c r="L213" s="699">
        <v>154.01</v>
      </c>
      <c r="M213" s="699">
        <v>616.04</v>
      </c>
      <c r="N213" s="696">
        <v>4</v>
      </c>
      <c r="O213" s="700">
        <v>2.5</v>
      </c>
      <c r="P213" s="699">
        <v>308.02</v>
      </c>
      <c r="Q213" s="701">
        <v>0.5</v>
      </c>
      <c r="R213" s="696">
        <v>2</v>
      </c>
      <c r="S213" s="701">
        <v>0.5</v>
      </c>
      <c r="T213" s="700">
        <v>1.5</v>
      </c>
      <c r="U213" s="702">
        <v>0.6</v>
      </c>
    </row>
    <row r="214" spans="1:21" ht="14.4" customHeight="1" x14ac:dyDescent="0.3">
      <c r="A214" s="695">
        <v>31</v>
      </c>
      <c r="B214" s="696" t="s">
        <v>557</v>
      </c>
      <c r="C214" s="696">
        <v>89301312</v>
      </c>
      <c r="D214" s="697" t="s">
        <v>2235</v>
      </c>
      <c r="E214" s="698" t="s">
        <v>1600</v>
      </c>
      <c r="F214" s="696" t="s">
        <v>1588</v>
      </c>
      <c r="G214" s="696" t="s">
        <v>1645</v>
      </c>
      <c r="H214" s="696" t="s">
        <v>558</v>
      </c>
      <c r="I214" s="696" t="s">
        <v>1836</v>
      </c>
      <c r="J214" s="696" t="s">
        <v>1046</v>
      </c>
      <c r="K214" s="696" t="s">
        <v>1047</v>
      </c>
      <c r="L214" s="699">
        <v>154.01</v>
      </c>
      <c r="M214" s="699">
        <v>462.03</v>
      </c>
      <c r="N214" s="696">
        <v>3</v>
      </c>
      <c r="O214" s="700">
        <v>1</v>
      </c>
      <c r="P214" s="699">
        <v>462.03</v>
      </c>
      <c r="Q214" s="701">
        <v>1</v>
      </c>
      <c r="R214" s="696">
        <v>3</v>
      </c>
      <c r="S214" s="701">
        <v>1</v>
      </c>
      <c r="T214" s="700">
        <v>1</v>
      </c>
      <c r="U214" s="702">
        <v>1</v>
      </c>
    </row>
    <row r="215" spans="1:21" ht="14.4" customHeight="1" x14ac:dyDescent="0.3">
      <c r="A215" s="695">
        <v>31</v>
      </c>
      <c r="B215" s="696" t="s">
        <v>557</v>
      </c>
      <c r="C215" s="696">
        <v>89301312</v>
      </c>
      <c r="D215" s="697" t="s">
        <v>2235</v>
      </c>
      <c r="E215" s="698" t="s">
        <v>1600</v>
      </c>
      <c r="F215" s="696" t="s">
        <v>1588</v>
      </c>
      <c r="G215" s="696" t="s">
        <v>1859</v>
      </c>
      <c r="H215" s="696" t="s">
        <v>558</v>
      </c>
      <c r="I215" s="696" t="s">
        <v>1860</v>
      </c>
      <c r="J215" s="696" t="s">
        <v>1861</v>
      </c>
      <c r="K215" s="696" t="s">
        <v>1862</v>
      </c>
      <c r="L215" s="699">
        <v>58</v>
      </c>
      <c r="M215" s="699">
        <v>58</v>
      </c>
      <c r="N215" s="696">
        <v>1</v>
      </c>
      <c r="O215" s="700">
        <v>1</v>
      </c>
      <c r="P215" s="699">
        <v>58</v>
      </c>
      <c r="Q215" s="701">
        <v>1</v>
      </c>
      <c r="R215" s="696">
        <v>1</v>
      </c>
      <c r="S215" s="701">
        <v>1</v>
      </c>
      <c r="T215" s="700">
        <v>1</v>
      </c>
      <c r="U215" s="702">
        <v>1</v>
      </c>
    </row>
    <row r="216" spans="1:21" ht="14.4" customHeight="1" x14ac:dyDescent="0.3">
      <c r="A216" s="695">
        <v>31</v>
      </c>
      <c r="B216" s="696" t="s">
        <v>557</v>
      </c>
      <c r="C216" s="696">
        <v>89301312</v>
      </c>
      <c r="D216" s="697" t="s">
        <v>2235</v>
      </c>
      <c r="E216" s="698" t="s">
        <v>1600</v>
      </c>
      <c r="F216" s="696" t="s">
        <v>1588</v>
      </c>
      <c r="G216" s="696" t="s">
        <v>1863</v>
      </c>
      <c r="H216" s="696" t="s">
        <v>914</v>
      </c>
      <c r="I216" s="696" t="s">
        <v>1864</v>
      </c>
      <c r="J216" s="696" t="s">
        <v>1865</v>
      </c>
      <c r="K216" s="696" t="s">
        <v>1866</v>
      </c>
      <c r="L216" s="699">
        <v>193.26</v>
      </c>
      <c r="M216" s="699">
        <v>1739.34</v>
      </c>
      <c r="N216" s="696">
        <v>9</v>
      </c>
      <c r="O216" s="700">
        <v>8</v>
      </c>
      <c r="P216" s="699">
        <v>773.04</v>
      </c>
      <c r="Q216" s="701">
        <v>0.44444444444444442</v>
      </c>
      <c r="R216" s="696">
        <v>4</v>
      </c>
      <c r="S216" s="701">
        <v>0.44444444444444442</v>
      </c>
      <c r="T216" s="700">
        <v>3</v>
      </c>
      <c r="U216" s="702">
        <v>0.375</v>
      </c>
    </row>
    <row r="217" spans="1:21" ht="14.4" customHeight="1" x14ac:dyDescent="0.3">
      <c r="A217" s="695">
        <v>31</v>
      </c>
      <c r="B217" s="696" t="s">
        <v>557</v>
      </c>
      <c r="C217" s="696">
        <v>89301312</v>
      </c>
      <c r="D217" s="697" t="s">
        <v>2235</v>
      </c>
      <c r="E217" s="698" t="s">
        <v>1600</v>
      </c>
      <c r="F217" s="696" t="s">
        <v>1588</v>
      </c>
      <c r="G217" s="696" t="s">
        <v>1863</v>
      </c>
      <c r="H217" s="696" t="s">
        <v>914</v>
      </c>
      <c r="I217" s="696" t="s">
        <v>1867</v>
      </c>
      <c r="J217" s="696" t="s">
        <v>1865</v>
      </c>
      <c r="K217" s="696" t="s">
        <v>1868</v>
      </c>
      <c r="L217" s="699">
        <v>128.84</v>
      </c>
      <c r="M217" s="699">
        <v>128.84</v>
      </c>
      <c r="N217" s="696">
        <v>1</v>
      </c>
      <c r="O217" s="700">
        <v>0.5</v>
      </c>
      <c r="P217" s="699">
        <v>128.84</v>
      </c>
      <c r="Q217" s="701">
        <v>1</v>
      </c>
      <c r="R217" s="696">
        <v>1</v>
      </c>
      <c r="S217" s="701">
        <v>1</v>
      </c>
      <c r="T217" s="700">
        <v>0.5</v>
      </c>
      <c r="U217" s="702">
        <v>1</v>
      </c>
    </row>
    <row r="218" spans="1:21" ht="14.4" customHeight="1" x14ac:dyDescent="0.3">
      <c r="A218" s="695">
        <v>31</v>
      </c>
      <c r="B218" s="696" t="s">
        <v>557</v>
      </c>
      <c r="C218" s="696">
        <v>89301312</v>
      </c>
      <c r="D218" s="697" t="s">
        <v>2235</v>
      </c>
      <c r="E218" s="698" t="s">
        <v>1600</v>
      </c>
      <c r="F218" s="696" t="s">
        <v>1588</v>
      </c>
      <c r="G218" s="696" t="s">
        <v>1614</v>
      </c>
      <c r="H218" s="696" t="s">
        <v>914</v>
      </c>
      <c r="I218" s="696" t="s">
        <v>1367</v>
      </c>
      <c r="J218" s="696" t="s">
        <v>1317</v>
      </c>
      <c r="K218" s="696" t="s">
        <v>1368</v>
      </c>
      <c r="L218" s="699">
        <v>625.29</v>
      </c>
      <c r="M218" s="699">
        <v>7503.48</v>
      </c>
      <c r="N218" s="696">
        <v>12</v>
      </c>
      <c r="O218" s="700">
        <v>8</v>
      </c>
      <c r="P218" s="699">
        <v>6252.9</v>
      </c>
      <c r="Q218" s="701">
        <v>0.83333333333333337</v>
      </c>
      <c r="R218" s="696">
        <v>10</v>
      </c>
      <c r="S218" s="701">
        <v>0.83333333333333337</v>
      </c>
      <c r="T218" s="700">
        <v>6</v>
      </c>
      <c r="U218" s="702">
        <v>0.75</v>
      </c>
    </row>
    <row r="219" spans="1:21" ht="14.4" customHeight="1" x14ac:dyDescent="0.3">
      <c r="A219" s="695">
        <v>31</v>
      </c>
      <c r="B219" s="696" t="s">
        <v>557</v>
      </c>
      <c r="C219" s="696">
        <v>89301312</v>
      </c>
      <c r="D219" s="697" t="s">
        <v>2235</v>
      </c>
      <c r="E219" s="698" t="s">
        <v>1600</v>
      </c>
      <c r="F219" s="696" t="s">
        <v>1588</v>
      </c>
      <c r="G219" s="696" t="s">
        <v>1614</v>
      </c>
      <c r="H219" s="696" t="s">
        <v>914</v>
      </c>
      <c r="I219" s="696" t="s">
        <v>1646</v>
      </c>
      <c r="J219" s="696" t="s">
        <v>1317</v>
      </c>
      <c r="K219" s="696" t="s">
        <v>1647</v>
      </c>
      <c r="L219" s="699">
        <v>187.59</v>
      </c>
      <c r="M219" s="699">
        <v>375.18</v>
      </c>
      <c r="N219" s="696">
        <v>2</v>
      </c>
      <c r="O219" s="700">
        <v>1</v>
      </c>
      <c r="P219" s="699">
        <v>375.18</v>
      </c>
      <c r="Q219" s="701">
        <v>1</v>
      </c>
      <c r="R219" s="696">
        <v>2</v>
      </c>
      <c r="S219" s="701">
        <v>1</v>
      </c>
      <c r="T219" s="700">
        <v>1</v>
      </c>
      <c r="U219" s="702">
        <v>1</v>
      </c>
    </row>
    <row r="220" spans="1:21" ht="14.4" customHeight="1" x14ac:dyDescent="0.3">
      <c r="A220" s="695">
        <v>31</v>
      </c>
      <c r="B220" s="696" t="s">
        <v>557</v>
      </c>
      <c r="C220" s="696">
        <v>89301312</v>
      </c>
      <c r="D220" s="697" t="s">
        <v>2235</v>
      </c>
      <c r="E220" s="698" t="s">
        <v>1600</v>
      </c>
      <c r="F220" s="696" t="s">
        <v>1588</v>
      </c>
      <c r="G220" s="696" t="s">
        <v>1614</v>
      </c>
      <c r="H220" s="696" t="s">
        <v>914</v>
      </c>
      <c r="I220" s="696" t="s">
        <v>1316</v>
      </c>
      <c r="J220" s="696" t="s">
        <v>1317</v>
      </c>
      <c r="K220" s="696" t="s">
        <v>1318</v>
      </c>
      <c r="L220" s="699">
        <v>937.93</v>
      </c>
      <c r="M220" s="699">
        <v>1875.86</v>
      </c>
      <c r="N220" s="696">
        <v>2</v>
      </c>
      <c r="O220" s="700">
        <v>1</v>
      </c>
      <c r="P220" s="699">
        <v>1875.86</v>
      </c>
      <c r="Q220" s="701">
        <v>1</v>
      </c>
      <c r="R220" s="696">
        <v>2</v>
      </c>
      <c r="S220" s="701">
        <v>1</v>
      </c>
      <c r="T220" s="700">
        <v>1</v>
      </c>
      <c r="U220" s="702">
        <v>1</v>
      </c>
    </row>
    <row r="221" spans="1:21" ht="14.4" customHeight="1" x14ac:dyDescent="0.3">
      <c r="A221" s="695">
        <v>31</v>
      </c>
      <c r="B221" s="696" t="s">
        <v>557</v>
      </c>
      <c r="C221" s="696">
        <v>89301312</v>
      </c>
      <c r="D221" s="697" t="s">
        <v>2235</v>
      </c>
      <c r="E221" s="698" t="s">
        <v>1600</v>
      </c>
      <c r="F221" s="696" t="s">
        <v>1588</v>
      </c>
      <c r="G221" s="696" t="s">
        <v>1651</v>
      </c>
      <c r="H221" s="696" t="s">
        <v>914</v>
      </c>
      <c r="I221" s="696" t="s">
        <v>916</v>
      </c>
      <c r="J221" s="696" t="s">
        <v>917</v>
      </c>
      <c r="K221" s="696" t="s">
        <v>1543</v>
      </c>
      <c r="L221" s="699">
        <v>96.63</v>
      </c>
      <c r="M221" s="699">
        <v>193.26</v>
      </c>
      <c r="N221" s="696">
        <v>2</v>
      </c>
      <c r="O221" s="700">
        <v>1.5</v>
      </c>
      <c r="P221" s="699">
        <v>96.63</v>
      </c>
      <c r="Q221" s="701">
        <v>0.5</v>
      </c>
      <c r="R221" s="696">
        <v>1</v>
      </c>
      <c r="S221" s="701">
        <v>0.5</v>
      </c>
      <c r="T221" s="700">
        <v>0.5</v>
      </c>
      <c r="U221" s="702">
        <v>0.33333333333333331</v>
      </c>
    </row>
    <row r="222" spans="1:21" ht="14.4" customHeight="1" x14ac:dyDescent="0.3">
      <c r="A222" s="695">
        <v>31</v>
      </c>
      <c r="B222" s="696" t="s">
        <v>557</v>
      </c>
      <c r="C222" s="696">
        <v>89301312</v>
      </c>
      <c r="D222" s="697" t="s">
        <v>2235</v>
      </c>
      <c r="E222" s="698" t="s">
        <v>1600</v>
      </c>
      <c r="F222" s="696" t="s">
        <v>1588</v>
      </c>
      <c r="G222" s="696" t="s">
        <v>1651</v>
      </c>
      <c r="H222" s="696" t="s">
        <v>558</v>
      </c>
      <c r="I222" s="696" t="s">
        <v>1652</v>
      </c>
      <c r="J222" s="696" t="s">
        <v>917</v>
      </c>
      <c r="K222" s="696" t="s">
        <v>1653</v>
      </c>
      <c r="L222" s="699">
        <v>48.31</v>
      </c>
      <c r="M222" s="699">
        <v>48.31</v>
      </c>
      <c r="N222" s="696">
        <v>1</v>
      </c>
      <c r="O222" s="700">
        <v>0.5</v>
      </c>
      <c r="P222" s="699">
        <v>48.31</v>
      </c>
      <c r="Q222" s="701">
        <v>1</v>
      </c>
      <c r="R222" s="696">
        <v>1</v>
      </c>
      <c r="S222" s="701">
        <v>1</v>
      </c>
      <c r="T222" s="700">
        <v>0.5</v>
      </c>
      <c r="U222" s="702">
        <v>1</v>
      </c>
    </row>
    <row r="223" spans="1:21" ht="14.4" customHeight="1" x14ac:dyDescent="0.3">
      <c r="A223" s="695">
        <v>31</v>
      </c>
      <c r="B223" s="696" t="s">
        <v>557</v>
      </c>
      <c r="C223" s="696">
        <v>89301312</v>
      </c>
      <c r="D223" s="697" t="s">
        <v>2235</v>
      </c>
      <c r="E223" s="698" t="s">
        <v>1600</v>
      </c>
      <c r="F223" s="696" t="s">
        <v>1588</v>
      </c>
      <c r="G223" s="696" t="s">
        <v>1869</v>
      </c>
      <c r="H223" s="696" t="s">
        <v>558</v>
      </c>
      <c r="I223" s="696" t="s">
        <v>1870</v>
      </c>
      <c r="J223" s="696" t="s">
        <v>1871</v>
      </c>
      <c r="K223" s="696" t="s">
        <v>728</v>
      </c>
      <c r="L223" s="699">
        <v>182.39</v>
      </c>
      <c r="M223" s="699">
        <v>182.39</v>
      </c>
      <c r="N223" s="696">
        <v>1</v>
      </c>
      <c r="O223" s="700">
        <v>1</v>
      </c>
      <c r="P223" s="699"/>
      <c r="Q223" s="701">
        <v>0</v>
      </c>
      <c r="R223" s="696"/>
      <c r="S223" s="701">
        <v>0</v>
      </c>
      <c r="T223" s="700"/>
      <c r="U223" s="702">
        <v>0</v>
      </c>
    </row>
    <row r="224" spans="1:21" ht="14.4" customHeight="1" x14ac:dyDescent="0.3">
      <c r="A224" s="695">
        <v>31</v>
      </c>
      <c r="B224" s="696" t="s">
        <v>557</v>
      </c>
      <c r="C224" s="696">
        <v>89301312</v>
      </c>
      <c r="D224" s="697" t="s">
        <v>2235</v>
      </c>
      <c r="E224" s="698" t="s">
        <v>1600</v>
      </c>
      <c r="F224" s="696" t="s">
        <v>1588</v>
      </c>
      <c r="G224" s="696" t="s">
        <v>1872</v>
      </c>
      <c r="H224" s="696" t="s">
        <v>558</v>
      </c>
      <c r="I224" s="696" t="s">
        <v>1106</v>
      </c>
      <c r="J224" s="696" t="s">
        <v>1873</v>
      </c>
      <c r="K224" s="696" t="s">
        <v>1874</v>
      </c>
      <c r="L224" s="699">
        <v>0</v>
      </c>
      <c r="M224" s="699">
        <v>0</v>
      </c>
      <c r="N224" s="696">
        <v>2</v>
      </c>
      <c r="O224" s="700">
        <v>1</v>
      </c>
      <c r="P224" s="699">
        <v>0</v>
      </c>
      <c r="Q224" s="701"/>
      <c r="R224" s="696">
        <v>2</v>
      </c>
      <c r="S224" s="701">
        <v>1</v>
      </c>
      <c r="T224" s="700">
        <v>1</v>
      </c>
      <c r="U224" s="702">
        <v>1</v>
      </c>
    </row>
    <row r="225" spans="1:21" ht="14.4" customHeight="1" x14ac:dyDescent="0.3">
      <c r="A225" s="695">
        <v>31</v>
      </c>
      <c r="B225" s="696" t="s">
        <v>557</v>
      </c>
      <c r="C225" s="696">
        <v>89301312</v>
      </c>
      <c r="D225" s="697" t="s">
        <v>2235</v>
      </c>
      <c r="E225" s="698" t="s">
        <v>1600</v>
      </c>
      <c r="F225" s="696" t="s">
        <v>1588</v>
      </c>
      <c r="G225" s="696" t="s">
        <v>1875</v>
      </c>
      <c r="H225" s="696" t="s">
        <v>914</v>
      </c>
      <c r="I225" s="696" t="s">
        <v>1876</v>
      </c>
      <c r="J225" s="696" t="s">
        <v>1877</v>
      </c>
      <c r="K225" s="696" t="s">
        <v>1878</v>
      </c>
      <c r="L225" s="699">
        <v>134.83000000000001</v>
      </c>
      <c r="M225" s="699">
        <v>404.49</v>
      </c>
      <c r="N225" s="696">
        <v>3</v>
      </c>
      <c r="O225" s="700">
        <v>0.5</v>
      </c>
      <c r="P225" s="699">
        <v>404.49</v>
      </c>
      <c r="Q225" s="701">
        <v>1</v>
      </c>
      <c r="R225" s="696">
        <v>3</v>
      </c>
      <c r="S225" s="701">
        <v>1</v>
      </c>
      <c r="T225" s="700">
        <v>0.5</v>
      </c>
      <c r="U225" s="702">
        <v>1</v>
      </c>
    </row>
    <row r="226" spans="1:21" ht="14.4" customHeight="1" x14ac:dyDescent="0.3">
      <c r="A226" s="695">
        <v>31</v>
      </c>
      <c r="B226" s="696" t="s">
        <v>557</v>
      </c>
      <c r="C226" s="696">
        <v>89301312</v>
      </c>
      <c r="D226" s="697" t="s">
        <v>2235</v>
      </c>
      <c r="E226" s="698" t="s">
        <v>1600</v>
      </c>
      <c r="F226" s="696" t="s">
        <v>1588</v>
      </c>
      <c r="G226" s="696" t="s">
        <v>1615</v>
      </c>
      <c r="H226" s="696" t="s">
        <v>558</v>
      </c>
      <c r="I226" s="696" t="s">
        <v>988</v>
      </c>
      <c r="J226" s="696" t="s">
        <v>989</v>
      </c>
      <c r="K226" s="696" t="s">
        <v>1616</v>
      </c>
      <c r="L226" s="699">
        <v>194.73</v>
      </c>
      <c r="M226" s="699">
        <v>194.73</v>
      </c>
      <c r="N226" s="696">
        <v>1</v>
      </c>
      <c r="O226" s="700">
        <v>0.5</v>
      </c>
      <c r="P226" s="699">
        <v>194.73</v>
      </c>
      <c r="Q226" s="701">
        <v>1</v>
      </c>
      <c r="R226" s="696">
        <v>1</v>
      </c>
      <c r="S226" s="701">
        <v>1</v>
      </c>
      <c r="T226" s="700">
        <v>0.5</v>
      </c>
      <c r="U226" s="702">
        <v>1</v>
      </c>
    </row>
    <row r="227" spans="1:21" ht="14.4" customHeight="1" x14ac:dyDescent="0.3">
      <c r="A227" s="695">
        <v>31</v>
      </c>
      <c r="B227" s="696" t="s">
        <v>557</v>
      </c>
      <c r="C227" s="696">
        <v>89301312</v>
      </c>
      <c r="D227" s="697" t="s">
        <v>2235</v>
      </c>
      <c r="E227" s="698" t="s">
        <v>1600</v>
      </c>
      <c r="F227" s="696" t="s">
        <v>1588</v>
      </c>
      <c r="G227" s="696" t="s">
        <v>1879</v>
      </c>
      <c r="H227" s="696" t="s">
        <v>914</v>
      </c>
      <c r="I227" s="696" t="s">
        <v>1880</v>
      </c>
      <c r="J227" s="696" t="s">
        <v>1881</v>
      </c>
      <c r="K227" s="696" t="s">
        <v>1878</v>
      </c>
      <c r="L227" s="699">
        <v>77.209999999999994</v>
      </c>
      <c r="M227" s="699">
        <v>77.209999999999994</v>
      </c>
      <c r="N227" s="696">
        <v>1</v>
      </c>
      <c r="O227" s="700">
        <v>1</v>
      </c>
      <c r="P227" s="699">
        <v>77.209999999999994</v>
      </c>
      <c r="Q227" s="701">
        <v>1</v>
      </c>
      <c r="R227" s="696">
        <v>1</v>
      </c>
      <c r="S227" s="701">
        <v>1</v>
      </c>
      <c r="T227" s="700">
        <v>1</v>
      </c>
      <c r="U227" s="702">
        <v>1</v>
      </c>
    </row>
    <row r="228" spans="1:21" ht="14.4" customHeight="1" x14ac:dyDescent="0.3">
      <c r="A228" s="695">
        <v>31</v>
      </c>
      <c r="B228" s="696" t="s">
        <v>557</v>
      </c>
      <c r="C228" s="696">
        <v>89301312</v>
      </c>
      <c r="D228" s="697" t="s">
        <v>2235</v>
      </c>
      <c r="E228" s="698" t="s">
        <v>1600</v>
      </c>
      <c r="F228" s="696" t="s">
        <v>1589</v>
      </c>
      <c r="G228" s="696" t="s">
        <v>1638</v>
      </c>
      <c r="H228" s="696" t="s">
        <v>558</v>
      </c>
      <c r="I228" s="696" t="s">
        <v>1639</v>
      </c>
      <c r="J228" s="696" t="s">
        <v>1640</v>
      </c>
      <c r="K228" s="696"/>
      <c r="L228" s="699">
        <v>0</v>
      </c>
      <c r="M228" s="699">
        <v>0</v>
      </c>
      <c r="N228" s="696">
        <v>1</v>
      </c>
      <c r="O228" s="700">
        <v>1</v>
      </c>
      <c r="P228" s="699">
        <v>0</v>
      </c>
      <c r="Q228" s="701"/>
      <c r="R228" s="696">
        <v>1</v>
      </c>
      <c r="S228" s="701">
        <v>1</v>
      </c>
      <c r="T228" s="700">
        <v>1</v>
      </c>
      <c r="U228" s="702">
        <v>1</v>
      </c>
    </row>
    <row r="229" spans="1:21" ht="14.4" customHeight="1" x14ac:dyDescent="0.3">
      <c r="A229" s="695">
        <v>31</v>
      </c>
      <c r="B229" s="696" t="s">
        <v>557</v>
      </c>
      <c r="C229" s="696">
        <v>89301312</v>
      </c>
      <c r="D229" s="697" t="s">
        <v>2235</v>
      </c>
      <c r="E229" s="698" t="s">
        <v>1600</v>
      </c>
      <c r="F229" s="696" t="s">
        <v>1590</v>
      </c>
      <c r="G229" s="696" t="s">
        <v>1680</v>
      </c>
      <c r="H229" s="696" t="s">
        <v>558</v>
      </c>
      <c r="I229" s="696" t="s">
        <v>1681</v>
      </c>
      <c r="J229" s="696" t="s">
        <v>1684</v>
      </c>
      <c r="K229" s="696" t="s">
        <v>1685</v>
      </c>
      <c r="L229" s="699">
        <v>410</v>
      </c>
      <c r="M229" s="699">
        <v>410</v>
      </c>
      <c r="N229" s="696">
        <v>1</v>
      </c>
      <c r="O229" s="700">
        <v>1</v>
      </c>
      <c r="P229" s="699">
        <v>410</v>
      </c>
      <c r="Q229" s="701">
        <v>1</v>
      </c>
      <c r="R229" s="696">
        <v>1</v>
      </c>
      <c r="S229" s="701">
        <v>1</v>
      </c>
      <c r="T229" s="700">
        <v>1</v>
      </c>
      <c r="U229" s="702">
        <v>1</v>
      </c>
    </row>
    <row r="230" spans="1:21" ht="14.4" customHeight="1" x14ac:dyDescent="0.3">
      <c r="A230" s="695">
        <v>31</v>
      </c>
      <c r="B230" s="696" t="s">
        <v>557</v>
      </c>
      <c r="C230" s="696">
        <v>89301312</v>
      </c>
      <c r="D230" s="697" t="s">
        <v>2235</v>
      </c>
      <c r="E230" s="698" t="s">
        <v>1600</v>
      </c>
      <c r="F230" s="696" t="s">
        <v>1590</v>
      </c>
      <c r="G230" s="696" t="s">
        <v>1689</v>
      </c>
      <c r="H230" s="696" t="s">
        <v>558</v>
      </c>
      <c r="I230" s="696" t="s">
        <v>1690</v>
      </c>
      <c r="J230" s="696" t="s">
        <v>1691</v>
      </c>
      <c r="K230" s="696" t="s">
        <v>1692</v>
      </c>
      <c r="L230" s="699">
        <v>35.75</v>
      </c>
      <c r="M230" s="699">
        <v>286</v>
      </c>
      <c r="N230" s="696">
        <v>8</v>
      </c>
      <c r="O230" s="700">
        <v>8</v>
      </c>
      <c r="P230" s="699">
        <v>286</v>
      </c>
      <c r="Q230" s="701">
        <v>1</v>
      </c>
      <c r="R230" s="696">
        <v>8</v>
      </c>
      <c r="S230" s="701">
        <v>1</v>
      </c>
      <c r="T230" s="700">
        <v>8</v>
      </c>
      <c r="U230" s="702">
        <v>1</v>
      </c>
    </row>
    <row r="231" spans="1:21" ht="14.4" customHeight="1" x14ac:dyDescent="0.3">
      <c r="A231" s="695">
        <v>31</v>
      </c>
      <c r="B231" s="696" t="s">
        <v>557</v>
      </c>
      <c r="C231" s="696">
        <v>89301312</v>
      </c>
      <c r="D231" s="697" t="s">
        <v>2235</v>
      </c>
      <c r="E231" s="698" t="s">
        <v>1600</v>
      </c>
      <c r="F231" s="696" t="s">
        <v>1590</v>
      </c>
      <c r="G231" s="696" t="s">
        <v>1689</v>
      </c>
      <c r="H231" s="696" t="s">
        <v>558</v>
      </c>
      <c r="I231" s="696" t="s">
        <v>1736</v>
      </c>
      <c r="J231" s="696" t="s">
        <v>1691</v>
      </c>
      <c r="K231" s="696" t="s">
        <v>1737</v>
      </c>
      <c r="L231" s="699">
        <v>47.57</v>
      </c>
      <c r="M231" s="699">
        <v>47.57</v>
      </c>
      <c r="N231" s="696">
        <v>1</v>
      </c>
      <c r="O231" s="700">
        <v>1</v>
      </c>
      <c r="P231" s="699">
        <v>47.57</v>
      </c>
      <c r="Q231" s="701">
        <v>1</v>
      </c>
      <c r="R231" s="696">
        <v>1</v>
      </c>
      <c r="S231" s="701">
        <v>1</v>
      </c>
      <c r="T231" s="700">
        <v>1</v>
      </c>
      <c r="U231" s="702">
        <v>1</v>
      </c>
    </row>
    <row r="232" spans="1:21" ht="14.4" customHeight="1" x14ac:dyDescent="0.3">
      <c r="A232" s="695">
        <v>31</v>
      </c>
      <c r="B232" s="696" t="s">
        <v>557</v>
      </c>
      <c r="C232" s="696">
        <v>89301312</v>
      </c>
      <c r="D232" s="697" t="s">
        <v>2235</v>
      </c>
      <c r="E232" s="698" t="s">
        <v>1600</v>
      </c>
      <c r="F232" s="696" t="s">
        <v>1590</v>
      </c>
      <c r="G232" s="696" t="s">
        <v>1689</v>
      </c>
      <c r="H232" s="696" t="s">
        <v>558</v>
      </c>
      <c r="I232" s="696" t="s">
        <v>1882</v>
      </c>
      <c r="J232" s="696" t="s">
        <v>1883</v>
      </c>
      <c r="K232" s="696" t="s">
        <v>1884</v>
      </c>
      <c r="L232" s="699">
        <v>24.77</v>
      </c>
      <c r="M232" s="699">
        <v>74.31</v>
      </c>
      <c r="N232" s="696">
        <v>3</v>
      </c>
      <c r="O232" s="700">
        <v>3</v>
      </c>
      <c r="P232" s="699">
        <v>74.31</v>
      </c>
      <c r="Q232" s="701">
        <v>1</v>
      </c>
      <c r="R232" s="696">
        <v>3</v>
      </c>
      <c r="S232" s="701">
        <v>1</v>
      </c>
      <c r="T232" s="700">
        <v>3</v>
      </c>
      <c r="U232" s="702">
        <v>1</v>
      </c>
    </row>
    <row r="233" spans="1:21" ht="14.4" customHeight="1" x14ac:dyDescent="0.3">
      <c r="A233" s="695">
        <v>31</v>
      </c>
      <c r="B233" s="696" t="s">
        <v>557</v>
      </c>
      <c r="C233" s="696">
        <v>89301312</v>
      </c>
      <c r="D233" s="697" t="s">
        <v>2235</v>
      </c>
      <c r="E233" s="698" t="s">
        <v>1600</v>
      </c>
      <c r="F233" s="696" t="s">
        <v>1590</v>
      </c>
      <c r="G233" s="696" t="s">
        <v>1693</v>
      </c>
      <c r="H233" s="696" t="s">
        <v>558</v>
      </c>
      <c r="I233" s="696" t="s">
        <v>1694</v>
      </c>
      <c r="J233" s="696" t="s">
        <v>1695</v>
      </c>
      <c r="K233" s="696" t="s">
        <v>1696</v>
      </c>
      <c r="L233" s="699">
        <v>260</v>
      </c>
      <c r="M233" s="699">
        <v>1040</v>
      </c>
      <c r="N233" s="696">
        <v>4</v>
      </c>
      <c r="O233" s="700">
        <v>2</v>
      </c>
      <c r="P233" s="699">
        <v>1040</v>
      </c>
      <c r="Q233" s="701">
        <v>1</v>
      </c>
      <c r="R233" s="696">
        <v>4</v>
      </c>
      <c r="S233" s="701">
        <v>1</v>
      </c>
      <c r="T233" s="700">
        <v>2</v>
      </c>
      <c r="U233" s="702">
        <v>1</v>
      </c>
    </row>
    <row r="234" spans="1:21" ht="14.4" customHeight="1" x14ac:dyDescent="0.3">
      <c r="A234" s="695">
        <v>31</v>
      </c>
      <c r="B234" s="696" t="s">
        <v>557</v>
      </c>
      <c r="C234" s="696">
        <v>89301312</v>
      </c>
      <c r="D234" s="697" t="s">
        <v>2235</v>
      </c>
      <c r="E234" s="698" t="s">
        <v>1600</v>
      </c>
      <c r="F234" s="696" t="s">
        <v>1590</v>
      </c>
      <c r="G234" s="696" t="s">
        <v>1693</v>
      </c>
      <c r="H234" s="696" t="s">
        <v>558</v>
      </c>
      <c r="I234" s="696" t="s">
        <v>1885</v>
      </c>
      <c r="J234" s="696" t="s">
        <v>1886</v>
      </c>
      <c r="K234" s="696" t="s">
        <v>1887</v>
      </c>
      <c r="L234" s="699">
        <v>190</v>
      </c>
      <c r="M234" s="699">
        <v>380</v>
      </c>
      <c r="N234" s="696">
        <v>2</v>
      </c>
      <c r="O234" s="700">
        <v>1</v>
      </c>
      <c r="P234" s="699"/>
      <c r="Q234" s="701">
        <v>0</v>
      </c>
      <c r="R234" s="696"/>
      <c r="S234" s="701">
        <v>0</v>
      </c>
      <c r="T234" s="700"/>
      <c r="U234" s="702">
        <v>0</v>
      </c>
    </row>
    <row r="235" spans="1:21" ht="14.4" customHeight="1" x14ac:dyDescent="0.3">
      <c r="A235" s="695">
        <v>31</v>
      </c>
      <c r="B235" s="696" t="s">
        <v>557</v>
      </c>
      <c r="C235" s="696">
        <v>89301312</v>
      </c>
      <c r="D235" s="697" t="s">
        <v>2235</v>
      </c>
      <c r="E235" s="698" t="s">
        <v>1600</v>
      </c>
      <c r="F235" s="696" t="s">
        <v>1590</v>
      </c>
      <c r="G235" s="696" t="s">
        <v>1693</v>
      </c>
      <c r="H235" s="696" t="s">
        <v>558</v>
      </c>
      <c r="I235" s="696" t="s">
        <v>1888</v>
      </c>
      <c r="J235" s="696" t="s">
        <v>1889</v>
      </c>
      <c r="K235" s="696" t="s">
        <v>1890</v>
      </c>
      <c r="L235" s="699">
        <v>300</v>
      </c>
      <c r="M235" s="699">
        <v>600</v>
      </c>
      <c r="N235" s="696">
        <v>2</v>
      </c>
      <c r="O235" s="700">
        <v>1</v>
      </c>
      <c r="P235" s="699"/>
      <c r="Q235" s="701">
        <v>0</v>
      </c>
      <c r="R235" s="696"/>
      <c r="S235" s="701">
        <v>0</v>
      </c>
      <c r="T235" s="700"/>
      <c r="U235" s="702">
        <v>0</v>
      </c>
    </row>
    <row r="236" spans="1:21" ht="14.4" customHeight="1" x14ac:dyDescent="0.3">
      <c r="A236" s="695">
        <v>31</v>
      </c>
      <c r="B236" s="696" t="s">
        <v>557</v>
      </c>
      <c r="C236" s="696">
        <v>89301312</v>
      </c>
      <c r="D236" s="697" t="s">
        <v>2235</v>
      </c>
      <c r="E236" s="698" t="s">
        <v>1600</v>
      </c>
      <c r="F236" s="696" t="s">
        <v>1590</v>
      </c>
      <c r="G236" s="696" t="s">
        <v>1700</v>
      </c>
      <c r="H236" s="696" t="s">
        <v>558</v>
      </c>
      <c r="I236" s="696" t="s">
        <v>1891</v>
      </c>
      <c r="J236" s="696" t="s">
        <v>1892</v>
      </c>
      <c r="K236" s="696" t="s">
        <v>1893</v>
      </c>
      <c r="L236" s="699">
        <v>1575</v>
      </c>
      <c r="M236" s="699">
        <v>1575</v>
      </c>
      <c r="N236" s="696">
        <v>1</v>
      </c>
      <c r="O236" s="700">
        <v>1</v>
      </c>
      <c r="P236" s="699">
        <v>1575</v>
      </c>
      <c r="Q236" s="701">
        <v>1</v>
      </c>
      <c r="R236" s="696">
        <v>1</v>
      </c>
      <c r="S236" s="701">
        <v>1</v>
      </c>
      <c r="T236" s="700">
        <v>1</v>
      </c>
      <c r="U236" s="702">
        <v>1</v>
      </c>
    </row>
    <row r="237" spans="1:21" ht="14.4" customHeight="1" x14ac:dyDescent="0.3">
      <c r="A237" s="695">
        <v>31</v>
      </c>
      <c r="B237" s="696" t="s">
        <v>557</v>
      </c>
      <c r="C237" s="696">
        <v>89301312</v>
      </c>
      <c r="D237" s="697" t="s">
        <v>2235</v>
      </c>
      <c r="E237" s="698" t="s">
        <v>1600</v>
      </c>
      <c r="F237" s="696" t="s">
        <v>1590</v>
      </c>
      <c r="G237" s="696" t="s">
        <v>1700</v>
      </c>
      <c r="H237" s="696" t="s">
        <v>558</v>
      </c>
      <c r="I237" s="696" t="s">
        <v>1710</v>
      </c>
      <c r="J237" s="696" t="s">
        <v>1711</v>
      </c>
      <c r="K237" s="696" t="s">
        <v>1712</v>
      </c>
      <c r="L237" s="699">
        <v>750</v>
      </c>
      <c r="M237" s="699">
        <v>750</v>
      </c>
      <c r="N237" s="696">
        <v>1</v>
      </c>
      <c r="O237" s="700">
        <v>1</v>
      </c>
      <c r="P237" s="699">
        <v>750</v>
      </c>
      <c r="Q237" s="701">
        <v>1</v>
      </c>
      <c r="R237" s="696">
        <v>1</v>
      </c>
      <c r="S237" s="701">
        <v>1</v>
      </c>
      <c r="T237" s="700">
        <v>1</v>
      </c>
      <c r="U237" s="702">
        <v>1</v>
      </c>
    </row>
    <row r="238" spans="1:21" ht="14.4" customHeight="1" x14ac:dyDescent="0.3">
      <c r="A238" s="695">
        <v>31</v>
      </c>
      <c r="B238" s="696" t="s">
        <v>557</v>
      </c>
      <c r="C238" s="696">
        <v>89301312</v>
      </c>
      <c r="D238" s="697" t="s">
        <v>2235</v>
      </c>
      <c r="E238" s="698" t="s">
        <v>1600</v>
      </c>
      <c r="F238" s="696" t="s">
        <v>1590</v>
      </c>
      <c r="G238" s="696" t="s">
        <v>1700</v>
      </c>
      <c r="H238" s="696" t="s">
        <v>558</v>
      </c>
      <c r="I238" s="696" t="s">
        <v>1894</v>
      </c>
      <c r="J238" s="696" t="s">
        <v>1895</v>
      </c>
      <c r="K238" s="696"/>
      <c r="L238" s="699">
        <v>1000</v>
      </c>
      <c r="M238" s="699">
        <v>1000</v>
      </c>
      <c r="N238" s="696">
        <v>1</v>
      </c>
      <c r="O238" s="700">
        <v>1</v>
      </c>
      <c r="P238" s="699"/>
      <c r="Q238" s="701">
        <v>0</v>
      </c>
      <c r="R238" s="696"/>
      <c r="S238" s="701">
        <v>0</v>
      </c>
      <c r="T238" s="700"/>
      <c r="U238" s="702">
        <v>0</v>
      </c>
    </row>
    <row r="239" spans="1:21" ht="14.4" customHeight="1" x14ac:dyDescent="0.3">
      <c r="A239" s="695">
        <v>31</v>
      </c>
      <c r="B239" s="696" t="s">
        <v>557</v>
      </c>
      <c r="C239" s="696">
        <v>89301312</v>
      </c>
      <c r="D239" s="697" t="s">
        <v>2235</v>
      </c>
      <c r="E239" s="698" t="s">
        <v>1600</v>
      </c>
      <c r="F239" s="696" t="s">
        <v>1590</v>
      </c>
      <c r="G239" s="696" t="s">
        <v>1700</v>
      </c>
      <c r="H239" s="696" t="s">
        <v>558</v>
      </c>
      <c r="I239" s="696" t="s">
        <v>1718</v>
      </c>
      <c r="J239" s="696" t="s">
        <v>1719</v>
      </c>
      <c r="K239" s="696"/>
      <c r="L239" s="699">
        <v>500</v>
      </c>
      <c r="M239" s="699">
        <v>500</v>
      </c>
      <c r="N239" s="696">
        <v>1</v>
      </c>
      <c r="O239" s="700">
        <v>1</v>
      </c>
      <c r="P239" s="699">
        <v>500</v>
      </c>
      <c r="Q239" s="701">
        <v>1</v>
      </c>
      <c r="R239" s="696">
        <v>1</v>
      </c>
      <c r="S239" s="701">
        <v>1</v>
      </c>
      <c r="T239" s="700">
        <v>1</v>
      </c>
      <c r="U239" s="702">
        <v>1</v>
      </c>
    </row>
    <row r="240" spans="1:21" ht="14.4" customHeight="1" x14ac:dyDescent="0.3">
      <c r="A240" s="695">
        <v>31</v>
      </c>
      <c r="B240" s="696" t="s">
        <v>557</v>
      </c>
      <c r="C240" s="696">
        <v>89301312</v>
      </c>
      <c r="D240" s="697" t="s">
        <v>2235</v>
      </c>
      <c r="E240" s="698" t="s">
        <v>1600</v>
      </c>
      <c r="F240" s="696" t="s">
        <v>1590</v>
      </c>
      <c r="G240" s="696" t="s">
        <v>1700</v>
      </c>
      <c r="H240" s="696" t="s">
        <v>558</v>
      </c>
      <c r="I240" s="696" t="s">
        <v>1896</v>
      </c>
      <c r="J240" s="696" t="s">
        <v>1897</v>
      </c>
      <c r="K240" s="696" t="s">
        <v>1898</v>
      </c>
      <c r="L240" s="699">
        <v>250</v>
      </c>
      <c r="M240" s="699">
        <v>250</v>
      </c>
      <c r="N240" s="696">
        <v>1</v>
      </c>
      <c r="O240" s="700">
        <v>1</v>
      </c>
      <c r="P240" s="699">
        <v>250</v>
      </c>
      <c r="Q240" s="701">
        <v>1</v>
      </c>
      <c r="R240" s="696">
        <v>1</v>
      </c>
      <c r="S240" s="701">
        <v>1</v>
      </c>
      <c r="T240" s="700">
        <v>1</v>
      </c>
      <c r="U240" s="702">
        <v>1</v>
      </c>
    </row>
    <row r="241" spans="1:21" ht="14.4" customHeight="1" x14ac:dyDescent="0.3">
      <c r="A241" s="695">
        <v>31</v>
      </c>
      <c r="B241" s="696" t="s">
        <v>557</v>
      </c>
      <c r="C241" s="696">
        <v>89301312</v>
      </c>
      <c r="D241" s="697" t="s">
        <v>2235</v>
      </c>
      <c r="E241" s="698" t="s">
        <v>1600</v>
      </c>
      <c r="F241" s="696" t="s">
        <v>1590</v>
      </c>
      <c r="G241" s="696" t="s">
        <v>1700</v>
      </c>
      <c r="H241" s="696" t="s">
        <v>558</v>
      </c>
      <c r="I241" s="696" t="s">
        <v>1899</v>
      </c>
      <c r="J241" s="696" t="s">
        <v>1900</v>
      </c>
      <c r="K241" s="696" t="s">
        <v>1901</v>
      </c>
      <c r="L241" s="699">
        <v>750</v>
      </c>
      <c r="M241" s="699">
        <v>1500</v>
      </c>
      <c r="N241" s="696">
        <v>2</v>
      </c>
      <c r="O241" s="700">
        <v>2</v>
      </c>
      <c r="P241" s="699">
        <v>750</v>
      </c>
      <c r="Q241" s="701">
        <v>0.5</v>
      </c>
      <c r="R241" s="696">
        <v>1</v>
      </c>
      <c r="S241" s="701">
        <v>0.5</v>
      </c>
      <c r="T241" s="700">
        <v>1</v>
      </c>
      <c r="U241" s="702">
        <v>0.5</v>
      </c>
    </row>
    <row r="242" spans="1:21" ht="14.4" customHeight="1" x14ac:dyDescent="0.3">
      <c r="A242" s="695">
        <v>31</v>
      </c>
      <c r="B242" s="696" t="s">
        <v>557</v>
      </c>
      <c r="C242" s="696">
        <v>89301312</v>
      </c>
      <c r="D242" s="697" t="s">
        <v>2235</v>
      </c>
      <c r="E242" s="698" t="s">
        <v>1600</v>
      </c>
      <c r="F242" s="696" t="s">
        <v>1590</v>
      </c>
      <c r="G242" s="696" t="s">
        <v>1700</v>
      </c>
      <c r="H242" s="696" t="s">
        <v>558</v>
      </c>
      <c r="I242" s="696" t="s">
        <v>1812</v>
      </c>
      <c r="J242" s="696" t="s">
        <v>1813</v>
      </c>
      <c r="K242" s="696" t="s">
        <v>1814</v>
      </c>
      <c r="L242" s="699">
        <v>350</v>
      </c>
      <c r="M242" s="699">
        <v>1050</v>
      </c>
      <c r="N242" s="696">
        <v>3</v>
      </c>
      <c r="O242" s="700">
        <v>3</v>
      </c>
      <c r="P242" s="699">
        <v>1050</v>
      </c>
      <c r="Q242" s="701">
        <v>1</v>
      </c>
      <c r="R242" s="696">
        <v>3</v>
      </c>
      <c r="S242" s="701">
        <v>1</v>
      </c>
      <c r="T242" s="700">
        <v>3</v>
      </c>
      <c r="U242" s="702">
        <v>1</v>
      </c>
    </row>
    <row r="243" spans="1:21" ht="14.4" customHeight="1" x14ac:dyDescent="0.3">
      <c r="A243" s="695">
        <v>31</v>
      </c>
      <c r="B243" s="696" t="s">
        <v>557</v>
      </c>
      <c r="C243" s="696">
        <v>89301312</v>
      </c>
      <c r="D243" s="697" t="s">
        <v>2235</v>
      </c>
      <c r="E243" s="698" t="s">
        <v>1601</v>
      </c>
      <c r="F243" s="696" t="s">
        <v>1588</v>
      </c>
      <c r="G243" s="696" t="s">
        <v>1614</v>
      </c>
      <c r="H243" s="696" t="s">
        <v>914</v>
      </c>
      <c r="I243" s="696" t="s">
        <v>1367</v>
      </c>
      <c r="J243" s="696" t="s">
        <v>1317</v>
      </c>
      <c r="K243" s="696" t="s">
        <v>1368</v>
      </c>
      <c r="L243" s="699">
        <v>625.29</v>
      </c>
      <c r="M243" s="699">
        <v>1250.58</v>
      </c>
      <c r="N243" s="696">
        <v>2</v>
      </c>
      <c r="O243" s="700">
        <v>1</v>
      </c>
      <c r="P243" s="699">
        <v>1250.58</v>
      </c>
      <c r="Q243" s="701">
        <v>1</v>
      </c>
      <c r="R243" s="696">
        <v>2</v>
      </c>
      <c r="S243" s="701">
        <v>1</v>
      </c>
      <c r="T243" s="700">
        <v>1</v>
      </c>
      <c r="U243" s="702">
        <v>1</v>
      </c>
    </row>
    <row r="244" spans="1:21" ht="14.4" customHeight="1" x14ac:dyDescent="0.3">
      <c r="A244" s="695">
        <v>31</v>
      </c>
      <c r="B244" s="696" t="s">
        <v>557</v>
      </c>
      <c r="C244" s="696">
        <v>89301312</v>
      </c>
      <c r="D244" s="697" t="s">
        <v>2235</v>
      </c>
      <c r="E244" s="698" t="s">
        <v>1601</v>
      </c>
      <c r="F244" s="696" t="s">
        <v>1590</v>
      </c>
      <c r="G244" s="696" t="s">
        <v>1689</v>
      </c>
      <c r="H244" s="696" t="s">
        <v>558</v>
      </c>
      <c r="I244" s="696" t="s">
        <v>1902</v>
      </c>
      <c r="J244" s="696" t="s">
        <v>1903</v>
      </c>
      <c r="K244" s="696" t="s">
        <v>1904</v>
      </c>
      <c r="L244" s="699">
        <v>800</v>
      </c>
      <c r="M244" s="699">
        <v>800</v>
      </c>
      <c r="N244" s="696">
        <v>1</v>
      </c>
      <c r="O244" s="700">
        <v>1</v>
      </c>
      <c r="P244" s="699"/>
      <c r="Q244" s="701">
        <v>0</v>
      </c>
      <c r="R244" s="696"/>
      <c r="S244" s="701">
        <v>0</v>
      </c>
      <c r="T244" s="700"/>
      <c r="U244" s="702">
        <v>0</v>
      </c>
    </row>
    <row r="245" spans="1:21" ht="14.4" customHeight="1" x14ac:dyDescent="0.3">
      <c r="A245" s="695">
        <v>31</v>
      </c>
      <c r="B245" s="696" t="s">
        <v>557</v>
      </c>
      <c r="C245" s="696">
        <v>89301312</v>
      </c>
      <c r="D245" s="697" t="s">
        <v>2235</v>
      </c>
      <c r="E245" s="698" t="s">
        <v>1601</v>
      </c>
      <c r="F245" s="696" t="s">
        <v>1590</v>
      </c>
      <c r="G245" s="696" t="s">
        <v>1689</v>
      </c>
      <c r="H245" s="696" t="s">
        <v>558</v>
      </c>
      <c r="I245" s="696" t="s">
        <v>1736</v>
      </c>
      <c r="J245" s="696" t="s">
        <v>1691</v>
      </c>
      <c r="K245" s="696" t="s">
        <v>1737</v>
      </c>
      <c r="L245" s="699">
        <v>47.57</v>
      </c>
      <c r="M245" s="699">
        <v>47.57</v>
      </c>
      <c r="N245" s="696">
        <v>1</v>
      </c>
      <c r="O245" s="700">
        <v>1</v>
      </c>
      <c r="P245" s="699">
        <v>47.57</v>
      </c>
      <c r="Q245" s="701">
        <v>1</v>
      </c>
      <c r="R245" s="696">
        <v>1</v>
      </c>
      <c r="S245" s="701">
        <v>1</v>
      </c>
      <c r="T245" s="700">
        <v>1</v>
      </c>
      <c r="U245" s="702">
        <v>1</v>
      </c>
    </row>
    <row r="246" spans="1:21" ht="14.4" customHeight="1" x14ac:dyDescent="0.3">
      <c r="A246" s="695">
        <v>31</v>
      </c>
      <c r="B246" s="696" t="s">
        <v>557</v>
      </c>
      <c r="C246" s="696">
        <v>89301312</v>
      </c>
      <c r="D246" s="697" t="s">
        <v>2235</v>
      </c>
      <c r="E246" s="698" t="s">
        <v>1601</v>
      </c>
      <c r="F246" s="696" t="s">
        <v>1590</v>
      </c>
      <c r="G246" s="696" t="s">
        <v>1700</v>
      </c>
      <c r="H246" s="696" t="s">
        <v>558</v>
      </c>
      <c r="I246" s="696" t="s">
        <v>1704</v>
      </c>
      <c r="J246" s="696" t="s">
        <v>1705</v>
      </c>
      <c r="K246" s="696" t="s">
        <v>1706</v>
      </c>
      <c r="L246" s="699">
        <v>199.5</v>
      </c>
      <c r="M246" s="699">
        <v>399</v>
      </c>
      <c r="N246" s="696">
        <v>2</v>
      </c>
      <c r="O246" s="700">
        <v>2</v>
      </c>
      <c r="P246" s="699">
        <v>199.5</v>
      </c>
      <c r="Q246" s="701">
        <v>0.5</v>
      </c>
      <c r="R246" s="696">
        <v>1</v>
      </c>
      <c r="S246" s="701">
        <v>0.5</v>
      </c>
      <c r="T246" s="700">
        <v>1</v>
      </c>
      <c r="U246" s="702">
        <v>0.5</v>
      </c>
    </row>
    <row r="247" spans="1:21" ht="14.4" customHeight="1" x14ac:dyDescent="0.3">
      <c r="A247" s="695">
        <v>31</v>
      </c>
      <c r="B247" s="696" t="s">
        <v>557</v>
      </c>
      <c r="C247" s="696">
        <v>89301312</v>
      </c>
      <c r="D247" s="697" t="s">
        <v>2235</v>
      </c>
      <c r="E247" s="698" t="s">
        <v>1601</v>
      </c>
      <c r="F247" s="696" t="s">
        <v>1590</v>
      </c>
      <c r="G247" s="696" t="s">
        <v>1700</v>
      </c>
      <c r="H247" s="696" t="s">
        <v>558</v>
      </c>
      <c r="I247" s="696" t="s">
        <v>1707</v>
      </c>
      <c r="J247" s="696" t="s">
        <v>1708</v>
      </c>
      <c r="K247" s="696" t="s">
        <v>1709</v>
      </c>
      <c r="L247" s="699">
        <v>492.18</v>
      </c>
      <c r="M247" s="699">
        <v>492.18</v>
      </c>
      <c r="N247" s="696">
        <v>1</v>
      </c>
      <c r="O247" s="700">
        <v>1</v>
      </c>
      <c r="P247" s="699">
        <v>492.18</v>
      </c>
      <c r="Q247" s="701">
        <v>1</v>
      </c>
      <c r="R247" s="696">
        <v>1</v>
      </c>
      <c r="S247" s="701">
        <v>1</v>
      </c>
      <c r="T247" s="700">
        <v>1</v>
      </c>
      <c r="U247" s="702">
        <v>1</v>
      </c>
    </row>
    <row r="248" spans="1:21" ht="14.4" customHeight="1" x14ac:dyDescent="0.3">
      <c r="A248" s="695">
        <v>31</v>
      </c>
      <c r="B248" s="696" t="s">
        <v>557</v>
      </c>
      <c r="C248" s="696">
        <v>89301312</v>
      </c>
      <c r="D248" s="697" t="s">
        <v>2235</v>
      </c>
      <c r="E248" s="698" t="s">
        <v>1601</v>
      </c>
      <c r="F248" s="696" t="s">
        <v>1590</v>
      </c>
      <c r="G248" s="696" t="s">
        <v>1700</v>
      </c>
      <c r="H248" s="696" t="s">
        <v>558</v>
      </c>
      <c r="I248" s="696" t="s">
        <v>1786</v>
      </c>
      <c r="J248" s="696" t="s">
        <v>1787</v>
      </c>
      <c r="K248" s="696" t="s">
        <v>1788</v>
      </c>
      <c r="L248" s="699">
        <v>320.25</v>
      </c>
      <c r="M248" s="699">
        <v>320.25</v>
      </c>
      <c r="N248" s="696">
        <v>1</v>
      </c>
      <c r="O248" s="700">
        <v>1</v>
      </c>
      <c r="P248" s="699">
        <v>320.25</v>
      </c>
      <c r="Q248" s="701">
        <v>1</v>
      </c>
      <c r="R248" s="696">
        <v>1</v>
      </c>
      <c r="S248" s="701">
        <v>1</v>
      </c>
      <c r="T248" s="700">
        <v>1</v>
      </c>
      <c r="U248" s="702">
        <v>1</v>
      </c>
    </row>
    <row r="249" spans="1:21" ht="14.4" customHeight="1" x14ac:dyDescent="0.3">
      <c r="A249" s="695">
        <v>31</v>
      </c>
      <c r="B249" s="696" t="s">
        <v>557</v>
      </c>
      <c r="C249" s="696">
        <v>89301312</v>
      </c>
      <c r="D249" s="697" t="s">
        <v>2235</v>
      </c>
      <c r="E249" s="698" t="s">
        <v>1601</v>
      </c>
      <c r="F249" s="696" t="s">
        <v>1590</v>
      </c>
      <c r="G249" s="696" t="s">
        <v>1700</v>
      </c>
      <c r="H249" s="696" t="s">
        <v>558</v>
      </c>
      <c r="I249" s="696" t="s">
        <v>1905</v>
      </c>
      <c r="J249" s="696" t="s">
        <v>1906</v>
      </c>
      <c r="K249" s="696" t="s">
        <v>1907</v>
      </c>
      <c r="L249" s="699">
        <v>245.43</v>
      </c>
      <c r="M249" s="699">
        <v>245.43</v>
      </c>
      <c r="N249" s="696">
        <v>1</v>
      </c>
      <c r="O249" s="700">
        <v>1</v>
      </c>
      <c r="P249" s="699">
        <v>245.43</v>
      </c>
      <c r="Q249" s="701">
        <v>1</v>
      </c>
      <c r="R249" s="696">
        <v>1</v>
      </c>
      <c r="S249" s="701">
        <v>1</v>
      </c>
      <c r="T249" s="700">
        <v>1</v>
      </c>
      <c r="U249" s="702">
        <v>1</v>
      </c>
    </row>
    <row r="250" spans="1:21" ht="14.4" customHeight="1" x14ac:dyDescent="0.3">
      <c r="A250" s="695">
        <v>31</v>
      </c>
      <c r="B250" s="696" t="s">
        <v>557</v>
      </c>
      <c r="C250" s="696">
        <v>89301312</v>
      </c>
      <c r="D250" s="697" t="s">
        <v>2235</v>
      </c>
      <c r="E250" s="698" t="s">
        <v>1601</v>
      </c>
      <c r="F250" s="696" t="s">
        <v>1590</v>
      </c>
      <c r="G250" s="696" t="s">
        <v>1700</v>
      </c>
      <c r="H250" s="696" t="s">
        <v>558</v>
      </c>
      <c r="I250" s="696" t="s">
        <v>1908</v>
      </c>
      <c r="J250" s="696" t="s">
        <v>1909</v>
      </c>
      <c r="K250" s="696" t="s">
        <v>1910</v>
      </c>
      <c r="L250" s="699">
        <v>250</v>
      </c>
      <c r="M250" s="699">
        <v>250</v>
      </c>
      <c r="N250" s="696">
        <v>1</v>
      </c>
      <c r="O250" s="700">
        <v>1</v>
      </c>
      <c r="P250" s="699"/>
      <c r="Q250" s="701">
        <v>0</v>
      </c>
      <c r="R250" s="696"/>
      <c r="S250" s="701">
        <v>0</v>
      </c>
      <c r="T250" s="700"/>
      <c r="U250" s="702">
        <v>0</v>
      </c>
    </row>
    <row r="251" spans="1:21" ht="14.4" customHeight="1" x14ac:dyDescent="0.3">
      <c r="A251" s="695">
        <v>31</v>
      </c>
      <c r="B251" s="696" t="s">
        <v>557</v>
      </c>
      <c r="C251" s="696">
        <v>89301312</v>
      </c>
      <c r="D251" s="697" t="s">
        <v>2235</v>
      </c>
      <c r="E251" s="698" t="s">
        <v>1601</v>
      </c>
      <c r="F251" s="696" t="s">
        <v>1590</v>
      </c>
      <c r="G251" s="696" t="s">
        <v>1700</v>
      </c>
      <c r="H251" s="696" t="s">
        <v>558</v>
      </c>
      <c r="I251" s="696" t="s">
        <v>1911</v>
      </c>
      <c r="J251" s="696" t="s">
        <v>1912</v>
      </c>
      <c r="K251" s="696"/>
      <c r="L251" s="699">
        <v>100</v>
      </c>
      <c r="M251" s="699">
        <v>300</v>
      </c>
      <c r="N251" s="696">
        <v>3</v>
      </c>
      <c r="O251" s="700">
        <v>3</v>
      </c>
      <c r="P251" s="699">
        <v>100</v>
      </c>
      <c r="Q251" s="701">
        <v>0.33333333333333331</v>
      </c>
      <c r="R251" s="696">
        <v>1</v>
      </c>
      <c r="S251" s="701">
        <v>0.33333333333333331</v>
      </c>
      <c r="T251" s="700">
        <v>1</v>
      </c>
      <c r="U251" s="702">
        <v>0.33333333333333331</v>
      </c>
    </row>
    <row r="252" spans="1:21" ht="14.4" customHeight="1" x14ac:dyDescent="0.3">
      <c r="A252" s="695">
        <v>31</v>
      </c>
      <c r="B252" s="696" t="s">
        <v>557</v>
      </c>
      <c r="C252" s="696">
        <v>89301312</v>
      </c>
      <c r="D252" s="697" t="s">
        <v>2235</v>
      </c>
      <c r="E252" s="698" t="s">
        <v>1601</v>
      </c>
      <c r="F252" s="696" t="s">
        <v>1590</v>
      </c>
      <c r="G252" s="696" t="s">
        <v>1700</v>
      </c>
      <c r="H252" s="696" t="s">
        <v>558</v>
      </c>
      <c r="I252" s="696" t="s">
        <v>1913</v>
      </c>
      <c r="J252" s="696" t="s">
        <v>1914</v>
      </c>
      <c r="K252" s="696"/>
      <c r="L252" s="699">
        <v>80.349999999999994</v>
      </c>
      <c r="M252" s="699">
        <v>80.349999999999994</v>
      </c>
      <c r="N252" s="696">
        <v>1</v>
      </c>
      <c r="O252" s="700">
        <v>1</v>
      </c>
      <c r="P252" s="699">
        <v>80.349999999999994</v>
      </c>
      <c r="Q252" s="701">
        <v>1</v>
      </c>
      <c r="R252" s="696">
        <v>1</v>
      </c>
      <c r="S252" s="701">
        <v>1</v>
      </c>
      <c r="T252" s="700">
        <v>1</v>
      </c>
      <c r="U252" s="702">
        <v>1</v>
      </c>
    </row>
    <row r="253" spans="1:21" ht="14.4" customHeight="1" x14ac:dyDescent="0.3">
      <c r="A253" s="695">
        <v>31</v>
      </c>
      <c r="B253" s="696" t="s">
        <v>557</v>
      </c>
      <c r="C253" s="696">
        <v>89301312</v>
      </c>
      <c r="D253" s="697" t="s">
        <v>2235</v>
      </c>
      <c r="E253" s="698" t="s">
        <v>1601</v>
      </c>
      <c r="F253" s="696" t="s">
        <v>1590</v>
      </c>
      <c r="G253" s="696" t="s">
        <v>1700</v>
      </c>
      <c r="H253" s="696" t="s">
        <v>558</v>
      </c>
      <c r="I253" s="696" t="s">
        <v>1747</v>
      </c>
      <c r="J253" s="696" t="s">
        <v>1748</v>
      </c>
      <c r="K253" s="696" t="s">
        <v>1749</v>
      </c>
      <c r="L253" s="699">
        <v>349.12</v>
      </c>
      <c r="M253" s="699">
        <v>349.12</v>
      </c>
      <c r="N253" s="696">
        <v>1</v>
      </c>
      <c r="O253" s="700">
        <v>1</v>
      </c>
      <c r="P253" s="699">
        <v>349.12</v>
      </c>
      <c r="Q253" s="701">
        <v>1</v>
      </c>
      <c r="R253" s="696">
        <v>1</v>
      </c>
      <c r="S253" s="701">
        <v>1</v>
      </c>
      <c r="T253" s="700">
        <v>1</v>
      </c>
      <c r="U253" s="702">
        <v>1</v>
      </c>
    </row>
    <row r="254" spans="1:21" ht="14.4" customHeight="1" x14ac:dyDescent="0.3">
      <c r="A254" s="695">
        <v>31</v>
      </c>
      <c r="B254" s="696" t="s">
        <v>557</v>
      </c>
      <c r="C254" s="696">
        <v>89301312</v>
      </c>
      <c r="D254" s="697" t="s">
        <v>2235</v>
      </c>
      <c r="E254" s="698" t="s">
        <v>1601</v>
      </c>
      <c r="F254" s="696" t="s">
        <v>1590</v>
      </c>
      <c r="G254" s="696" t="s">
        <v>1700</v>
      </c>
      <c r="H254" s="696" t="s">
        <v>558</v>
      </c>
      <c r="I254" s="696" t="s">
        <v>1812</v>
      </c>
      <c r="J254" s="696" t="s">
        <v>1813</v>
      </c>
      <c r="K254" s="696" t="s">
        <v>1814</v>
      </c>
      <c r="L254" s="699">
        <v>350</v>
      </c>
      <c r="M254" s="699">
        <v>700</v>
      </c>
      <c r="N254" s="696">
        <v>2</v>
      </c>
      <c r="O254" s="700">
        <v>2</v>
      </c>
      <c r="P254" s="699">
        <v>700</v>
      </c>
      <c r="Q254" s="701">
        <v>1</v>
      </c>
      <c r="R254" s="696">
        <v>2</v>
      </c>
      <c r="S254" s="701">
        <v>1</v>
      </c>
      <c r="T254" s="700">
        <v>2</v>
      </c>
      <c r="U254" s="702">
        <v>1</v>
      </c>
    </row>
    <row r="255" spans="1:21" ht="14.4" customHeight="1" x14ac:dyDescent="0.3">
      <c r="A255" s="695">
        <v>31</v>
      </c>
      <c r="B255" s="696" t="s">
        <v>557</v>
      </c>
      <c r="C255" s="696">
        <v>89301312</v>
      </c>
      <c r="D255" s="697" t="s">
        <v>2235</v>
      </c>
      <c r="E255" s="698" t="s">
        <v>1601</v>
      </c>
      <c r="F255" s="696" t="s">
        <v>1590</v>
      </c>
      <c r="G255" s="696" t="s">
        <v>1828</v>
      </c>
      <c r="H255" s="696" t="s">
        <v>558</v>
      </c>
      <c r="I255" s="696" t="s">
        <v>1829</v>
      </c>
      <c r="J255" s="696" t="s">
        <v>1830</v>
      </c>
      <c r="K255" s="696" t="s">
        <v>1831</v>
      </c>
      <c r="L255" s="699">
        <v>0</v>
      </c>
      <c r="M255" s="699">
        <v>0</v>
      </c>
      <c r="N255" s="696">
        <v>1</v>
      </c>
      <c r="O255" s="700">
        <v>1</v>
      </c>
      <c r="P255" s="699"/>
      <c r="Q255" s="701"/>
      <c r="R255" s="696"/>
      <c r="S255" s="701">
        <v>0</v>
      </c>
      <c r="T255" s="700"/>
      <c r="U255" s="702">
        <v>0</v>
      </c>
    </row>
    <row r="256" spans="1:21" ht="14.4" customHeight="1" x14ac:dyDescent="0.3">
      <c r="A256" s="695">
        <v>31</v>
      </c>
      <c r="B256" s="696" t="s">
        <v>557</v>
      </c>
      <c r="C256" s="696">
        <v>89301312</v>
      </c>
      <c r="D256" s="697" t="s">
        <v>2235</v>
      </c>
      <c r="E256" s="698" t="s">
        <v>1602</v>
      </c>
      <c r="F256" s="696" t="s">
        <v>1588</v>
      </c>
      <c r="G256" s="696" t="s">
        <v>1620</v>
      </c>
      <c r="H256" s="696" t="s">
        <v>914</v>
      </c>
      <c r="I256" s="696" t="s">
        <v>1019</v>
      </c>
      <c r="J256" s="696" t="s">
        <v>1525</v>
      </c>
      <c r="K256" s="696" t="s">
        <v>1526</v>
      </c>
      <c r="L256" s="699">
        <v>333.31</v>
      </c>
      <c r="M256" s="699">
        <v>333.31</v>
      </c>
      <c r="N256" s="696">
        <v>1</v>
      </c>
      <c r="O256" s="700">
        <v>1</v>
      </c>
      <c r="P256" s="699"/>
      <c r="Q256" s="701">
        <v>0</v>
      </c>
      <c r="R256" s="696"/>
      <c r="S256" s="701">
        <v>0</v>
      </c>
      <c r="T256" s="700"/>
      <c r="U256" s="702">
        <v>0</v>
      </c>
    </row>
    <row r="257" spans="1:21" ht="14.4" customHeight="1" x14ac:dyDescent="0.3">
      <c r="A257" s="695">
        <v>31</v>
      </c>
      <c r="B257" s="696" t="s">
        <v>557</v>
      </c>
      <c r="C257" s="696">
        <v>89301312</v>
      </c>
      <c r="D257" s="697" t="s">
        <v>2235</v>
      </c>
      <c r="E257" s="698" t="s">
        <v>1602</v>
      </c>
      <c r="F257" s="696" t="s">
        <v>1588</v>
      </c>
      <c r="G257" s="696" t="s">
        <v>1620</v>
      </c>
      <c r="H257" s="696" t="s">
        <v>914</v>
      </c>
      <c r="I257" s="696" t="s">
        <v>1041</v>
      </c>
      <c r="J257" s="696" t="s">
        <v>1529</v>
      </c>
      <c r="K257" s="696" t="s">
        <v>1530</v>
      </c>
      <c r="L257" s="699">
        <v>333.31</v>
      </c>
      <c r="M257" s="699">
        <v>333.31</v>
      </c>
      <c r="N257" s="696">
        <v>1</v>
      </c>
      <c r="O257" s="700">
        <v>1</v>
      </c>
      <c r="P257" s="699">
        <v>333.31</v>
      </c>
      <c r="Q257" s="701">
        <v>1</v>
      </c>
      <c r="R257" s="696">
        <v>1</v>
      </c>
      <c r="S257" s="701">
        <v>1</v>
      </c>
      <c r="T257" s="700">
        <v>1</v>
      </c>
      <c r="U257" s="702">
        <v>1</v>
      </c>
    </row>
    <row r="258" spans="1:21" ht="14.4" customHeight="1" x14ac:dyDescent="0.3">
      <c r="A258" s="695">
        <v>31</v>
      </c>
      <c r="B258" s="696" t="s">
        <v>557</v>
      </c>
      <c r="C258" s="696">
        <v>89301312</v>
      </c>
      <c r="D258" s="697" t="s">
        <v>2235</v>
      </c>
      <c r="E258" s="698" t="s">
        <v>1602</v>
      </c>
      <c r="F258" s="696" t="s">
        <v>1588</v>
      </c>
      <c r="G258" s="696" t="s">
        <v>1837</v>
      </c>
      <c r="H258" s="696" t="s">
        <v>558</v>
      </c>
      <c r="I258" s="696" t="s">
        <v>1915</v>
      </c>
      <c r="J258" s="696" t="s">
        <v>1916</v>
      </c>
      <c r="K258" s="696" t="s">
        <v>1840</v>
      </c>
      <c r="L258" s="699">
        <v>60.02</v>
      </c>
      <c r="M258" s="699">
        <v>120.04</v>
      </c>
      <c r="N258" s="696">
        <v>2</v>
      </c>
      <c r="O258" s="700">
        <v>1</v>
      </c>
      <c r="P258" s="699"/>
      <c r="Q258" s="701">
        <v>0</v>
      </c>
      <c r="R258" s="696"/>
      <c r="S258" s="701">
        <v>0</v>
      </c>
      <c r="T258" s="700"/>
      <c r="U258" s="702">
        <v>0</v>
      </c>
    </row>
    <row r="259" spans="1:21" ht="14.4" customHeight="1" x14ac:dyDescent="0.3">
      <c r="A259" s="695">
        <v>31</v>
      </c>
      <c r="B259" s="696" t="s">
        <v>557</v>
      </c>
      <c r="C259" s="696">
        <v>89301312</v>
      </c>
      <c r="D259" s="697" t="s">
        <v>2235</v>
      </c>
      <c r="E259" s="698" t="s">
        <v>1602</v>
      </c>
      <c r="F259" s="696" t="s">
        <v>1588</v>
      </c>
      <c r="G259" s="696" t="s">
        <v>1837</v>
      </c>
      <c r="H259" s="696" t="s">
        <v>558</v>
      </c>
      <c r="I259" s="696" t="s">
        <v>1917</v>
      </c>
      <c r="J259" s="696" t="s">
        <v>1918</v>
      </c>
      <c r="K259" s="696" t="s">
        <v>1177</v>
      </c>
      <c r="L259" s="699">
        <v>44.89</v>
      </c>
      <c r="M259" s="699">
        <v>44.89</v>
      </c>
      <c r="N259" s="696">
        <v>1</v>
      </c>
      <c r="O259" s="700">
        <v>0.5</v>
      </c>
      <c r="P259" s="699"/>
      <c r="Q259" s="701">
        <v>0</v>
      </c>
      <c r="R259" s="696"/>
      <c r="S259" s="701">
        <v>0</v>
      </c>
      <c r="T259" s="700"/>
      <c r="U259" s="702">
        <v>0</v>
      </c>
    </row>
    <row r="260" spans="1:21" ht="14.4" customHeight="1" x14ac:dyDescent="0.3">
      <c r="A260" s="695">
        <v>31</v>
      </c>
      <c r="B260" s="696" t="s">
        <v>557</v>
      </c>
      <c r="C260" s="696">
        <v>89301312</v>
      </c>
      <c r="D260" s="697" t="s">
        <v>2235</v>
      </c>
      <c r="E260" s="698" t="s">
        <v>1602</v>
      </c>
      <c r="F260" s="696" t="s">
        <v>1588</v>
      </c>
      <c r="G260" s="696" t="s">
        <v>1621</v>
      </c>
      <c r="H260" s="696" t="s">
        <v>558</v>
      </c>
      <c r="I260" s="696" t="s">
        <v>671</v>
      </c>
      <c r="J260" s="696" t="s">
        <v>1919</v>
      </c>
      <c r="K260" s="696" t="s">
        <v>1920</v>
      </c>
      <c r="L260" s="699">
        <v>0</v>
      </c>
      <c r="M260" s="699">
        <v>0</v>
      </c>
      <c r="N260" s="696">
        <v>2</v>
      </c>
      <c r="O260" s="700">
        <v>1.5</v>
      </c>
      <c r="P260" s="699"/>
      <c r="Q260" s="701"/>
      <c r="R260" s="696"/>
      <c r="S260" s="701">
        <v>0</v>
      </c>
      <c r="T260" s="700"/>
      <c r="U260" s="702">
        <v>0</v>
      </c>
    </row>
    <row r="261" spans="1:21" ht="14.4" customHeight="1" x14ac:dyDescent="0.3">
      <c r="A261" s="695">
        <v>31</v>
      </c>
      <c r="B261" s="696" t="s">
        <v>557</v>
      </c>
      <c r="C261" s="696">
        <v>89301312</v>
      </c>
      <c r="D261" s="697" t="s">
        <v>2235</v>
      </c>
      <c r="E261" s="698" t="s">
        <v>1602</v>
      </c>
      <c r="F261" s="696" t="s">
        <v>1588</v>
      </c>
      <c r="G261" s="696" t="s">
        <v>1921</v>
      </c>
      <c r="H261" s="696" t="s">
        <v>558</v>
      </c>
      <c r="I261" s="696" t="s">
        <v>1922</v>
      </c>
      <c r="J261" s="696" t="s">
        <v>1923</v>
      </c>
      <c r="K261" s="696" t="s">
        <v>1924</v>
      </c>
      <c r="L261" s="699">
        <v>0</v>
      </c>
      <c r="M261" s="699">
        <v>0</v>
      </c>
      <c r="N261" s="696">
        <v>2</v>
      </c>
      <c r="O261" s="700">
        <v>1</v>
      </c>
      <c r="P261" s="699"/>
      <c r="Q261" s="701"/>
      <c r="R261" s="696"/>
      <c r="S261" s="701">
        <v>0</v>
      </c>
      <c r="T261" s="700"/>
      <c r="U261" s="702">
        <v>0</v>
      </c>
    </row>
    <row r="262" spans="1:21" ht="14.4" customHeight="1" x14ac:dyDescent="0.3">
      <c r="A262" s="695">
        <v>31</v>
      </c>
      <c r="B262" s="696" t="s">
        <v>557</v>
      </c>
      <c r="C262" s="696">
        <v>89301312</v>
      </c>
      <c r="D262" s="697" t="s">
        <v>2235</v>
      </c>
      <c r="E262" s="698" t="s">
        <v>1602</v>
      </c>
      <c r="F262" s="696" t="s">
        <v>1588</v>
      </c>
      <c r="G262" s="696" t="s">
        <v>1925</v>
      </c>
      <c r="H262" s="696" t="s">
        <v>558</v>
      </c>
      <c r="I262" s="696" t="s">
        <v>1926</v>
      </c>
      <c r="J262" s="696" t="s">
        <v>1927</v>
      </c>
      <c r="K262" s="696" t="s">
        <v>1928</v>
      </c>
      <c r="L262" s="699">
        <v>0</v>
      </c>
      <c r="M262" s="699">
        <v>0</v>
      </c>
      <c r="N262" s="696">
        <v>1</v>
      </c>
      <c r="O262" s="700">
        <v>1</v>
      </c>
      <c r="P262" s="699"/>
      <c r="Q262" s="701"/>
      <c r="R262" s="696"/>
      <c r="S262" s="701">
        <v>0</v>
      </c>
      <c r="T262" s="700"/>
      <c r="U262" s="702">
        <v>0</v>
      </c>
    </row>
    <row r="263" spans="1:21" ht="14.4" customHeight="1" x14ac:dyDescent="0.3">
      <c r="A263" s="695">
        <v>31</v>
      </c>
      <c r="B263" s="696" t="s">
        <v>557</v>
      </c>
      <c r="C263" s="696">
        <v>89301312</v>
      </c>
      <c r="D263" s="697" t="s">
        <v>2235</v>
      </c>
      <c r="E263" s="698" t="s">
        <v>1602</v>
      </c>
      <c r="F263" s="696" t="s">
        <v>1588</v>
      </c>
      <c r="G263" s="696" t="s">
        <v>1929</v>
      </c>
      <c r="H263" s="696" t="s">
        <v>558</v>
      </c>
      <c r="I263" s="696" t="s">
        <v>1930</v>
      </c>
      <c r="J263" s="696" t="s">
        <v>1931</v>
      </c>
      <c r="K263" s="696" t="s">
        <v>1840</v>
      </c>
      <c r="L263" s="699">
        <v>54.2</v>
      </c>
      <c r="M263" s="699">
        <v>54.2</v>
      </c>
      <c r="N263" s="696">
        <v>1</v>
      </c>
      <c r="O263" s="700">
        <v>0.5</v>
      </c>
      <c r="P263" s="699"/>
      <c r="Q263" s="701">
        <v>0</v>
      </c>
      <c r="R263" s="696"/>
      <c r="S263" s="701">
        <v>0</v>
      </c>
      <c r="T263" s="700"/>
      <c r="U263" s="702">
        <v>0</v>
      </c>
    </row>
    <row r="264" spans="1:21" ht="14.4" customHeight="1" x14ac:dyDescent="0.3">
      <c r="A264" s="695">
        <v>31</v>
      </c>
      <c r="B264" s="696" t="s">
        <v>557</v>
      </c>
      <c r="C264" s="696">
        <v>89301312</v>
      </c>
      <c r="D264" s="697" t="s">
        <v>2235</v>
      </c>
      <c r="E264" s="698" t="s">
        <v>1602</v>
      </c>
      <c r="F264" s="696" t="s">
        <v>1588</v>
      </c>
      <c r="G264" s="696" t="s">
        <v>1932</v>
      </c>
      <c r="H264" s="696" t="s">
        <v>914</v>
      </c>
      <c r="I264" s="696" t="s">
        <v>932</v>
      </c>
      <c r="J264" s="696" t="s">
        <v>1515</v>
      </c>
      <c r="K264" s="696" t="s">
        <v>740</v>
      </c>
      <c r="L264" s="699">
        <v>74.87</v>
      </c>
      <c r="M264" s="699">
        <v>74.87</v>
      </c>
      <c r="N264" s="696">
        <v>1</v>
      </c>
      <c r="O264" s="700">
        <v>0.5</v>
      </c>
      <c r="P264" s="699"/>
      <c r="Q264" s="701">
        <v>0</v>
      </c>
      <c r="R264" s="696"/>
      <c r="S264" s="701">
        <v>0</v>
      </c>
      <c r="T264" s="700"/>
      <c r="U264" s="702">
        <v>0</v>
      </c>
    </row>
    <row r="265" spans="1:21" ht="14.4" customHeight="1" x14ac:dyDescent="0.3">
      <c r="A265" s="695">
        <v>31</v>
      </c>
      <c r="B265" s="696" t="s">
        <v>557</v>
      </c>
      <c r="C265" s="696">
        <v>89301312</v>
      </c>
      <c r="D265" s="697" t="s">
        <v>2235</v>
      </c>
      <c r="E265" s="698" t="s">
        <v>1602</v>
      </c>
      <c r="F265" s="696" t="s">
        <v>1588</v>
      </c>
      <c r="G265" s="696" t="s">
        <v>1857</v>
      </c>
      <c r="H265" s="696" t="s">
        <v>558</v>
      </c>
      <c r="I265" s="696" t="s">
        <v>663</v>
      </c>
      <c r="J265" s="696" t="s">
        <v>664</v>
      </c>
      <c r="K265" s="696" t="s">
        <v>1858</v>
      </c>
      <c r="L265" s="699">
        <v>0</v>
      </c>
      <c r="M265" s="699">
        <v>0</v>
      </c>
      <c r="N265" s="696">
        <v>2</v>
      </c>
      <c r="O265" s="700">
        <v>1</v>
      </c>
      <c r="P265" s="699">
        <v>0</v>
      </c>
      <c r="Q265" s="701"/>
      <c r="R265" s="696">
        <v>2</v>
      </c>
      <c r="S265" s="701">
        <v>1</v>
      </c>
      <c r="T265" s="700">
        <v>1</v>
      </c>
      <c r="U265" s="702">
        <v>1</v>
      </c>
    </row>
    <row r="266" spans="1:21" ht="14.4" customHeight="1" x14ac:dyDescent="0.3">
      <c r="A266" s="695">
        <v>31</v>
      </c>
      <c r="B266" s="696" t="s">
        <v>557</v>
      </c>
      <c r="C266" s="696">
        <v>89301312</v>
      </c>
      <c r="D266" s="697" t="s">
        <v>2235</v>
      </c>
      <c r="E266" s="698" t="s">
        <v>1602</v>
      </c>
      <c r="F266" s="696" t="s">
        <v>1588</v>
      </c>
      <c r="G266" s="696" t="s">
        <v>1933</v>
      </c>
      <c r="H266" s="696" t="s">
        <v>558</v>
      </c>
      <c r="I266" s="696" t="s">
        <v>1934</v>
      </c>
      <c r="J266" s="696" t="s">
        <v>1935</v>
      </c>
      <c r="K266" s="696" t="s">
        <v>1936</v>
      </c>
      <c r="L266" s="699">
        <v>77.08</v>
      </c>
      <c r="M266" s="699">
        <v>77.08</v>
      </c>
      <c r="N266" s="696">
        <v>1</v>
      </c>
      <c r="O266" s="700">
        <v>0.5</v>
      </c>
      <c r="P266" s="699">
        <v>77.08</v>
      </c>
      <c r="Q266" s="701">
        <v>1</v>
      </c>
      <c r="R266" s="696">
        <v>1</v>
      </c>
      <c r="S266" s="701">
        <v>1</v>
      </c>
      <c r="T266" s="700">
        <v>0.5</v>
      </c>
      <c r="U266" s="702">
        <v>1</v>
      </c>
    </row>
    <row r="267" spans="1:21" ht="14.4" customHeight="1" x14ac:dyDescent="0.3">
      <c r="A267" s="695">
        <v>31</v>
      </c>
      <c r="B267" s="696" t="s">
        <v>557</v>
      </c>
      <c r="C267" s="696">
        <v>89301312</v>
      </c>
      <c r="D267" s="697" t="s">
        <v>2235</v>
      </c>
      <c r="E267" s="698" t="s">
        <v>1602</v>
      </c>
      <c r="F267" s="696" t="s">
        <v>1588</v>
      </c>
      <c r="G267" s="696" t="s">
        <v>1937</v>
      </c>
      <c r="H267" s="696" t="s">
        <v>914</v>
      </c>
      <c r="I267" s="696" t="s">
        <v>1938</v>
      </c>
      <c r="J267" s="696" t="s">
        <v>1939</v>
      </c>
      <c r="K267" s="696" t="s">
        <v>1626</v>
      </c>
      <c r="L267" s="699">
        <v>116.8</v>
      </c>
      <c r="M267" s="699">
        <v>116.8</v>
      </c>
      <c r="N267" s="696">
        <v>1</v>
      </c>
      <c r="O267" s="700">
        <v>1</v>
      </c>
      <c r="P267" s="699">
        <v>116.8</v>
      </c>
      <c r="Q267" s="701">
        <v>1</v>
      </c>
      <c r="R267" s="696">
        <v>1</v>
      </c>
      <c r="S267" s="701">
        <v>1</v>
      </c>
      <c r="T267" s="700">
        <v>1</v>
      </c>
      <c r="U267" s="702">
        <v>1</v>
      </c>
    </row>
    <row r="268" spans="1:21" ht="14.4" customHeight="1" x14ac:dyDescent="0.3">
      <c r="A268" s="695">
        <v>31</v>
      </c>
      <c r="B268" s="696" t="s">
        <v>557</v>
      </c>
      <c r="C268" s="696">
        <v>89301312</v>
      </c>
      <c r="D268" s="697" t="s">
        <v>2235</v>
      </c>
      <c r="E268" s="698" t="s">
        <v>1602</v>
      </c>
      <c r="F268" s="696" t="s">
        <v>1588</v>
      </c>
      <c r="G268" s="696" t="s">
        <v>1645</v>
      </c>
      <c r="H268" s="696" t="s">
        <v>914</v>
      </c>
      <c r="I268" s="696" t="s">
        <v>1045</v>
      </c>
      <c r="J268" s="696" t="s">
        <v>1046</v>
      </c>
      <c r="K268" s="696" t="s">
        <v>1047</v>
      </c>
      <c r="L268" s="699">
        <v>154.01</v>
      </c>
      <c r="M268" s="699">
        <v>1540.1</v>
      </c>
      <c r="N268" s="696">
        <v>10</v>
      </c>
      <c r="O268" s="700">
        <v>2</v>
      </c>
      <c r="P268" s="699">
        <v>1540.1</v>
      </c>
      <c r="Q268" s="701">
        <v>1</v>
      </c>
      <c r="R268" s="696">
        <v>10</v>
      </c>
      <c r="S268" s="701">
        <v>1</v>
      </c>
      <c r="T268" s="700">
        <v>2</v>
      </c>
      <c r="U268" s="702">
        <v>1</v>
      </c>
    </row>
    <row r="269" spans="1:21" ht="14.4" customHeight="1" x14ac:dyDescent="0.3">
      <c r="A269" s="695">
        <v>31</v>
      </c>
      <c r="B269" s="696" t="s">
        <v>557</v>
      </c>
      <c r="C269" s="696">
        <v>89301312</v>
      </c>
      <c r="D269" s="697" t="s">
        <v>2235</v>
      </c>
      <c r="E269" s="698" t="s">
        <v>1602</v>
      </c>
      <c r="F269" s="696" t="s">
        <v>1588</v>
      </c>
      <c r="G269" s="696" t="s">
        <v>1940</v>
      </c>
      <c r="H269" s="696" t="s">
        <v>558</v>
      </c>
      <c r="I269" s="696" t="s">
        <v>1941</v>
      </c>
      <c r="J269" s="696" t="s">
        <v>1942</v>
      </c>
      <c r="K269" s="696" t="s">
        <v>1943</v>
      </c>
      <c r="L269" s="699">
        <v>36.869999999999997</v>
      </c>
      <c r="M269" s="699">
        <v>110.60999999999999</v>
      </c>
      <c r="N269" s="696">
        <v>3</v>
      </c>
      <c r="O269" s="700">
        <v>1</v>
      </c>
      <c r="P269" s="699"/>
      <c r="Q269" s="701">
        <v>0</v>
      </c>
      <c r="R269" s="696"/>
      <c r="S269" s="701">
        <v>0</v>
      </c>
      <c r="T269" s="700"/>
      <c r="U269" s="702">
        <v>0</v>
      </c>
    </row>
    <row r="270" spans="1:21" ht="14.4" customHeight="1" x14ac:dyDescent="0.3">
      <c r="A270" s="695">
        <v>31</v>
      </c>
      <c r="B270" s="696" t="s">
        <v>557</v>
      </c>
      <c r="C270" s="696">
        <v>89301312</v>
      </c>
      <c r="D270" s="697" t="s">
        <v>2235</v>
      </c>
      <c r="E270" s="698" t="s">
        <v>1602</v>
      </c>
      <c r="F270" s="696" t="s">
        <v>1588</v>
      </c>
      <c r="G270" s="696" t="s">
        <v>1863</v>
      </c>
      <c r="H270" s="696" t="s">
        <v>914</v>
      </c>
      <c r="I270" s="696" t="s">
        <v>1944</v>
      </c>
      <c r="J270" s="696" t="s">
        <v>1865</v>
      </c>
      <c r="K270" s="696" t="s">
        <v>1945</v>
      </c>
      <c r="L270" s="699">
        <v>386.51</v>
      </c>
      <c r="M270" s="699">
        <v>386.51</v>
      </c>
      <c r="N270" s="696">
        <v>1</v>
      </c>
      <c r="O270" s="700">
        <v>1</v>
      </c>
      <c r="P270" s="699">
        <v>386.51</v>
      </c>
      <c r="Q270" s="701">
        <v>1</v>
      </c>
      <c r="R270" s="696">
        <v>1</v>
      </c>
      <c r="S270" s="701">
        <v>1</v>
      </c>
      <c r="T270" s="700">
        <v>1</v>
      </c>
      <c r="U270" s="702">
        <v>1</v>
      </c>
    </row>
    <row r="271" spans="1:21" ht="14.4" customHeight="1" x14ac:dyDescent="0.3">
      <c r="A271" s="695">
        <v>31</v>
      </c>
      <c r="B271" s="696" t="s">
        <v>557</v>
      </c>
      <c r="C271" s="696">
        <v>89301312</v>
      </c>
      <c r="D271" s="697" t="s">
        <v>2235</v>
      </c>
      <c r="E271" s="698" t="s">
        <v>1602</v>
      </c>
      <c r="F271" s="696" t="s">
        <v>1588</v>
      </c>
      <c r="G271" s="696" t="s">
        <v>1614</v>
      </c>
      <c r="H271" s="696" t="s">
        <v>914</v>
      </c>
      <c r="I271" s="696" t="s">
        <v>1367</v>
      </c>
      <c r="J271" s="696" t="s">
        <v>1317</v>
      </c>
      <c r="K271" s="696" t="s">
        <v>1368</v>
      </c>
      <c r="L271" s="699">
        <v>625.29</v>
      </c>
      <c r="M271" s="699">
        <v>15006.96</v>
      </c>
      <c r="N271" s="696">
        <v>24</v>
      </c>
      <c r="O271" s="700">
        <v>10</v>
      </c>
      <c r="P271" s="699">
        <v>9379.3499999999985</v>
      </c>
      <c r="Q271" s="701">
        <v>0.62499999999999989</v>
      </c>
      <c r="R271" s="696">
        <v>15</v>
      </c>
      <c r="S271" s="701">
        <v>0.625</v>
      </c>
      <c r="T271" s="700">
        <v>7</v>
      </c>
      <c r="U271" s="702">
        <v>0.7</v>
      </c>
    </row>
    <row r="272" spans="1:21" ht="14.4" customHeight="1" x14ac:dyDescent="0.3">
      <c r="A272" s="695">
        <v>31</v>
      </c>
      <c r="B272" s="696" t="s">
        <v>557</v>
      </c>
      <c r="C272" s="696">
        <v>89301312</v>
      </c>
      <c r="D272" s="697" t="s">
        <v>2235</v>
      </c>
      <c r="E272" s="698" t="s">
        <v>1602</v>
      </c>
      <c r="F272" s="696" t="s">
        <v>1588</v>
      </c>
      <c r="G272" s="696" t="s">
        <v>1651</v>
      </c>
      <c r="H272" s="696" t="s">
        <v>914</v>
      </c>
      <c r="I272" s="696" t="s">
        <v>916</v>
      </c>
      <c r="J272" s="696" t="s">
        <v>917</v>
      </c>
      <c r="K272" s="696" t="s">
        <v>1543</v>
      </c>
      <c r="L272" s="699">
        <v>96.63</v>
      </c>
      <c r="M272" s="699">
        <v>579.78</v>
      </c>
      <c r="N272" s="696">
        <v>6</v>
      </c>
      <c r="O272" s="700">
        <v>4</v>
      </c>
      <c r="P272" s="699">
        <v>96.63</v>
      </c>
      <c r="Q272" s="701">
        <v>0.16666666666666666</v>
      </c>
      <c r="R272" s="696">
        <v>1</v>
      </c>
      <c r="S272" s="701">
        <v>0.16666666666666666</v>
      </c>
      <c r="T272" s="700">
        <v>1</v>
      </c>
      <c r="U272" s="702">
        <v>0.25</v>
      </c>
    </row>
    <row r="273" spans="1:21" ht="14.4" customHeight="1" x14ac:dyDescent="0.3">
      <c r="A273" s="695">
        <v>31</v>
      </c>
      <c r="B273" s="696" t="s">
        <v>557</v>
      </c>
      <c r="C273" s="696">
        <v>89301312</v>
      </c>
      <c r="D273" s="697" t="s">
        <v>2235</v>
      </c>
      <c r="E273" s="698" t="s">
        <v>1602</v>
      </c>
      <c r="F273" s="696" t="s">
        <v>1588</v>
      </c>
      <c r="G273" s="696" t="s">
        <v>1651</v>
      </c>
      <c r="H273" s="696" t="s">
        <v>558</v>
      </c>
      <c r="I273" s="696" t="s">
        <v>1946</v>
      </c>
      <c r="J273" s="696" t="s">
        <v>917</v>
      </c>
      <c r="K273" s="696" t="s">
        <v>1947</v>
      </c>
      <c r="L273" s="699">
        <v>96.63</v>
      </c>
      <c r="M273" s="699">
        <v>289.89</v>
      </c>
      <c r="N273" s="696">
        <v>3</v>
      </c>
      <c r="O273" s="700">
        <v>2</v>
      </c>
      <c r="P273" s="699">
        <v>289.89</v>
      </c>
      <c r="Q273" s="701">
        <v>1</v>
      </c>
      <c r="R273" s="696">
        <v>3</v>
      </c>
      <c r="S273" s="701">
        <v>1</v>
      </c>
      <c r="T273" s="700">
        <v>2</v>
      </c>
      <c r="U273" s="702">
        <v>1</v>
      </c>
    </row>
    <row r="274" spans="1:21" ht="14.4" customHeight="1" x14ac:dyDescent="0.3">
      <c r="A274" s="695">
        <v>31</v>
      </c>
      <c r="B274" s="696" t="s">
        <v>557</v>
      </c>
      <c r="C274" s="696">
        <v>89301312</v>
      </c>
      <c r="D274" s="697" t="s">
        <v>2235</v>
      </c>
      <c r="E274" s="698" t="s">
        <v>1602</v>
      </c>
      <c r="F274" s="696" t="s">
        <v>1588</v>
      </c>
      <c r="G274" s="696" t="s">
        <v>1651</v>
      </c>
      <c r="H274" s="696" t="s">
        <v>558</v>
      </c>
      <c r="I274" s="696" t="s">
        <v>1948</v>
      </c>
      <c r="J274" s="696" t="s">
        <v>1949</v>
      </c>
      <c r="K274" s="696" t="s">
        <v>1950</v>
      </c>
      <c r="L274" s="699">
        <v>96.63</v>
      </c>
      <c r="M274" s="699">
        <v>289.89</v>
      </c>
      <c r="N274" s="696">
        <v>3</v>
      </c>
      <c r="O274" s="700">
        <v>1</v>
      </c>
      <c r="P274" s="699">
        <v>289.89</v>
      </c>
      <c r="Q274" s="701">
        <v>1</v>
      </c>
      <c r="R274" s="696">
        <v>3</v>
      </c>
      <c r="S274" s="701">
        <v>1</v>
      </c>
      <c r="T274" s="700">
        <v>1</v>
      </c>
      <c r="U274" s="702">
        <v>1</v>
      </c>
    </row>
    <row r="275" spans="1:21" ht="14.4" customHeight="1" x14ac:dyDescent="0.3">
      <c r="A275" s="695">
        <v>31</v>
      </c>
      <c r="B275" s="696" t="s">
        <v>557</v>
      </c>
      <c r="C275" s="696">
        <v>89301312</v>
      </c>
      <c r="D275" s="697" t="s">
        <v>2235</v>
      </c>
      <c r="E275" s="698" t="s">
        <v>1602</v>
      </c>
      <c r="F275" s="696" t="s">
        <v>1588</v>
      </c>
      <c r="G275" s="696" t="s">
        <v>1951</v>
      </c>
      <c r="H275" s="696" t="s">
        <v>558</v>
      </c>
      <c r="I275" s="696" t="s">
        <v>1952</v>
      </c>
      <c r="J275" s="696" t="s">
        <v>1953</v>
      </c>
      <c r="K275" s="696" t="s">
        <v>1954</v>
      </c>
      <c r="L275" s="699">
        <v>113.37</v>
      </c>
      <c r="M275" s="699">
        <v>113.37</v>
      </c>
      <c r="N275" s="696">
        <v>1</v>
      </c>
      <c r="O275" s="700">
        <v>0.5</v>
      </c>
      <c r="P275" s="699"/>
      <c r="Q275" s="701">
        <v>0</v>
      </c>
      <c r="R275" s="696"/>
      <c r="S275" s="701">
        <v>0</v>
      </c>
      <c r="T275" s="700"/>
      <c r="U275" s="702">
        <v>0</v>
      </c>
    </row>
    <row r="276" spans="1:21" ht="14.4" customHeight="1" x14ac:dyDescent="0.3">
      <c r="A276" s="695">
        <v>31</v>
      </c>
      <c r="B276" s="696" t="s">
        <v>557</v>
      </c>
      <c r="C276" s="696">
        <v>89301312</v>
      </c>
      <c r="D276" s="697" t="s">
        <v>2235</v>
      </c>
      <c r="E276" s="698" t="s">
        <v>1602</v>
      </c>
      <c r="F276" s="696" t="s">
        <v>1588</v>
      </c>
      <c r="G276" s="696" t="s">
        <v>1955</v>
      </c>
      <c r="H276" s="696" t="s">
        <v>558</v>
      </c>
      <c r="I276" s="696" t="s">
        <v>1956</v>
      </c>
      <c r="J276" s="696" t="s">
        <v>1957</v>
      </c>
      <c r="K276" s="696" t="s">
        <v>1958</v>
      </c>
      <c r="L276" s="699">
        <v>56.01</v>
      </c>
      <c r="M276" s="699">
        <v>56.01</v>
      </c>
      <c r="N276" s="696">
        <v>1</v>
      </c>
      <c r="O276" s="700">
        <v>0.5</v>
      </c>
      <c r="P276" s="699"/>
      <c r="Q276" s="701">
        <v>0</v>
      </c>
      <c r="R276" s="696"/>
      <c r="S276" s="701">
        <v>0</v>
      </c>
      <c r="T276" s="700"/>
      <c r="U276" s="702">
        <v>0</v>
      </c>
    </row>
    <row r="277" spans="1:21" ht="14.4" customHeight="1" x14ac:dyDescent="0.3">
      <c r="A277" s="695">
        <v>31</v>
      </c>
      <c r="B277" s="696" t="s">
        <v>557</v>
      </c>
      <c r="C277" s="696">
        <v>89301312</v>
      </c>
      <c r="D277" s="697" t="s">
        <v>2235</v>
      </c>
      <c r="E277" s="698" t="s">
        <v>1602</v>
      </c>
      <c r="F277" s="696" t="s">
        <v>1588</v>
      </c>
      <c r="G277" s="696" t="s">
        <v>1959</v>
      </c>
      <c r="H277" s="696" t="s">
        <v>558</v>
      </c>
      <c r="I277" s="696" t="s">
        <v>1960</v>
      </c>
      <c r="J277" s="696" t="s">
        <v>1961</v>
      </c>
      <c r="K277" s="696" t="s">
        <v>1962</v>
      </c>
      <c r="L277" s="699">
        <v>110.25</v>
      </c>
      <c r="M277" s="699">
        <v>110.25</v>
      </c>
      <c r="N277" s="696">
        <v>1</v>
      </c>
      <c r="O277" s="700">
        <v>0.5</v>
      </c>
      <c r="P277" s="699"/>
      <c r="Q277" s="701">
        <v>0</v>
      </c>
      <c r="R277" s="696"/>
      <c r="S277" s="701">
        <v>0</v>
      </c>
      <c r="T277" s="700"/>
      <c r="U277" s="702">
        <v>0</v>
      </c>
    </row>
    <row r="278" spans="1:21" ht="14.4" customHeight="1" x14ac:dyDescent="0.3">
      <c r="A278" s="695">
        <v>31</v>
      </c>
      <c r="B278" s="696" t="s">
        <v>557</v>
      </c>
      <c r="C278" s="696">
        <v>89301312</v>
      </c>
      <c r="D278" s="697" t="s">
        <v>2235</v>
      </c>
      <c r="E278" s="698" t="s">
        <v>1602</v>
      </c>
      <c r="F278" s="696" t="s">
        <v>1588</v>
      </c>
      <c r="G278" s="696" t="s">
        <v>1963</v>
      </c>
      <c r="H278" s="696" t="s">
        <v>558</v>
      </c>
      <c r="I278" s="696" t="s">
        <v>596</v>
      </c>
      <c r="J278" s="696" t="s">
        <v>1964</v>
      </c>
      <c r="K278" s="696" t="s">
        <v>1965</v>
      </c>
      <c r="L278" s="699">
        <v>56.59</v>
      </c>
      <c r="M278" s="699">
        <v>226.36</v>
      </c>
      <c r="N278" s="696">
        <v>4</v>
      </c>
      <c r="O278" s="700">
        <v>1</v>
      </c>
      <c r="P278" s="699"/>
      <c r="Q278" s="701">
        <v>0</v>
      </c>
      <c r="R278" s="696"/>
      <c r="S278" s="701">
        <v>0</v>
      </c>
      <c r="T278" s="700"/>
      <c r="U278" s="702">
        <v>0</v>
      </c>
    </row>
    <row r="279" spans="1:21" ht="14.4" customHeight="1" x14ac:dyDescent="0.3">
      <c r="A279" s="695">
        <v>31</v>
      </c>
      <c r="B279" s="696" t="s">
        <v>557</v>
      </c>
      <c r="C279" s="696">
        <v>89301312</v>
      </c>
      <c r="D279" s="697" t="s">
        <v>2235</v>
      </c>
      <c r="E279" s="698" t="s">
        <v>1602</v>
      </c>
      <c r="F279" s="696" t="s">
        <v>1588</v>
      </c>
      <c r="G279" s="696" t="s">
        <v>1668</v>
      </c>
      <c r="H279" s="696" t="s">
        <v>558</v>
      </c>
      <c r="I279" s="696" t="s">
        <v>647</v>
      </c>
      <c r="J279" s="696" t="s">
        <v>1669</v>
      </c>
      <c r="K279" s="696" t="s">
        <v>1670</v>
      </c>
      <c r="L279" s="699">
        <v>0</v>
      </c>
      <c r="M279" s="699">
        <v>0</v>
      </c>
      <c r="N279" s="696">
        <v>2</v>
      </c>
      <c r="O279" s="700">
        <v>0.5</v>
      </c>
      <c r="P279" s="699">
        <v>0</v>
      </c>
      <c r="Q279" s="701"/>
      <c r="R279" s="696">
        <v>2</v>
      </c>
      <c r="S279" s="701">
        <v>1</v>
      </c>
      <c r="T279" s="700">
        <v>0.5</v>
      </c>
      <c r="U279" s="702">
        <v>1</v>
      </c>
    </row>
    <row r="280" spans="1:21" ht="14.4" customHeight="1" x14ac:dyDescent="0.3">
      <c r="A280" s="695">
        <v>31</v>
      </c>
      <c r="B280" s="696" t="s">
        <v>557</v>
      </c>
      <c r="C280" s="696">
        <v>89301312</v>
      </c>
      <c r="D280" s="697" t="s">
        <v>2235</v>
      </c>
      <c r="E280" s="698" t="s">
        <v>1602</v>
      </c>
      <c r="F280" s="696" t="s">
        <v>1588</v>
      </c>
      <c r="G280" s="696" t="s">
        <v>1966</v>
      </c>
      <c r="H280" s="696" t="s">
        <v>558</v>
      </c>
      <c r="I280" s="696" t="s">
        <v>1967</v>
      </c>
      <c r="J280" s="696" t="s">
        <v>1968</v>
      </c>
      <c r="K280" s="696" t="s">
        <v>1969</v>
      </c>
      <c r="L280" s="699">
        <v>87.55</v>
      </c>
      <c r="M280" s="699">
        <v>175.1</v>
      </c>
      <c r="N280" s="696">
        <v>2</v>
      </c>
      <c r="O280" s="700">
        <v>1</v>
      </c>
      <c r="P280" s="699">
        <v>175.1</v>
      </c>
      <c r="Q280" s="701">
        <v>1</v>
      </c>
      <c r="R280" s="696">
        <v>2</v>
      </c>
      <c r="S280" s="701">
        <v>1</v>
      </c>
      <c r="T280" s="700">
        <v>1</v>
      </c>
      <c r="U280" s="702">
        <v>1</v>
      </c>
    </row>
    <row r="281" spans="1:21" ht="14.4" customHeight="1" x14ac:dyDescent="0.3">
      <c r="A281" s="695">
        <v>31</v>
      </c>
      <c r="B281" s="696" t="s">
        <v>557</v>
      </c>
      <c r="C281" s="696">
        <v>89301312</v>
      </c>
      <c r="D281" s="697" t="s">
        <v>2235</v>
      </c>
      <c r="E281" s="698" t="s">
        <v>1602</v>
      </c>
      <c r="F281" s="696" t="s">
        <v>1588</v>
      </c>
      <c r="G281" s="696" t="s">
        <v>1970</v>
      </c>
      <c r="H281" s="696" t="s">
        <v>558</v>
      </c>
      <c r="I281" s="696" t="s">
        <v>1971</v>
      </c>
      <c r="J281" s="696" t="s">
        <v>1972</v>
      </c>
      <c r="K281" s="696" t="s">
        <v>1973</v>
      </c>
      <c r="L281" s="699">
        <v>472.71</v>
      </c>
      <c r="M281" s="699">
        <v>945.42</v>
      </c>
      <c r="N281" s="696">
        <v>2</v>
      </c>
      <c r="O281" s="700">
        <v>1</v>
      </c>
      <c r="P281" s="699">
        <v>945.42</v>
      </c>
      <c r="Q281" s="701">
        <v>1</v>
      </c>
      <c r="R281" s="696">
        <v>2</v>
      </c>
      <c r="S281" s="701">
        <v>1</v>
      </c>
      <c r="T281" s="700">
        <v>1</v>
      </c>
      <c r="U281" s="702">
        <v>1</v>
      </c>
    </row>
    <row r="282" spans="1:21" ht="14.4" customHeight="1" x14ac:dyDescent="0.3">
      <c r="A282" s="695">
        <v>31</v>
      </c>
      <c r="B282" s="696" t="s">
        <v>557</v>
      </c>
      <c r="C282" s="696">
        <v>89301312</v>
      </c>
      <c r="D282" s="697" t="s">
        <v>2235</v>
      </c>
      <c r="E282" s="698" t="s">
        <v>1602</v>
      </c>
      <c r="F282" s="696" t="s">
        <v>1588</v>
      </c>
      <c r="G282" s="696" t="s">
        <v>1615</v>
      </c>
      <c r="H282" s="696" t="s">
        <v>558</v>
      </c>
      <c r="I282" s="696" t="s">
        <v>988</v>
      </c>
      <c r="J282" s="696" t="s">
        <v>989</v>
      </c>
      <c r="K282" s="696" t="s">
        <v>1616</v>
      </c>
      <c r="L282" s="699">
        <v>194.73</v>
      </c>
      <c r="M282" s="699">
        <v>389.46</v>
      </c>
      <c r="N282" s="696">
        <v>2</v>
      </c>
      <c r="O282" s="700">
        <v>1</v>
      </c>
      <c r="P282" s="699"/>
      <c r="Q282" s="701">
        <v>0</v>
      </c>
      <c r="R282" s="696"/>
      <c r="S282" s="701">
        <v>0</v>
      </c>
      <c r="T282" s="700"/>
      <c r="U282" s="702">
        <v>0</v>
      </c>
    </row>
    <row r="283" spans="1:21" ht="14.4" customHeight="1" x14ac:dyDescent="0.3">
      <c r="A283" s="695">
        <v>31</v>
      </c>
      <c r="B283" s="696" t="s">
        <v>557</v>
      </c>
      <c r="C283" s="696">
        <v>89301312</v>
      </c>
      <c r="D283" s="697" t="s">
        <v>2235</v>
      </c>
      <c r="E283" s="698" t="s">
        <v>1602</v>
      </c>
      <c r="F283" s="696" t="s">
        <v>1588</v>
      </c>
      <c r="G283" s="696" t="s">
        <v>1974</v>
      </c>
      <c r="H283" s="696" t="s">
        <v>558</v>
      </c>
      <c r="I283" s="696" t="s">
        <v>620</v>
      </c>
      <c r="J283" s="696" t="s">
        <v>621</v>
      </c>
      <c r="K283" s="696" t="s">
        <v>1975</v>
      </c>
      <c r="L283" s="699">
        <v>57.85</v>
      </c>
      <c r="M283" s="699">
        <v>115.7</v>
      </c>
      <c r="N283" s="696">
        <v>2</v>
      </c>
      <c r="O283" s="700">
        <v>0.5</v>
      </c>
      <c r="P283" s="699"/>
      <c r="Q283" s="701">
        <v>0</v>
      </c>
      <c r="R283" s="696"/>
      <c r="S283" s="701">
        <v>0</v>
      </c>
      <c r="T283" s="700"/>
      <c r="U283" s="702">
        <v>0</v>
      </c>
    </row>
    <row r="284" spans="1:21" ht="14.4" customHeight="1" x14ac:dyDescent="0.3">
      <c r="A284" s="695">
        <v>31</v>
      </c>
      <c r="B284" s="696" t="s">
        <v>557</v>
      </c>
      <c r="C284" s="696">
        <v>89301312</v>
      </c>
      <c r="D284" s="697" t="s">
        <v>2235</v>
      </c>
      <c r="E284" s="698" t="s">
        <v>1602</v>
      </c>
      <c r="F284" s="696" t="s">
        <v>1588</v>
      </c>
      <c r="G284" s="696" t="s">
        <v>1675</v>
      </c>
      <c r="H284" s="696" t="s">
        <v>914</v>
      </c>
      <c r="I284" s="696" t="s">
        <v>1976</v>
      </c>
      <c r="J284" s="696" t="s">
        <v>1977</v>
      </c>
      <c r="K284" s="696" t="s">
        <v>1978</v>
      </c>
      <c r="L284" s="699">
        <v>314.33999999999997</v>
      </c>
      <c r="M284" s="699">
        <v>943.02</v>
      </c>
      <c r="N284" s="696">
        <v>3</v>
      </c>
      <c r="O284" s="700">
        <v>2</v>
      </c>
      <c r="P284" s="699">
        <v>943.02</v>
      </c>
      <c r="Q284" s="701">
        <v>1</v>
      </c>
      <c r="R284" s="696">
        <v>3</v>
      </c>
      <c r="S284" s="701">
        <v>1</v>
      </c>
      <c r="T284" s="700">
        <v>2</v>
      </c>
      <c r="U284" s="702">
        <v>1</v>
      </c>
    </row>
    <row r="285" spans="1:21" ht="14.4" customHeight="1" x14ac:dyDescent="0.3">
      <c r="A285" s="695">
        <v>31</v>
      </c>
      <c r="B285" s="696" t="s">
        <v>557</v>
      </c>
      <c r="C285" s="696">
        <v>89301312</v>
      </c>
      <c r="D285" s="697" t="s">
        <v>2235</v>
      </c>
      <c r="E285" s="698" t="s">
        <v>1602</v>
      </c>
      <c r="F285" s="696" t="s">
        <v>1588</v>
      </c>
      <c r="G285" s="696" t="s">
        <v>1979</v>
      </c>
      <c r="H285" s="696" t="s">
        <v>558</v>
      </c>
      <c r="I285" s="696" t="s">
        <v>1980</v>
      </c>
      <c r="J285" s="696" t="s">
        <v>1981</v>
      </c>
      <c r="K285" s="696" t="s">
        <v>1982</v>
      </c>
      <c r="L285" s="699">
        <v>0</v>
      </c>
      <c r="M285" s="699">
        <v>0</v>
      </c>
      <c r="N285" s="696">
        <v>9</v>
      </c>
      <c r="O285" s="700">
        <v>6</v>
      </c>
      <c r="P285" s="699">
        <v>0</v>
      </c>
      <c r="Q285" s="701"/>
      <c r="R285" s="696">
        <v>2</v>
      </c>
      <c r="S285" s="701">
        <v>0.22222222222222221</v>
      </c>
      <c r="T285" s="700">
        <v>1</v>
      </c>
      <c r="U285" s="702">
        <v>0.16666666666666666</v>
      </c>
    </row>
    <row r="286" spans="1:21" ht="14.4" customHeight="1" x14ac:dyDescent="0.3">
      <c r="A286" s="695">
        <v>31</v>
      </c>
      <c r="B286" s="696" t="s">
        <v>557</v>
      </c>
      <c r="C286" s="696">
        <v>89301312</v>
      </c>
      <c r="D286" s="697" t="s">
        <v>2235</v>
      </c>
      <c r="E286" s="698" t="s">
        <v>1602</v>
      </c>
      <c r="F286" s="696" t="s">
        <v>1589</v>
      </c>
      <c r="G286" s="696" t="s">
        <v>1638</v>
      </c>
      <c r="H286" s="696" t="s">
        <v>558</v>
      </c>
      <c r="I286" s="696" t="s">
        <v>1983</v>
      </c>
      <c r="J286" s="696" t="s">
        <v>1640</v>
      </c>
      <c r="K286" s="696"/>
      <c r="L286" s="699">
        <v>0</v>
      </c>
      <c r="M286" s="699">
        <v>0</v>
      </c>
      <c r="N286" s="696">
        <v>1</v>
      </c>
      <c r="O286" s="700">
        <v>1</v>
      </c>
      <c r="P286" s="699">
        <v>0</v>
      </c>
      <c r="Q286" s="701"/>
      <c r="R286" s="696">
        <v>1</v>
      </c>
      <c r="S286" s="701">
        <v>1</v>
      </c>
      <c r="T286" s="700">
        <v>1</v>
      </c>
      <c r="U286" s="702">
        <v>1</v>
      </c>
    </row>
    <row r="287" spans="1:21" ht="14.4" customHeight="1" x14ac:dyDescent="0.3">
      <c r="A287" s="695">
        <v>31</v>
      </c>
      <c r="B287" s="696" t="s">
        <v>557</v>
      </c>
      <c r="C287" s="696">
        <v>89301312</v>
      </c>
      <c r="D287" s="697" t="s">
        <v>2235</v>
      </c>
      <c r="E287" s="698" t="s">
        <v>1602</v>
      </c>
      <c r="F287" s="696" t="s">
        <v>1590</v>
      </c>
      <c r="G287" s="696" t="s">
        <v>1689</v>
      </c>
      <c r="H287" s="696" t="s">
        <v>558</v>
      </c>
      <c r="I287" s="696" t="s">
        <v>1984</v>
      </c>
      <c r="J287" s="696" t="s">
        <v>1985</v>
      </c>
      <c r="K287" s="696" t="s">
        <v>1986</v>
      </c>
      <c r="L287" s="699">
        <v>144.05000000000001</v>
      </c>
      <c r="M287" s="699">
        <v>5762</v>
      </c>
      <c r="N287" s="696">
        <v>40</v>
      </c>
      <c r="O287" s="700">
        <v>1</v>
      </c>
      <c r="P287" s="699"/>
      <c r="Q287" s="701">
        <v>0</v>
      </c>
      <c r="R287" s="696"/>
      <c r="S287" s="701">
        <v>0</v>
      </c>
      <c r="T287" s="700"/>
      <c r="U287" s="702">
        <v>0</v>
      </c>
    </row>
    <row r="288" spans="1:21" ht="14.4" customHeight="1" x14ac:dyDescent="0.3">
      <c r="A288" s="695">
        <v>31</v>
      </c>
      <c r="B288" s="696" t="s">
        <v>557</v>
      </c>
      <c r="C288" s="696">
        <v>89301312</v>
      </c>
      <c r="D288" s="697" t="s">
        <v>2235</v>
      </c>
      <c r="E288" s="698" t="s">
        <v>1602</v>
      </c>
      <c r="F288" s="696" t="s">
        <v>1590</v>
      </c>
      <c r="G288" s="696" t="s">
        <v>1689</v>
      </c>
      <c r="H288" s="696" t="s">
        <v>558</v>
      </c>
      <c r="I288" s="696" t="s">
        <v>1882</v>
      </c>
      <c r="J288" s="696" t="s">
        <v>1883</v>
      </c>
      <c r="K288" s="696" t="s">
        <v>1884</v>
      </c>
      <c r="L288" s="699">
        <v>24.77</v>
      </c>
      <c r="M288" s="699">
        <v>49.54</v>
      </c>
      <c r="N288" s="696">
        <v>2</v>
      </c>
      <c r="O288" s="700">
        <v>2</v>
      </c>
      <c r="P288" s="699">
        <v>49.54</v>
      </c>
      <c r="Q288" s="701">
        <v>1</v>
      </c>
      <c r="R288" s="696">
        <v>2</v>
      </c>
      <c r="S288" s="701">
        <v>1</v>
      </c>
      <c r="T288" s="700">
        <v>2</v>
      </c>
      <c r="U288" s="702">
        <v>1</v>
      </c>
    </row>
    <row r="289" spans="1:21" ht="14.4" customHeight="1" x14ac:dyDescent="0.3">
      <c r="A289" s="695">
        <v>31</v>
      </c>
      <c r="B289" s="696" t="s">
        <v>557</v>
      </c>
      <c r="C289" s="696">
        <v>89301312</v>
      </c>
      <c r="D289" s="697" t="s">
        <v>2235</v>
      </c>
      <c r="E289" s="698" t="s">
        <v>1602</v>
      </c>
      <c r="F289" s="696" t="s">
        <v>1590</v>
      </c>
      <c r="G289" s="696" t="s">
        <v>1693</v>
      </c>
      <c r="H289" s="696" t="s">
        <v>558</v>
      </c>
      <c r="I289" s="696" t="s">
        <v>1694</v>
      </c>
      <c r="J289" s="696" t="s">
        <v>1695</v>
      </c>
      <c r="K289" s="696" t="s">
        <v>1696</v>
      </c>
      <c r="L289" s="699">
        <v>260</v>
      </c>
      <c r="M289" s="699">
        <v>520</v>
      </c>
      <c r="N289" s="696">
        <v>2</v>
      </c>
      <c r="O289" s="700">
        <v>1</v>
      </c>
      <c r="P289" s="699">
        <v>520</v>
      </c>
      <c r="Q289" s="701">
        <v>1</v>
      </c>
      <c r="R289" s="696">
        <v>2</v>
      </c>
      <c r="S289" s="701">
        <v>1</v>
      </c>
      <c r="T289" s="700">
        <v>1</v>
      </c>
      <c r="U289" s="702">
        <v>1</v>
      </c>
    </row>
    <row r="290" spans="1:21" ht="14.4" customHeight="1" x14ac:dyDescent="0.3">
      <c r="A290" s="695">
        <v>31</v>
      </c>
      <c r="B290" s="696" t="s">
        <v>557</v>
      </c>
      <c r="C290" s="696">
        <v>89301312</v>
      </c>
      <c r="D290" s="697" t="s">
        <v>2235</v>
      </c>
      <c r="E290" s="698" t="s">
        <v>1602</v>
      </c>
      <c r="F290" s="696" t="s">
        <v>1590</v>
      </c>
      <c r="G290" s="696" t="s">
        <v>1693</v>
      </c>
      <c r="H290" s="696" t="s">
        <v>558</v>
      </c>
      <c r="I290" s="696" t="s">
        <v>1697</v>
      </c>
      <c r="J290" s="696" t="s">
        <v>1698</v>
      </c>
      <c r="K290" s="696" t="s">
        <v>1699</v>
      </c>
      <c r="L290" s="699">
        <v>200</v>
      </c>
      <c r="M290" s="699">
        <v>400</v>
      </c>
      <c r="N290" s="696">
        <v>2</v>
      </c>
      <c r="O290" s="700">
        <v>1</v>
      </c>
      <c r="P290" s="699">
        <v>400</v>
      </c>
      <c r="Q290" s="701">
        <v>1</v>
      </c>
      <c r="R290" s="696">
        <v>2</v>
      </c>
      <c r="S290" s="701">
        <v>1</v>
      </c>
      <c r="T290" s="700">
        <v>1</v>
      </c>
      <c r="U290" s="702">
        <v>1</v>
      </c>
    </row>
    <row r="291" spans="1:21" ht="14.4" customHeight="1" x14ac:dyDescent="0.3">
      <c r="A291" s="695">
        <v>31</v>
      </c>
      <c r="B291" s="696" t="s">
        <v>557</v>
      </c>
      <c r="C291" s="696">
        <v>89301312</v>
      </c>
      <c r="D291" s="697" t="s">
        <v>2235</v>
      </c>
      <c r="E291" s="698" t="s">
        <v>1602</v>
      </c>
      <c r="F291" s="696" t="s">
        <v>1590</v>
      </c>
      <c r="G291" s="696" t="s">
        <v>1693</v>
      </c>
      <c r="H291" s="696" t="s">
        <v>558</v>
      </c>
      <c r="I291" s="696" t="s">
        <v>1987</v>
      </c>
      <c r="J291" s="696" t="s">
        <v>1988</v>
      </c>
      <c r="K291" s="696" t="s">
        <v>1989</v>
      </c>
      <c r="L291" s="699">
        <v>190</v>
      </c>
      <c r="M291" s="699">
        <v>380</v>
      </c>
      <c r="N291" s="696">
        <v>2</v>
      </c>
      <c r="O291" s="700">
        <v>1</v>
      </c>
      <c r="P291" s="699">
        <v>380</v>
      </c>
      <c r="Q291" s="701">
        <v>1</v>
      </c>
      <c r="R291" s="696">
        <v>2</v>
      </c>
      <c r="S291" s="701">
        <v>1</v>
      </c>
      <c r="T291" s="700">
        <v>1</v>
      </c>
      <c r="U291" s="702">
        <v>1</v>
      </c>
    </row>
    <row r="292" spans="1:21" ht="14.4" customHeight="1" x14ac:dyDescent="0.3">
      <c r="A292" s="695">
        <v>31</v>
      </c>
      <c r="B292" s="696" t="s">
        <v>557</v>
      </c>
      <c r="C292" s="696">
        <v>89301312</v>
      </c>
      <c r="D292" s="697" t="s">
        <v>2235</v>
      </c>
      <c r="E292" s="698" t="s">
        <v>1602</v>
      </c>
      <c r="F292" s="696" t="s">
        <v>1590</v>
      </c>
      <c r="G292" s="696" t="s">
        <v>1700</v>
      </c>
      <c r="H292" s="696" t="s">
        <v>558</v>
      </c>
      <c r="I292" s="696" t="s">
        <v>1707</v>
      </c>
      <c r="J292" s="696" t="s">
        <v>1708</v>
      </c>
      <c r="K292" s="696" t="s">
        <v>1709</v>
      </c>
      <c r="L292" s="699">
        <v>492.18</v>
      </c>
      <c r="M292" s="699">
        <v>492.18</v>
      </c>
      <c r="N292" s="696">
        <v>1</v>
      </c>
      <c r="O292" s="700">
        <v>1</v>
      </c>
      <c r="P292" s="699">
        <v>492.18</v>
      </c>
      <c r="Q292" s="701">
        <v>1</v>
      </c>
      <c r="R292" s="696">
        <v>1</v>
      </c>
      <c r="S292" s="701">
        <v>1</v>
      </c>
      <c r="T292" s="700">
        <v>1</v>
      </c>
      <c r="U292" s="702">
        <v>1</v>
      </c>
    </row>
    <row r="293" spans="1:21" ht="14.4" customHeight="1" x14ac:dyDescent="0.3">
      <c r="A293" s="695">
        <v>31</v>
      </c>
      <c r="B293" s="696" t="s">
        <v>557</v>
      </c>
      <c r="C293" s="696">
        <v>89301312</v>
      </c>
      <c r="D293" s="697" t="s">
        <v>2235</v>
      </c>
      <c r="E293" s="698" t="s">
        <v>1602</v>
      </c>
      <c r="F293" s="696" t="s">
        <v>1590</v>
      </c>
      <c r="G293" s="696" t="s">
        <v>1700</v>
      </c>
      <c r="H293" s="696" t="s">
        <v>558</v>
      </c>
      <c r="I293" s="696" t="s">
        <v>1786</v>
      </c>
      <c r="J293" s="696" t="s">
        <v>1787</v>
      </c>
      <c r="K293" s="696" t="s">
        <v>1788</v>
      </c>
      <c r="L293" s="699">
        <v>320.25</v>
      </c>
      <c r="M293" s="699">
        <v>320.25</v>
      </c>
      <c r="N293" s="696">
        <v>1</v>
      </c>
      <c r="O293" s="700">
        <v>1</v>
      </c>
      <c r="P293" s="699">
        <v>320.25</v>
      </c>
      <c r="Q293" s="701">
        <v>1</v>
      </c>
      <c r="R293" s="696">
        <v>1</v>
      </c>
      <c r="S293" s="701">
        <v>1</v>
      </c>
      <c r="T293" s="700">
        <v>1</v>
      </c>
      <c r="U293" s="702">
        <v>1</v>
      </c>
    </row>
    <row r="294" spans="1:21" ht="14.4" customHeight="1" x14ac:dyDescent="0.3">
      <c r="A294" s="695">
        <v>31</v>
      </c>
      <c r="B294" s="696" t="s">
        <v>557</v>
      </c>
      <c r="C294" s="696">
        <v>89301312</v>
      </c>
      <c r="D294" s="697" t="s">
        <v>2235</v>
      </c>
      <c r="E294" s="698" t="s">
        <v>1602</v>
      </c>
      <c r="F294" s="696" t="s">
        <v>1590</v>
      </c>
      <c r="G294" s="696" t="s">
        <v>1700</v>
      </c>
      <c r="H294" s="696" t="s">
        <v>558</v>
      </c>
      <c r="I294" s="696" t="s">
        <v>1905</v>
      </c>
      <c r="J294" s="696" t="s">
        <v>1906</v>
      </c>
      <c r="K294" s="696" t="s">
        <v>1907</v>
      </c>
      <c r="L294" s="699">
        <v>245.43</v>
      </c>
      <c r="M294" s="699">
        <v>245.43</v>
      </c>
      <c r="N294" s="696">
        <v>1</v>
      </c>
      <c r="O294" s="700">
        <v>1</v>
      </c>
      <c r="P294" s="699">
        <v>245.43</v>
      </c>
      <c r="Q294" s="701">
        <v>1</v>
      </c>
      <c r="R294" s="696">
        <v>1</v>
      </c>
      <c r="S294" s="701">
        <v>1</v>
      </c>
      <c r="T294" s="700">
        <v>1</v>
      </c>
      <c r="U294" s="702">
        <v>1</v>
      </c>
    </row>
    <row r="295" spans="1:21" ht="14.4" customHeight="1" x14ac:dyDescent="0.3">
      <c r="A295" s="695">
        <v>31</v>
      </c>
      <c r="B295" s="696" t="s">
        <v>557</v>
      </c>
      <c r="C295" s="696">
        <v>89301312</v>
      </c>
      <c r="D295" s="697" t="s">
        <v>2235</v>
      </c>
      <c r="E295" s="698" t="s">
        <v>1602</v>
      </c>
      <c r="F295" s="696" t="s">
        <v>1590</v>
      </c>
      <c r="G295" s="696" t="s">
        <v>1700</v>
      </c>
      <c r="H295" s="696" t="s">
        <v>558</v>
      </c>
      <c r="I295" s="696" t="s">
        <v>1715</v>
      </c>
      <c r="J295" s="696" t="s">
        <v>1716</v>
      </c>
      <c r="K295" s="696" t="s">
        <v>1717</v>
      </c>
      <c r="L295" s="699">
        <v>971.25</v>
      </c>
      <c r="M295" s="699">
        <v>971.25</v>
      </c>
      <c r="N295" s="696">
        <v>1</v>
      </c>
      <c r="O295" s="700">
        <v>1</v>
      </c>
      <c r="P295" s="699">
        <v>971.25</v>
      </c>
      <c r="Q295" s="701">
        <v>1</v>
      </c>
      <c r="R295" s="696">
        <v>1</v>
      </c>
      <c r="S295" s="701">
        <v>1</v>
      </c>
      <c r="T295" s="700">
        <v>1</v>
      </c>
      <c r="U295" s="702">
        <v>1</v>
      </c>
    </row>
    <row r="296" spans="1:21" ht="14.4" customHeight="1" x14ac:dyDescent="0.3">
      <c r="A296" s="695">
        <v>31</v>
      </c>
      <c r="B296" s="696" t="s">
        <v>557</v>
      </c>
      <c r="C296" s="696">
        <v>89301312</v>
      </c>
      <c r="D296" s="697" t="s">
        <v>2235</v>
      </c>
      <c r="E296" s="698" t="s">
        <v>1602</v>
      </c>
      <c r="F296" s="696" t="s">
        <v>1590</v>
      </c>
      <c r="G296" s="696" t="s">
        <v>1700</v>
      </c>
      <c r="H296" s="696" t="s">
        <v>558</v>
      </c>
      <c r="I296" s="696" t="s">
        <v>1894</v>
      </c>
      <c r="J296" s="696" t="s">
        <v>1895</v>
      </c>
      <c r="K296" s="696"/>
      <c r="L296" s="699">
        <v>1000</v>
      </c>
      <c r="M296" s="699">
        <v>1000</v>
      </c>
      <c r="N296" s="696">
        <v>1</v>
      </c>
      <c r="O296" s="700">
        <v>1</v>
      </c>
      <c r="P296" s="699"/>
      <c r="Q296" s="701">
        <v>0</v>
      </c>
      <c r="R296" s="696"/>
      <c r="S296" s="701">
        <v>0</v>
      </c>
      <c r="T296" s="700"/>
      <c r="U296" s="702">
        <v>0</v>
      </c>
    </row>
    <row r="297" spans="1:21" ht="14.4" customHeight="1" x14ac:dyDescent="0.3">
      <c r="A297" s="695">
        <v>31</v>
      </c>
      <c r="B297" s="696" t="s">
        <v>557</v>
      </c>
      <c r="C297" s="696">
        <v>89301312</v>
      </c>
      <c r="D297" s="697" t="s">
        <v>2235</v>
      </c>
      <c r="E297" s="698" t="s">
        <v>1602</v>
      </c>
      <c r="F297" s="696" t="s">
        <v>1590</v>
      </c>
      <c r="G297" s="696" t="s">
        <v>1700</v>
      </c>
      <c r="H297" s="696" t="s">
        <v>558</v>
      </c>
      <c r="I297" s="696" t="s">
        <v>1990</v>
      </c>
      <c r="J297" s="696" t="s">
        <v>1991</v>
      </c>
      <c r="K297" s="696" t="s">
        <v>1992</v>
      </c>
      <c r="L297" s="699">
        <v>1000</v>
      </c>
      <c r="M297" s="699">
        <v>1000</v>
      </c>
      <c r="N297" s="696">
        <v>1</v>
      </c>
      <c r="O297" s="700">
        <v>1</v>
      </c>
      <c r="P297" s="699"/>
      <c r="Q297" s="701">
        <v>0</v>
      </c>
      <c r="R297" s="696"/>
      <c r="S297" s="701">
        <v>0</v>
      </c>
      <c r="T297" s="700"/>
      <c r="U297" s="702">
        <v>0</v>
      </c>
    </row>
    <row r="298" spans="1:21" ht="14.4" customHeight="1" x14ac:dyDescent="0.3">
      <c r="A298" s="695">
        <v>31</v>
      </c>
      <c r="B298" s="696" t="s">
        <v>557</v>
      </c>
      <c r="C298" s="696">
        <v>89301312</v>
      </c>
      <c r="D298" s="697" t="s">
        <v>2235</v>
      </c>
      <c r="E298" s="698" t="s">
        <v>1602</v>
      </c>
      <c r="F298" s="696" t="s">
        <v>1590</v>
      </c>
      <c r="G298" s="696" t="s">
        <v>1700</v>
      </c>
      <c r="H298" s="696" t="s">
        <v>558</v>
      </c>
      <c r="I298" s="696" t="s">
        <v>1896</v>
      </c>
      <c r="J298" s="696" t="s">
        <v>1897</v>
      </c>
      <c r="K298" s="696" t="s">
        <v>1898</v>
      </c>
      <c r="L298" s="699">
        <v>250</v>
      </c>
      <c r="M298" s="699">
        <v>250</v>
      </c>
      <c r="N298" s="696">
        <v>1</v>
      </c>
      <c r="O298" s="700">
        <v>1</v>
      </c>
      <c r="P298" s="699">
        <v>250</v>
      </c>
      <c r="Q298" s="701">
        <v>1</v>
      </c>
      <c r="R298" s="696">
        <v>1</v>
      </c>
      <c r="S298" s="701">
        <v>1</v>
      </c>
      <c r="T298" s="700">
        <v>1</v>
      </c>
      <c r="U298" s="702">
        <v>1</v>
      </c>
    </row>
    <row r="299" spans="1:21" ht="14.4" customHeight="1" x14ac:dyDescent="0.3">
      <c r="A299" s="695">
        <v>31</v>
      </c>
      <c r="B299" s="696" t="s">
        <v>557</v>
      </c>
      <c r="C299" s="696">
        <v>89301312</v>
      </c>
      <c r="D299" s="697" t="s">
        <v>2235</v>
      </c>
      <c r="E299" s="698" t="s">
        <v>1602</v>
      </c>
      <c r="F299" s="696" t="s">
        <v>1590</v>
      </c>
      <c r="G299" s="696" t="s">
        <v>1700</v>
      </c>
      <c r="H299" s="696" t="s">
        <v>558</v>
      </c>
      <c r="I299" s="696" t="s">
        <v>1812</v>
      </c>
      <c r="J299" s="696" t="s">
        <v>1813</v>
      </c>
      <c r="K299" s="696" t="s">
        <v>1814</v>
      </c>
      <c r="L299" s="699">
        <v>350</v>
      </c>
      <c r="M299" s="699">
        <v>1050</v>
      </c>
      <c r="N299" s="696">
        <v>3</v>
      </c>
      <c r="O299" s="700">
        <v>3</v>
      </c>
      <c r="P299" s="699">
        <v>1050</v>
      </c>
      <c r="Q299" s="701">
        <v>1</v>
      </c>
      <c r="R299" s="696">
        <v>3</v>
      </c>
      <c r="S299" s="701">
        <v>1</v>
      </c>
      <c r="T299" s="700">
        <v>3</v>
      </c>
      <c r="U299" s="702">
        <v>1</v>
      </c>
    </row>
    <row r="300" spans="1:21" ht="14.4" customHeight="1" x14ac:dyDescent="0.3">
      <c r="A300" s="695">
        <v>31</v>
      </c>
      <c r="B300" s="696" t="s">
        <v>557</v>
      </c>
      <c r="C300" s="696">
        <v>89301312</v>
      </c>
      <c r="D300" s="697" t="s">
        <v>2235</v>
      </c>
      <c r="E300" s="698" t="s">
        <v>1602</v>
      </c>
      <c r="F300" s="696" t="s">
        <v>1590</v>
      </c>
      <c r="G300" s="696" t="s">
        <v>1700</v>
      </c>
      <c r="H300" s="696" t="s">
        <v>558</v>
      </c>
      <c r="I300" s="696" t="s">
        <v>1993</v>
      </c>
      <c r="J300" s="696" t="s">
        <v>1994</v>
      </c>
      <c r="K300" s="696"/>
      <c r="L300" s="699">
        <v>705.67</v>
      </c>
      <c r="M300" s="699">
        <v>705.67</v>
      </c>
      <c r="N300" s="696">
        <v>1</v>
      </c>
      <c r="O300" s="700">
        <v>1</v>
      </c>
      <c r="P300" s="699">
        <v>705.67</v>
      </c>
      <c r="Q300" s="701">
        <v>1</v>
      </c>
      <c r="R300" s="696">
        <v>1</v>
      </c>
      <c r="S300" s="701">
        <v>1</v>
      </c>
      <c r="T300" s="700">
        <v>1</v>
      </c>
      <c r="U300" s="702">
        <v>1</v>
      </c>
    </row>
    <row r="301" spans="1:21" ht="14.4" customHeight="1" x14ac:dyDescent="0.3">
      <c r="A301" s="695">
        <v>31</v>
      </c>
      <c r="B301" s="696" t="s">
        <v>557</v>
      </c>
      <c r="C301" s="696">
        <v>89301312</v>
      </c>
      <c r="D301" s="697" t="s">
        <v>2235</v>
      </c>
      <c r="E301" s="698" t="s">
        <v>1603</v>
      </c>
      <c r="F301" s="696" t="s">
        <v>1588</v>
      </c>
      <c r="G301" s="696" t="s">
        <v>1620</v>
      </c>
      <c r="H301" s="696" t="s">
        <v>914</v>
      </c>
      <c r="I301" s="696" t="s">
        <v>1019</v>
      </c>
      <c r="J301" s="696" t="s">
        <v>1525</v>
      </c>
      <c r="K301" s="696" t="s">
        <v>1526</v>
      </c>
      <c r="L301" s="699">
        <v>333.31</v>
      </c>
      <c r="M301" s="699">
        <v>999.93000000000006</v>
      </c>
      <c r="N301" s="696">
        <v>3</v>
      </c>
      <c r="O301" s="700">
        <v>0.5</v>
      </c>
      <c r="P301" s="699">
        <v>999.93000000000006</v>
      </c>
      <c r="Q301" s="701">
        <v>1</v>
      </c>
      <c r="R301" s="696">
        <v>3</v>
      </c>
      <c r="S301" s="701">
        <v>1</v>
      </c>
      <c r="T301" s="700">
        <v>0.5</v>
      </c>
      <c r="U301" s="702">
        <v>1</v>
      </c>
    </row>
    <row r="302" spans="1:21" ht="14.4" customHeight="1" x14ac:dyDescent="0.3">
      <c r="A302" s="695">
        <v>31</v>
      </c>
      <c r="B302" s="696" t="s">
        <v>557</v>
      </c>
      <c r="C302" s="696">
        <v>89301312</v>
      </c>
      <c r="D302" s="697" t="s">
        <v>2235</v>
      </c>
      <c r="E302" s="698" t="s">
        <v>1603</v>
      </c>
      <c r="F302" s="696" t="s">
        <v>1588</v>
      </c>
      <c r="G302" s="696" t="s">
        <v>1624</v>
      </c>
      <c r="H302" s="696" t="s">
        <v>914</v>
      </c>
      <c r="I302" s="696" t="s">
        <v>1417</v>
      </c>
      <c r="J302" s="696" t="s">
        <v>1418</v>
      </c>
      <c r="K302" s="696" t="s">
        <v>1537</v>
      </c>
      <c r="L302" s="699">
        <v>184.22</v>
      </c>
      <c r="M302" s="699">
        <v>184.22</v>
      </c>
      <c r="N302" s="696">
        <v>1</v>
      </c>
      <c r="O302" s="700">
        <v>1</v>
      </c>
      <c r="P302" s="699">
        <v>184.22</v>
      </c>
      <c r="Q302" s="701">
        <v>1</v>
      </c>
      <c r="R302" s="696">
        <v>1</v>
      </c>
      <c r="S302" s="701">
        <v>1</v>
      </c>
      <c r="T302" s="700">
        <v>1</v>
      </c>
      <c r="U302" s="702">
        <v>1</v>
      </c>
    </row>
    <row r="303" spans="1:21" ht="14.4" customHeight="1" x14ac:dyDescent="0.3">
      <c r="A303" s="695">
        <v>31</v>
      </c>
      <c r="B303" s="696" t="s">
        <v>557</v>
      </c>
      <c r="C303" s="696">
        <v>89301312</v>
      </c>
      <c r="D303" s="697" t="s">
        <v>2235</v>
      </c>
      <c r="E303" s="698" t="s">
        <v>1603</v>
      </c>
      <c r="F303" s="696" t="s">
        <v>1588</v>
      </c>
      <c r="G303" s="696" t="s">
        <v>1627</v>
      </c>
      <c r="H303" s="696" t="s">
        <v>558</v>
      </c>
      <c r="I303" s="696" t="s">
        <v>1995</v>
      </c>
      <c r="J303" s="696" t="s">
        <v>1629</v>
      </c>
      <c r="K303" s="696" t="s">
        <v>1996</v>
      </c>
      <c r="L303" s="699">
        <v>0</v>
      </c>
      <c r="M303" s="699">
        <v>0</v>
      </c>
      <c r="N303" s="696">
        <v>3</v>
      </c>
      <c r="O303" s="700">
        <v>1</v>
      </c>
      <c r="P303" s="699"/>
      <c r="Q303" s="701"/>
      <c r="R303" s="696"/>
      <c r="S303" s="701">
        <v>0</v>
      </c>
      <c r="T303" s="700"/>
      <c r="U303" s="702">
        <v>0</v>
      </c>
    </row>
    <row r="304" spans="1:21" ht="14.4" customHeight="1" x14ac:dyDescent="0.3">
      <c r="A304" s="695">
        <v>31</v>
      </c>
      <c r="B304" s="696" t="s">
        <v>557</v>
      </c>
      <c r="C304" s="696">
        <v>89301312</v>
      </c>
      <c r="D304" s="697" t="s">
        <v>2235</v>
      </c>
      <c r="E304" s="698" t="s">
        <v>1603</v>
      </c>
      <c r="F304" s="696" t="s">
        <v>1588</v>
      </c>
      <c r="G304" s="696" t="s">
        <v>1632</v>
      </c>
      <c r="H304" s="696" t="s">
        <v>558</v>
      </c>
      <c r="I304" s="696" t="s">
        <v>1997</v>
      </c>
      <c r="J304" s="696" t="s">
        <v>1998</v>
      </c>
      <c r="K304" s="696" t="s">
        <v>1999</v>
      </c>
      <c r="L304" s="699">
        <v>0</v>
      </c>
      <c r="M304" s="699">
        <v>0</v>
      </c>
      <c r="N304" s="696">
        <v>1</v>
      </c>
      <c r="O304" s="700">
        <v>1</v>
      </c>
      <c r="P304" s="699"/>
      <c r="Q304" s="701"/>
      <c r="R304" s="696"/>
      <c r="S304" s="701">
        <v>0</v>
      </c>
      <c r="T304" s="700"/>
      <c r="U304" s="702">
        <v>0</v>
      </c>
    </row>
    <row r="305" spans="1:21" ht="14.4" customHeight="1" x14ac:dyDescent="0.3">
      <c r="A305" s="695">
        <v>31</v>
      </c>
      <c r="B305" s="696" t="s">
        <v>557</v>
      </c>
      <c r="C305" s="696">
        <v>89301312</v>
      </c>
      <c r="D305" s="697" t="s">
        <v>2235</v>
      </c>
      <c r="E305" s="698" t="s">
        <v>1603</v>
      </c>
      <c r="F305" s="696" t="s">
        <v>1588</v>
      </c>
      <c r="G305" s="696" t="s">
        <v>1632</v>
      </c>
      <c r="H305" s="696" t="s">
        <v>558</v>
      </c>
      <c r="I305" s="696" t="s">
        <v>2000</v>
      </c>
      <c r="J305" s="696" t="s">
        <v>1998</v>
      </c>
      <c r="K305" s="696" t="s">
        <v>2001</v>
      </c>
      <c r="L305" s="699">
        <v>0</v>
      </c>
      <c r="M305" s="699">
        <v>0</v>
      </c>
      <c r="N305" s="696">
        <v>1</v>
      </c>
      <c r="O305" s="700">
        <v>1</v>
      </c>
      <c r="P305" s="699">
        <v>0</v>
      </c>
      <c r="Q305" s="701"/>
      <c r="R305" s="696">
        <v>1</v>
      </c>
      <c r="S305" s="701">
        <v>1</v>
      </c>
      <c r="T305" s="700">
        <v>1</v>
      </c>
      <c r="U305" s="702">
        <v>1</v>
      </c>
    </row>
    <row r="306" spans="1:21" ht="14.4" customHeight="1" x14ac:dyDescent="0.3">
      <c r="A306" s="695">
        <v>31</v>
      </c>
      <c r="B306" s="696" t="s">
        <v>557</v>
      </c>
      <c r="C306" s="696">
        <v>89301312</v>
      </c>
      <c r="D306" s="697" t="s">
        <v>2235</v>
      </c>
      <c r="E306" s="698" t="s">
        <v>1603</v>
      </c>
      <c r="F306" s="696" t="s">
        <v>1588</v>
      </c>
      <c r="G306" s="696" t="s">
        <v>1857</v>
      </c>
      <c r="H306" s="696" t="s">
        <v>558</v>
      </c>
      <c r="I306" s="696" t="s">
        <v>2002</v>
      </c>
      <c r="J306" s="696" t="s">
        <v>664</v>
      </c>
      <c r="K306" s="696" t="s">
        <v>2003</v>
      </c>
      <c r="L306" s="699">
        <v>0</v>
      </c>
      <c r="M306" s="699">
        <v>0</v>
      </c>
      <c r="N306" s="696">
        <v>1</v>
      </c>
      <c r="O306" s="700">
        <v>1</v>
      </c>
      <c r="P306" s="699">
        <v>0</v>
      </c>
      <c r="Q306" s="701"/>
      <c r="R306" s="696">
        <v>1</v>
      </c>
      <c r="S306" s="701">
        <v>1</v>
      </c>
      <c r="T306" s="700">
        <v>1</v>
      </c>
      <c r="U306" s="702">
        <v>1</v>
      </c>
    </row>
    <row r="307" spans="1:21" ht="14.4" customHeight="1" x14ac:dyDescent="0.3">
      <c r="A307" s="695">
        <v>31</v>
      </c>
      <c r="B307" s="696" t="s">
        <v>557</v>
      </c>
      <c r="C307" s="696">
        <v>89301312</v>
      </c>
      <c r="D307" s="697" t="s">
        <v>2235</v>
      </c>
      <c r="E307" s="698" t="s">
        <v>1603</v>
      </c>
      <c r="F307" s="696" t="s">
        <v>1588</v>
      </c>
      <c r="G307" s="696" t="s">
        <v>1933</v>
      </c>
      <c r="H307" s="696" t="s">
        <v>558</v>
      </c>
      <c r="I307" s="696" t="s">
        <v>1934</v>
      </c>
      <c r="J307" s="696" t="s">
        <v>1935</v>
      </c>
      <c r="K307" s="696" t="s">
        <v>1936</v>
      </c>
      <c r="L307" s="699">
        <v>77.08</v>
      </c>
      <c r="M307" s="699">
        <v>77.08</v>
      </c>
      <c r="N307" s="696">
        <v>1</v>
      </c>
      <c r="O307" s="700">
        <v>1</v>
      </c>
      <c r="P307" s="699"/>
      <c r="Q307" s="701">
        <v>0</v>
      </c>
      <c r="R307" s="696"/>
      <c r="S307" s="701">
        <v>0</v>
      </c>
      <c r="T307" s="700"/>
      <c r="U307" s="702">
        <v>0</v>
      </c>
    </row>
    <row r="308" spans="1:21" ht="14.4" customHeight="1" x14ac:dyDescent="0.3">
      <c r="A308" s="695">
        <v>31</v>
      </c>
      <c r="B308" s="696" t="s">
        <v>557</v>
      </c>
      <c r="C308" s="696">
        <v>89301312</v>
      </c>
      <c r="D308" s="697" t="s">
        <v>2235</v>
      </c>
      <c r="E308" s="698" t="s">
        <v>1603</v>
      </c>
      <c r="F308" s="696" t="s">
        <v>1588</v>
      </c>
      <c r="G308" s="696" t="s">
        <v>1645</v>
      </c>
      <c r="H308" s="696" t="s">
        <v>914</v>
      </c>
      <c r="I308" s="696" t="s">
        <v>1045</v>
      </c>
      <c r="J308" s="696" t="s">
        <v>1046</v>
      </c>
      <c r="K308" s="696" t="s">
        <v>1047</v>
      </c>
      <c r="L308" s="699">
        <v>154.01</v>
      </c>
      <c r="M308" s="699">
        <v>462.03</v>
      </c>
      <c r="N308" s="696">
        <v>3</v>
      </c>
      <c r="O308" s="700">
        <v>0.5</v>
      </c>
      <c r="P308" s="699">
        <v>462.03</v>
      </c>
      <c r="Q308" s="701">
        <v>1</v>
      </c>
      <c r="R308" s="696">
        <v>3</v>
      </c>
      <c r="S308" s="701">
        <v>1</v>
      </c>
      <c r="T308" s="700">
        <v>0.5</v>
      </c>
      <c r="U308" s="702">
        <v>1</v>
      </c>
    </row>
    <row r="309" spans="1:21" ht="14.4" customHeight="1" x14ac:dyDescent="0.3">
      <c r="A309" s="695">
        <v>31</v>
      </c>
      <c r="B309" s="696" t="s">
        <v>557</v>
      </c>
      <c r="C309" s="696">
        <v>89301312</v>
      </c>
      <c r="D309" s="697" t="s">
        <v>2235</v>
      </c>
      <c r="E309" s="698" t="s">
        <v>1603</v>
      </c>
      <c r="F309" s="696" t="s">
        <v>1588</v>
      </c>
      <c r="G309" s="696" t="s">
        <v>2004</v>
      </c>
      <c r="H309" s="696" t="s">
        <v>558</v>
      </c>
      <c r="I309" s="696" t="s">
        <v>2005</v>
      </c>
      <c r="J309" s="696" t="s">
        <v>2006</v>
      </c>
      <c r="K309" s="696" t="s">
        <v>2007</v>
      </c>
      <c r="L309" s="699">
        <v>0</v>
      </c>
      <c r="M309" s="699">
        <v>0</v>
      </c>
      <c r="N309" s="696">
        <v>1</v>
      </c>
      <c r="O309" s="700">
        <v>1</v>
      </c>
      <c r="P309" s="699"/>
      <c r="Q309" s="701"/>
      <c r="R309" s="696"/>
      <c r="S309" s="701">
        <v>0</v>
      </c>
      <c r="T309" s="700"/>
      <c r="U309" s="702">
        <v>0</v>
      </c>
    </row>
    <row r="310" spans="1:21" ht="14.4" customHeight="1" x14ac:dyDescent="0.3">
      <c r="A310" s="695">
        <v>31</v>
      </c>
      <c r="B310" s="696" t="s">
        <v>557</v>
      </c>
      <c r="C310" s="696">
        <v>89301312</v>
      </c>
      <c r="D310" s="697" t="s">
        <v>2235</v>
      </c>
      <c r="E310" s="698" t="s">
        <v>1603</v>
      </c>
      <c r="F310" s="696" t="s">
        <v>1588</v>
      </c>
      <c r="G310" s="696" t="s">
        <v>1614</v>
      </c>
      <c r="H310" s="696" t="s">
        <v>914</v>
      </c>
      <c r="I310" s="696" t="s">
        <v>1367</v>
      </c>
      <c r="J310" s="696" t="s">
        <v>1317</v>
      </c>
      <c r="K310" s="696" t="s">
        <v>1368</v>
      </c>
      <c r="L310" s="699">
        <v>625.29</v>
      </c>
      <c r="M310" s="699">
        <v>15632.249999999998</v>
      </c>
      <c r="N310" s="696">
        <v>25</v>
      </c>
      <c r="O310" s="700">
        <v>10.5</v>
      </c>
      <c r="P310" s="699">
        <v>14381.669999999998</v>
      </c>
      <c r="Q310" s="701">
        <v>0.92</v>
      </c>
      <c r="R310" s="696">
        <v>23</v>
      </c>
      <c r="S310" s="701">
        <v>0.92</v>
      </c>
      <c r="T310" s="700">
        <v>8.5</v>
      </c>
      <c r="U310" s="702">
        <v>0.80952380952380953</v>
      </c>
    </row>
    <row r="311" spans="1:21" ht="14.4" customHeight="1" x14ac:dyDescent="0.3">
      <c r="A311" s="695">
        <v>31</v>
      </c>
      <c r="B311" s="696" t="s">
        <v>557</v>
      </c>
      <c r="C311" s="696">
        <v>89301312</v>
      </c>
      <c r="D311" s="697" t="s">
        <v>2235</v>
      </c>
      <c r="E311" s="698" t="s">
        <v>1603</v>
      </c>
      <c r="F311" s="696" t="s">
        <v>1588</v>
      </c>
      <c r="G311" s="696" t="s">
        <v>1614</v>
      </c>
      <c r="H311" s="696" t="s">
        <v>914</v>
      </c>
      <c r="I311" s="696" t="s">
        <v>1316</v>
      </c>
      <c r="J311" s="696" t="s">
        <v>1317</v>
      </c>
      <c r="K311" s="696" t="s">
        <v>1318</v>
      </c>
      <c r="L311" s="699">
        <v>937.93</v>
      </c>
      <c r="M311" s="699">
        <v>2813.79</v>
      </c>
      <c r="N311" s="696">
        <v>3</v>
      </c>
      <c r="O311" s="700">
        <v>1</v>
      </c>
      <c r="P311" s="699">
        <v>2813.79</v>
      </c>
      <c r="Q311" s="701">
        <v>1</v>
      </c>
      <c r="R311" s="696">
        <v>3</v>
      </c>
      <c r="S311" s="701">
        <v>1</v>
      </c>
      <c r="T311" s="700">
        <v>1</v>
      </c>
      <c r="U311" s="702">
        <v>1</v>
      </c>
    </row>
    <row r="312" spans="1:21" ht="14.4" customHeight="1" x14ac:dyDescent="0.3">
      <c r="A312" s="695">
        <v>31</v>
      </c>
      <c r="B312" s="696" t="s">
        <v>557</v>
      </c>
      <c r="C312" s="696">
        <v>89301312</v>
      </c>
      <c r="D312" s="697" t="s">
        <v>2235</v>
      </c>
      <c r="E312" s="698" t="s">
        <v>1603</v>
      </c>
      <c r="F312" s="696" t="s">
        <v>1588</v>
      </c>
      <c r="G312" s="696" t="s">
        <v>1614</v>
      </c>
      <c r="H312" s="696" t="s">
        <v>914</v>
      </c>
      <c r="I312" s="696" t="s">
        <v>1728</v>
      </c>
      <c r="J312" s="696" t="s">
        <v>1317</v>
      </c>
      <c r="K312" s="696" t="s">
        <v>1729</v>
      </c>
      <c r="L312" s="699">
        <v>1166.47</v>
      </c>
      <c r="M312" s="699">
        <v>2332.94</v>
      </c>
      <c r="N312" s="696">
        <v>2</v>
      </c>
      <c r="O312" s="700">
        <v>1</v>
      </c>
      <c r="P312" s="699">
        <v>2332.94</v>
      </c>
      <c r="Q312" s="701">
        <v>1</v>
      </c>
      <c r="R312" s="696">
        <v>2</v>
      </c>
      <c r="S312" s="701">
        <v>1</v>
      </c>
      <c r="T312" s="700">
        <v>1</v>
      </c>
      <c r="U312" s="702">
        <v>1</v>
      </c>
    </row>
    <row r="313" spans="1:21" ht="14.4" customHeight="1" x14ac:dyDescent="0.3">
      <c r="A313" s="695">
        <v>31</v>
      </c>
      <c r="B313" s="696" t="s">
        <v>557</v>
      </c>
      <c r="C313" s="696">
        <v>89301312</v>
      </c>
      <c r="D313" s="697" t="s">
        <v>2235</v>
      </c>
      <c r="E313" s="698" t="s">
        <v>1603</v>
      </c>
      <c r="F313" s="696" t="s">
        <v>1588</v>
      </c>
      <c r="G313" s="696" t="s">
        <v>1651</v>
      </c>
      <c r="H313" s="696" t="s">
        <v>914</v>
      </c>
      <c r="I313" s="696" t="s">
        <v>944</v>
      </c>
      <c r="J313" s="696" t="s">
        <v>917</v>
      </c>
      <c r="K313" s="696" t="s">
        <v>1542</v>
      </c>
      <c r="L313" s="699">
        <v>48.31</v>
      </c>
      <c r="M313" s="699">
        <v>48.31</v>
      </c>
      <c r="N313" s="696">
        <v>1</v>
      </c>
      <c r="O313" s="700">
        <v>1</v>
      </c>
      <c r="P313" s="699">
        <v>48.31</v>
      </c>
      <c r="Q313" s="701">
        <v>1</v>
      </c>
      <c r="R313" s="696">
        <v>1</v>
      </c>
      <c r="S313" s="701">
        <v>1</v>
      </c>
      <c r="T313" s="700">
        <v>1</v>
      </c>
      <c r="U313" s="702">
        <v>1</v>
      </c>
    </row>
    <row r="314" spans="1:21" ht="14.4" customHeight="1" x14ac:dyDescent="0.3">
      <c r="A314" s="695">
        <v>31</v>
      </c>
      <c r="B314" s="696" t="s">
        <v>557</v>
      </c>
      <c r="C314" s="696">
        <v>89301312</v>
      </c>
      <c r="D314" s="697" t="s">
        <v>2235</v>
      </c>
      <c r="E314" s="698" t="s">
        <v>1603</v>
      </c>
      <c r="F314" s="696" t="s">
        <v>1588</v>
      </c>
      <c r="G314" s="696" t="s">
        <v>1651</v>
      </c>
      <c r="H314" s="696" t="s">
        <v>914</v>
      </c>
      <c r="I314" s="696" t="s">
        <v>916</v>
      </c>
      <c r="J314" s="696" t="s">
        <v>917</v>
      </c>
      <c r="K314" s="696" t="s">
        <v>1543</v>
      </c>
      <c r="L314" s="699">
        <v>96.63</v>
      </c>
      <c r="M314" s="699">
        <v>96.63</v>
      </c>
      <c r="N314" s="696">
        <v>1</v>
      </c>
      <c r="O314" s="700">
        <v>1</v>
      </c>
      <c r="P314" s="699">
        <v>96.63</v>
      </c>
      <c r="Q314" s="701">
        <v>1</v>
      </c>
      <c r="R314" s="696">
        <v>1</v>
      </c>
      <c r="S314" s="701">
        <v>1</v>
      </c>
      <c r="T314" s="700">
        <v>1</v>
      </c>
      <c r="U314" s="702">
        <v>1</v>
      </c>
    </row>
    <row r="315" spans="1:21" ht="14.4" customHeight="1" x14ac:dyDescent="0.3">
      <c r="A315" s="695">
        <v>31</v>
      </c>
      <c r="B315" s="696" t="s">
        <v>557</v>
      </c>
      <c r="C315" s="696">
        <v>89301312</v>
      </c>
      <c r="D315" s="697" t="s">
        <v>2235</v>
      </c>
      <c r="E315" s="698" t="s">
        <v>1603</v>
      </c>
      <c r="F315" s="696" t="s">
        <v>1588</v>
      </c>
      <c r="G315" s="696" t="s">
        <v>1651</v>
      </c>
      <c r="H315" s="696" t="s">
        <v>558</v>
      </c>
      <c r="I315" s="696" t="s">
        <v>1948</v>
      </c>
      <c r="J315" s="696" t="s">
        <v>1949</v>
      </c>
      <c r="K315" s="696" t="s">
        <v>1950</v>
      </c>
      <c r="L315" s="699">
        <v>96.63</v>
      </c>
      <c r="M315" s="699">
        <v>193.26</v>
      </c>
      <c r="N315" s="696">
        <v>2</v>
      </c>
      <c r="O315" s="700">
        <v>2</v>
      </c>
      <c r="P315" s="699">
        <v>193.26</v>
      </c>
      <c r="Q315" s="701">
        <v>1</v>
      </c>
      <c r="R315" s="696">
        <v>2</v>
      </c>
      <c r="S315" s="701">
        <v>1</v>
      </c>
      <c r="T315" s="700">
        <v>2</v>
      </c>
      <c r="U315" s="702">
        <v>1</v>
      </c>
    </row>
    <row r="316" spans="1:21" ht="14.4" customHeight="1" x14ac:dyDescent="0.3">
      <c r="A316" s="695">
        <v>31</v>
      </c>
      <c r="B316" s="696" t="s">
        <v>557</v>
      </c>
      <c r="C316" s="696">
        <v>89301312</v>
      </c>
      <c r="D316" s="697" t="s">
        <v>2235</v>
      </c>
      <c r="E316" s="698" t="s">
        <v>1603</v>
      </c>
      <c r="F316" s="696" t="s">
        <v>1588</v>
      </c>
      <c r="G316" s="696" t="s">
        <v>1671</v>
      </c>
      <c r="H316" s="696" t="s">
        <v>558</v>
      </c>
      <c r="I316" s="696" t="s">
        <v>1672</v>
      </c>
      <c r="J316" s="696" t="s">
        <v>1673</v>
      </c>
      <c r="K316" s="696" t="s">
        <v>1674</v>
      </c>
      <c r="L316" s="699">
        <v>23.46</v>
      </c>
      <c r="M316" s="699">
        <v>23.46</v>
      </c>
      <c r="N316" s="696">
        <v>1</v>
      </c>
      <c r="O316" s="700">
        <v>1</v>
      </c>
      <c r="P316" s="699">
        <v>23.46</v>
      </c>
      <c r="Q316" s="701">
        <v>1</v>
      </c>
      <c r="R316" s="696">
        <v>1</v>
      </c>
      <c r="S316" s="701">
        <v>1</v>
      </c>
      <c r="T316" s="700">
        <v>1</v>
      </c>
      <c r="U316" s="702">
        <v>1</v>
      </c>
    </row>
    <row r="317" spans="1:21" ht="14.4" customHeight="1" x14ac:dyDescent="0.3">
      <c r="A317" s="695">
        <v>31</v>
      </c>
      <c r="B317" s="696" t="s">
        <v>557</v>
      </c>
      <c r="C317" s="696">
        <v>89301312</v>
      </c>
      <c r="D317" s="697" t="s">
        <v>2235</v>
      </c>
      <c r="E317" s="698" t="s">
        <v>1603</v>
      </c>
      <c r="F317" s="696" t="s">
        <v>1588</v>
      </c>
      <c r="G317" s="696" t="s">
        <v>1970</v>
      </c>
      <c r="H317" s="696" t="s">
        <v>558</v>
      </c>
      <c r="I317" s="696" t="s">
        <v>1971</v>
      </c>
      <c r="J317" s="696" t="s">
        <v>1972</v>
      </c>
      <c r="K317" s="696" t="s">
        <v>1973</v>
      </c>
      <c r="L317" s="699">
        <v>472.71</v>
      </c>
      <c r="M317" s="699">
        <v>3308.97</v>
      </c>
      <c r="N317" s="696">
        <v>7</v>
      </c>
      <c r="O317" s="700">
        <v>3.5</v>
      </c>
      <c r="P317" s="699">
        <v>2363.5499999999997</v>
      </c>
      <c r="Q317" s="701">
        <v>0.7142857142857143</v>
      </c>
      <c r="R317" s="696">
        <v>5</v>
      </c>
      <c r="S317" s="701">
        <v>0.7142857142857143</v>
      </c>
      <c r="T317" s="700">
        <v>2.5</v>
      </c>
      <c r="U317" s="702">
        <v>0.7142857142857143</v>
      </c>
    </row>
    <row r="318" spans="1:21" ht="14.4" customHeight="1" x14ac:dyDescent="0.3">
      <c r="A318" s="695">
        <v>31</v>
      </c>
      <c r="B318" s="696" t="s">
        <v>557</v>
      </c>
      <c r="C318" s="696">
        <v>89301312</v>
      </c>
      <c r="D318" s="697" t="s">
        <v>2235</v>
      </c>
      <c r="E318" s="698" t="s">
        <v>1603</v>
      </c>
      <c r="F318" s="696" t="s">
        <v>1588</v>
      </c>
      <c r="G318" s="696" t="s">
        <v>1615</v>
      </c>
      <c r="H318" s="696" t="s">
        <v>558</v>
      </c>
      <c r="I318" s="696" t="s">
        <v>988</v>
      </c>
      <c r="J318" s="696" t="s">
        <v>989</v>
      </c>
      <c r="K318" s="696" t="s">
        <v>1616</v>
      </c>
      <c r="L318" s="699">
        <v>194.73</v>
      </c>
      <c r="M318" s="699">
        <v>973.64999999999986</v>
      </c>
      <c r="N318" s="696">
        <v>5</v>
      </c>
      <c r="O318" s="700">
        <v>1.5</v>
      </c>
      <c r="P318" s="699">
        <v>973.64999999999986</v>
      </c>
      <c r="Q318" s="701">
        <v>1</v>
      </c>
      <c r="R318" s="696">
        <v>5</v>
      </c>
      <c r="S318" s="701">
        <v>1</v>
      </c>
      <c r="T318" s="700">
        <v>1.5</v>
      </c>
      <c r="U318" s="702">
        <v>1</v>
      </c>
    </row>
    <row r="319" spans="1:21" ht="14.4" customHeight="1" x14ac:dyDescent="0.3">
      <c r="A319" s="695">
        <v>31</v>
      </c>
      <c r="B319" s="696" t="s">
        <v>557</v>
      </c>
      <c r="C319" s="696">
        <v>89301312</v>
      </c>
      <c r="D319" s="697" t="s">
        <v>2235</v>
      </c>
      <c r="E319" s="698" t="s">
        <v>1603</v>
      </c>
      <c r="F319" s="696" t="s">
        <v>1588</v>
      </c>
      <c r="G319" s="696" t="s">
        <v>2008</v>
      </c>
      <c r="H319" s="696" t="s">
        <v>558</v>
      </c>
      <c r="I319" s="696" t="s">
        <v>2009</v>
      </c>
      <c r="J319" s="696" t="s">
        <v>2010</v>
      </c>
      <c r="K319" s="696" t="s">
        <v>2011</v>
      </c>
      <c r="L319" s="699">
        <v>0</v>
      </c>
      <c r="M319" s="699">
        <v>0</v>
      </c>
      <c r="N319" s="696">
        <v>1</v>
      </c>
      <c r="O319" s="700">
        <v>0.5</v>
      </c>
      <c r="P319" s="699">
        <v>0</v>
      </c>
      <c r="Q319" s="701"/>
      <c r="R319" s="696">
        <v>1</v>
      </c>
      <c r="S319" s="701">
        <v>1</v>
      </c>
      <c r="T319" s="700">
        <v>0.5</v>
      </c>
      <c r="U319" s="702">
        <v>1</v>
      </c>
    </row>
    <row r="320" spans="1:21" ht="14.4" customHeight="1" x14ac:dyDescent="0.3">
      <c r="A320" s="695">
        <v>31</v>
      </c>
      <c r="B320" s="696" t="s">
        <v>557</v>
      </c>
      <c r="C320" s="696">
        <v>89301312</v>
      </c>
      <c r="D320" s="697" t="s">
        <v>2235</v>
      </c>
      <c r="E320" s="698" t="s">
        <v>1603</v>
      </c>
      <c r="F320" s="696" t="s">
        <v>1590</v>
      </c>
      <c r="G320" s="696" t="s">
        <v>1689</v>
      </c>
      <c r="H320" s="696" t="s">
        <v>558</v>
      </c>
      <c r="I320" s="696" t="s">
        <v>1690</v>
      </c>
      <c r="J320" s="696" t="s">
        <v>1691</v>
      </c>
      <c r="K320" s="696" t="s">
        <v>1692</v>
      </c>
      <c r="L320" s="699">
        <v>35.75</v>
      </c>
      <c r="M320" s="699">
        <v>71.5</v>
      </c>
      <c r="N320" s="696">
        <v>2</v>
      </c>
      <c r="O320" s="700">
        <v>2</v>
      </c>
      <c r="P320" s="699">
        <v>71.5</v>
      </c>
      <c r="Q320" s="701">
        <v>1</v>
      </c>
      <c r="R320" s="696">
        <v>2</v>
      </c>
      <c r="S320" s="701">
        <v>1</v>
      </c>
      <c r="T320" s="700">
        <v>2</v>
      </c>
      <c r="U320" s="702">
        <v>1</v>
      </c>
    </row>
    <row r="321" spans="1:21" ht="14.4" customHeight="1" x14ac:dyDescent="0.3">
      <c r="A321" s="695">
        <v>31</v>
      </c>
      <c r="B321" s="696" t="s">
        <v>557</v>
      </c>
      <c r="C321" s="696">
        <v>89301312</v>
      </c>
      <c r="D321" s="697" t="s">
        <v>2235</v>
      </c>
      <c r="E321" s="698" t="s">
        <v>1603</v>
      </c>
      <c r="F321" s="696" t="s">
        <v>1590</v>
      </c>
      <c r="G321" s="696" t="s">
        <v>1689</v>
      </c>
      <c r="H321" s="696" t="s">
        <v>558</v>
      </c>
      <c r="I321" s="696" t="s">
        <v>1736</v>
      </c>
      <c r="J321" s="696" t="s">
        <v>1691</v>
      </c>
      <c r="K321" s="696" t="s">
        <v>1737</v>
      </c>
      <c r="L321" s="699">
        <v>47.57</v>
      </c>
      <c r="M321" s="699">
        <v>95.14</v>
      </c>
      <c r="N321" s="696">
        <v>2</v>
      </c>
      <c r="O321" s="700">
        <v>2</v>
      </c>
      <c r="P321" s="699">
        <v>95.14</v>
      </c>
      <c r="Q321" s="701">
        <v>1</v>
      </c>
      <c r="R321" s="696">
        <v>2</v>
      </c>
      <c r="S321" s="701">
        <v>1</v>
      </c>
      <c r="T321" s="700">
        <v>2</v>
      </c>
      <c r="U321" s="702">
        <v>1</v>
      </c>
    </row>
    <row r="322" spans="1:21" ht="14.4" customHeight="1" x14ac:dyDescent="0.3">
      <c r="A322" s="695">
        <v>31</v>
      </c>
      <c r="B322" s="696" t="s">
        <v>557</v>
      </c>
      <c r="C322" s="696">
        <v>89301312</v>
      </c>
      <c r="D322" s="697" t="s">
        <v>2235</v>
      </c>
      <c r="E322" s="698" t="s">
        <v>1603</v>
      </c>
      <c r="F322" s="696" t="s">
        <v>1590</v>
      </c>
      <c r="G322" s="696" t="s">
        <v>1689</v>
      </c>
      <c r="H322" s="696" t="s">
        <v>558</v>
      </c>
      <c r="I322" s="696" t="s">
        <v>2012</v>
      </c>
      <c r="J322" s="696" t="s">
        <v>1883</v>
      </c>
      <c r="K322" s="696" t="s">
        <v>2013</v>
      </c>
      <c r="L322" s="699">
        <v>30.99</v>
      </c>
      <c r="M322" s="699">
        <v>30.99</v>
      </c>
      <c r="N322" s="696">
        <v>1</v>
      </c>
      <c r="O322" s="700">
        <v>1</v>
      </c>
      <c r="P322" s="699">
        <v>30.99</v>
      </c>
      <c r="Q322" s="701">
        <v>1</v>
      </c>
      <c r="R322" s="696">
        <v>1</v>
      </c>
      <c r="S322" s="701">
        <v>1</v>
      </c>
      <c r="T322" s="700">
        <v>1</v>
      </c>
      <c r="U322" s="702">
        <v>1</v>
      </c>
    </row>
    <row r="323" spans="1:21" ht="14.4" customHeight="1" x14ac:dyDescent="0.3">
      <c r="A323" s="695">
        <v>31</v>
      </c>
      <c r="B323" s="696" t="s">
        <v>557</v>
      </c>
      <c r="C323" s="696">
        <v>89301312</v>
      </c>
      <c r="D323" s="697" t="s">
        <v>2235</v>
      </c>
      <c r="E323" s="698" t="s">
        <v>1603</v>
      </c>
      <c r="F323" s="696" t="s">
        <v>1590</v>
      </c>
      <c r="G323" s="696" t="s">
        <v>1700</v>
      </c>
      <c r="H323" s="696" t="s">
        <v>558</v>
      </c>
      <c r="I323" s="696" t="s">
        <v>1783</v>
      </c>
      <c r="J323" s="696" t="s">
        <v>1784</v>
      </c>
      <c r="K323" s="696" t="s">
        <v>1785</v>
      </c>
      <c r="L323" s="699">
        <v>2296.87</v>
      </c>
      <c r="M323" s="699">
        <v>4593.74</v>
      </c>
      <c r="N323" s="696">
        <v>2</v>
      </c>
      <c r="O323" s="700">
        <v>2</v>
      </c>
      <c r="P323" s="699">
        <v>4593.74</v>
      </c>
      <c r="Q323" s="701">
        <v>1</v>
      </c>
      <c r="R323" s="696">
        <v>2</v>
      </c>
      <c r="S323" s="701">
        <v>1</v>
      </c>
      <c r="T323" s="700">
        <v>2</v>
      </c>
      <c r="U323" s="702">
        <v>1</v>
      </c>
    </row>
    <row r="324" spans="1:21" ht="14.4" customHeight="1" x14ac:dyDescent="0.3">
      <c r="A324" s="695">
        <v>31</v>
      </c>
      <c r="B324" s="696" t="s">
        <v>557</v>
      </c>
      <c r="C324" s="696">
        <v>89301312</v>
      </c>
      <c r="D324" s="697" t="s">
        <v>2235</v>
      </c>
      <c r="E324" s="698" t="s">
        <v>1603</v>
      </c>
      <c r="F324" s="696" t="s">
        <v>1590</v>
      </c>
      <c r="G324" s="696" t="s">
        <v>1700</v>
      </c>
      <c r="H324" s="696" t="s">
        <v>558</v>
      </c>
      <c r="I324" s="696" t="s">
        <v>1786</v>
      </c>
      <c r="J324" s="696" t="s">
        <v>1787</v>
      </c>
      <c r="K324" s="696" t="s">
        <v>1788</v>
      </c>
      <c r="L324" s="699">
        <v>320.25</v>
      </c>
      <c r="M324" s="699">
        <v>320.25</v>
      </c>
      <c r="N324" s="696">
        <v>1</v>
      </c>
      <c r="O324" s="700">
        <v>1</v>
      </c>
      <c r="P324" s="699">
        <v>320.25</v>
      </c>
      <c r="Q324" s="701">
        <v>1</v>
      </c>
      <c r="R324" s="696">
        <v>1</v>
      </c>
      <c r="S324" s="701">
        <v>1</v>
      </c>
      <c r="T324" s="700">
        <v>1</v>
      </c>
      <c r="U324" s="702">
        <v>1</v>
      </c>
    </row>
    <row r="325" spans="1:21" ht="14.4" customHeight="1" x14ac:dyDescent="0.3">
      <c r="A325" s="695">
        <v>31</v>
      </c>
      <c r="B325" s="696" t="s">
        <v>557</v>
      </c>
      <c r="C325" s="696">
        <v>89301312</v>
      </c>
      <c r="D325" s="697" t="s">
        <v>2235</v>
      </c>
      <c r="E325" s="698" t="s">
        <v>1603</v>
      </c>
      <c r="F325" s="696" t="s">
        <v>1590</v>
      </c>
      <c r="G325" s="696" t="s">
        <v>1700</v>
      </c>
      <c r="H325" s="696" t="s">
        <v>558</v>
      </c>
      <c r="I325" s="696" t="s">
        <v>1905</v>
      </c>
      <c r="J325" s="696" t="s">
        <v>1906</v>
      </c>
      <c r="K325" s="696" t="s">
        <v>1907</v>
      </c>
      <c r="L325" s="699">
        <v>245.43</v>
      </c>
      <c r="M325" s="699">
        <v>245.43</v>
      </c>
      <c r="N325" s="696">
        <v>1</v>
      </c>
      <c r="O325" s="700">
        <v>1</v>
      </c>
      <c r="P325" s="699">
        <v>245.43</v>
      </c>
      <c r="Q325" s="701">
        <v>1</v>
      </c>
      <c r="R325" s="696">
        <v>1</v>
      </c>
      <c r="S325" s="701">
        <v>1</v>
      </c>
      <c r="T325" s="700">
        <v>1</v>
      </c>
      <c r="U325" s="702">
        <v>1</v>
      </c>
    </row>
    <row r="326" spans="1:21" ht="14.4" customHeight="1" x14ac:dyDescent="0.3">
      <c r="A326" s="695">
        <v>31</v>
      </c>
      <c r="B326" s="696" t="s">
        <v>557</v>
      </c>
      <c r="C326" s="696">
        <v>89301312</v>
      </c>
      <c r="D326" s="697" t="s">
        <v>2235</v>
      </c>
      <c r="E326" s="698" t="s">
        <v>1603</v>
      </c>
      <c r="F326" s="696" t="s">
        <v>1590</v>
      </c>
      <c r="G326" s="696" t="s">
        <v>1700</v>
      </c>
      <c r="H326" s="696" t="s">
        <v>558</v>
      </c>
      <c r="I326" s="696" t="s">
        <v>1812</v>
      </c>
      <c r="J326" s="696" t="s">
        <v>1813</v>
      </c>
      <c r="K326" s="696" t="s">
        <v>1814</v>
      </c>
      <c r="L326" s="699">
        <v>350</v>
      </c>
      <c r="M326" s="699">
        <v>1050</v>
      </c>
      <c r="N326" s="696">
        <v>3</v>
      </c>
      <c r="O326" s="700">
        <v>3</v>
      </c>
      <c r="P326" s="699">
        <v>1050</v>
      </c>
      <c r="Q326" s="701">
        <v>1</v>
      </c>
      <c r="R326" s="696">
        <v>3</v>
      </c>
      <c r="S326" s="701">
        <v>1</v>
      </c>
      <c r="T326" s="700">
        <v>3</v>
      </c>
      <c r="U326" s="702">
        <v>1</v>
      </c>
    </row>
    <row r="327" spans="1:21" ht="14.4" customHeight="1" x14ac:dyDescent="0.3">
      <c r="A327" s="695">
        <v>31</v>
      </c>
      <c r="B327" s="696" t="s">
        <v>557</v>
      </c>
      <c r="C327" s="696">
        <v>89301312</v>
      </c>
      <c r="D327" s="697" t="s">
        <v>2235</v>
      </c>
      <c r="E327" s="698" t="s">
        <v>1604</v>
      </c>
      <c r="F327" s="696" t="s">
        <v>1588</v>
      </c>
      <c r="G327" s="696" t="s">
        <v>1620</v>
      </c>
      <c r="H327" s="696" t="s">
        <v>914</v>
      </c>
      <c r="I327" s="696" t="s">
        <v>1041</v>
      </c>
      <c r="J327" s="696" t="s">
        <v>1529</v>
      </c>
      <c r="K327" s="696" t="s">
        <v>1530</v>
      </c>
      <c r="L327" s="699">
        <v>333.31</v>
      </c>
      <c r="M327" s="699">
        <v>333.31</v>
      </c>
      <c r="N327" s="696">
        <v>1</v>
      </c>
      <c r="O327" s="700">
        <v>1</v>
      </c>
      <c r="P327" s="699">
        <v>333.31</v>
      </c>
      <c r="Q327" s="701">
        <v>1</v>
      </c>
      <c r="R327" s="696">
        <v>1</v>
      </c>
      <c r="S327" s="701">
        <v>1</v>
      </c>
      <c r="T327" s="700">
        <v>1</v>
      </c>
      <c r="U327" s="702">
        <v>1</v>
      </c>
    </row>
    <row r="328" spans="1:21" ht="14.4" customHeight="1" x14ac:dyDescent="0.3">
      <c r="A328" s="695">
        <v>31</v>
      </c>
      <c r="B328" s="696" t="s">
        <v>557</v>
      </c>
      <c r="C328" s="696">
        <v>89301312</v>
      </c>
      <c r="D328" s="697" t="s">
        <v>2235</v>
      </c>
      <c r="E328" s="698" t="s">
        <v>1604</v>
      </c>
      <c r="F328" s="696" t="s">
        <v>1588</v>
      </c>
      <c r="G328" s="696" t="s">
        <v>1624</v>
      </c>
      <c r="H328" s="696" t="s">
        <v>914</v>
      </c>
      <c r="I328" s="696" t="s">
        <v>1417</v>
      </c>
      <c r="J328" s="696" t="s">
        <v>1418</v>
      </c>
      <c r="K328" s="696" t="s">
        <v>1537</v>
      </c>
      <c r="L328" s="699">
        <v>184.22</v>
      </c>
      <c r="M328" s="699">
        <v>184.22</v>
      </c>
      <c r="N328" s="696">
        <v>1</v>
      </c>
      <c r="O328" s="700">
        <v>1</v>
      </c>
      <c r="P328" s="699">
        <v>184.22</v>
      </c>
      <c r="Q328" s="701">
        <v>1</v>
      </c>
      <c r="R328" s="696">
        <v>1</v>
      </c>
      <c r="S328" s="701">
        <v>1</v>
      </c>
      <c r="T328" s="700">
        <v>1</v>
      </c>
      <c r="U328" s="702">
        <v>1</v>
      </c>
    </row>
    <row r="329" spans="1:21" ht="14.4" customHeight="1" x14ac:dyDescent="0.3">
      <c r="A329" s="695">
        <v>31</v>
      </c>
      <c r="B329" s="696" t="s">
        <v>557</v>
      </c>
      <c r="C329" s="696">
        <v>89301312</v>
      </c>
      <c r="D329" s="697" t="s">
        <v>2235</v>
      </c>
      <c r="E329" s="698" t="s">
        <v>1604</v>
      </c>
      <c r="F329" s="696" t="s">
        <v>1588</v>
      </c>
      <c r="G329" s="696" t="s">
        <v>1627</v>
      </c>
      <c r="H329" s="696" t="s">
        <v>914</v>
      </c>
      <c r="I329" s="696" t="s">
        <v>1030</v>
      </c>
      <c r="J329" s="696" t="s">
        <v>1031</v>
      </c>
      <c r="K329" s="696" t="s">
        <v>1537</v>
      </c>
      <c r="L329" s="699">
        <v>69.86</v>
      </c>
      <c r="M329" s="699">
        <v>69.86</v>
      </c>
      <c r="N329" s="696">
        <v>1</v>
      </c>
      <c r="O329" s="700">
        <v>1</v>
      </c>
      <c r="P329" s="699">
        <v>69.86</v>
      </c>
      <c r="Q329" s="701">
        <v>1</v>
      </c>
      <c r="R329" s="696">
        <v>1</v>
      </c>
      <c r="S329" s="701">
        <v>1</v>
      </c>
      <c r="T329" s="700">
        <v>1</v>
      </c>
      <c r="U329" s="702">
        <v>1</v>
      </c>
    </row>
    <row r="330" spans="1:21" ht="14.4" customHeight="1" x14ac:dyDescent="0.3">
      <c r="A330" s="695">
        <v>31</v>
      </c>
      <c r="B330" s="696" t="s">
        <v>557</v>
      </c>
      <c r="C330" s="696">
        <v>89301312</v>
      </c>
      <c r="D330" s="697" t="s">
        <v>2235</v>
      </c>
      <c r="E330" s="698" t="s">
        <v>1604</v>
      </c>
      <c r="F330" s="696" t="s">
        <v>1588</v>
      </c>
      <c r="G330" s="696" t="s">
        <v>1632</v>
      </c>
      <c r="H330" s="696" t="s">
        <v>558</v>
      </c>
      <c r="I330" s="696" t="s">
        <v>1633</v>
      </c>
      <c r="J330" s="696" t="s">
        <v>1634</v>
      </c>
      <c r="K330" s="696" t="s">
        <v>1635</v>
      </c>
      <c r="L330" s="699">
        <v>84.78</v>
      </c>
      <c r="M330" s="699">
        <v>84.78</v>
      </c>
      <c r="N330" s="696">
        <v>1</v>
      </c>
      <c r="O330" s="700">
        <v>1</v>
      </c>
      <c r="P330" s="699"/>
      <c r="Q330" s="701">
        <v>0</v>
      </c>
      <c r="R330" s="696"/>
      <c r="S330" s="701">
        <v>0</v>
      </c>
      <c r="T330" s="700"/>
      <c r="U330" s="702">
        <v>0</v>
      </c>
    </row>
    <row r="331" spans="1:21" ht="14.4" customHeight="1" x14ac:dyDescent="0.3">
      <c r="A331" s="695">
        <v>31</v>
      </c>
      <c r="B331" s="696" t="s">
        <v>557</v>
      </c>
      <c r="C331" s="696">
        <v>89301312</v>
      </c>
      <c r="D331" s="697" t="s">
        <v>2235</v>
      </c>
      <c r="E331" s="698" t="s">
        <v>1604</v>
      </c>
      <c r="F331" s="696" t="s">
        <v>1588</v>
      </c>
      <c r="G331" s="696" t="s">
        <v>2014</v>
      </c>
      <c r="H331" s="696" t="s">
        <v>558</v>
      </c>
      <c r="I331" s="696" t="s">
        <v>2015</v>
      </c>
      <c r="J331" s="696" t="s">
        <v>2016</v>
      </c>
      <c r="K331" s="696" t="s">
        <v>2017</v>
      </c>
      <c r="L331" s="699">
        <v>86.16</v>
      </c>
      <c r="M331" s="699">
        <v>86.16</v>
      </c>
      <c r="N331" s="696">
        <v>1</v>
      </c>
      <c r="O331" s="700">
        <v>0.5</v>
      </c>
      <c r="P331" s="699">
        <v>86.16</v>
      </c>
      <c r="Q331" s="701">
        <v>1</v>
      </c>
      <c r="R331" s="696">
        <v>1</v>
      </c>
      <c r="S331" s="701">
        <v>1</v>
      </c>
      <c r="T331" s="700">
        <v>0.5</v>
      </c>
      <c r="U331" s="702">
        <v>1</v>
      </c>
    </row>
    <row r="332" spans="1:21" ht="14.4" customHeight="1" x14ac:dyDescent="0.3">
      <c r="A332" s="695">
        <v>31</v>
      </c>
      <c r="B332" s="696" t="s">
        <v>557</v>
      </c>
      <c r="C332" s="696">
        <v>89301312</v>
      </c>
      <c r="D332" s="697" t="s">
        <v>2235</v>
      </c>
      <c r="E332" s="698" t="s">
        <v>1604</v>
      </c>
      <c r="F332" s="696" t="s">
        <v>1588</v>
      </c>
      <c r="G332" s="696" t="s">
        <v>2014</v>
      </c>
      <c r="H332" s="696" t="s">
        <v>558</v>
      </c>
      <c r="I332" s="696" t="s">
        <v>2018</v>
      </c>
      <c r="J332" s="696" t="s">
        <v>2019</v>
      </c>
      <c r="K332" s="696" t="s">
        <v>2020</v>
      </c>
      <c r="L332" s="699">
        <v>86.16</v>
      </c>
      <c r="M332" s="699">
        <v>86.16</v>
      </c>
      <c r="N332" s="696">
        <v>1</v>
      </c>
      <c r="O332" s="700">
        <v>0.5</v>
      </c>
      <c r="P332" s="699">
        <v>86.16</v>
      </c>
      <c r="Q332" s="701">
        <v>1</v>
      </c>
      <c r="R332" s="696">
        <v>1</v>
      </c>
      <c r="S332" s="701">
        <v>1</v>
      </c>
      <c r="T332" s="700">
        <v>0.5</v>
      </c>
      <c r="U332" s="702">
        <v>1</v>
      </c>
    </row>
    <row r="333" spans="1:21" ht="14.4" customHeight="1" x14ac:dyDescent="0.3">
      <c r="A333" s="695">
        <v>31</v>
      </c>
      <c r="B333" s="696" t="s">
        <v>557</v>
      </c>
      <c r="C333" s="696">
        <v>89301312</v>
      </c>
      <c r="D333" s="697" t="s">
        <v>2235</v>
      </c>
      <c r="E333" s="698" t="s">
        <v>1604</v>
      </c>
      <c r="F333" s="696" t="s">
        <v>1588</v>
      </c>
      <c r="G333" s="696" t="s">
        <v>1725</v>
      </c>
      <c r="H333" s="696" t="s">
        <v>558</v>
      </c>
      <c r="I333" s="696" t="s">
        <v>715</v>
      </c>
      <c r="J333" s="696" t="s">
        <v>716</v>
      </c>
      <c r="K333" s="696" t="s">
        <v>1753</v>
      </c>
      <c r="L333" s="699">
        <v>0</v>
      </c>
      <c r="M333" s="699">
        <v>0</v>
      </c>
      <c r="N333" s="696">
        <v>1</v>
      </c>
      <c r="O333" s="700">
        <v>0.5</v>
      </c>
      <c r="P333" s="699">
        <v>0</v>
      </c>
      <c r="Q333" s="701"/>
      <c r="R333" s="696">
        <v>1</v>
      </c>
      <c r="S333" s="701">
        <v>1</v>
      </c>
      <c r="T333" s="700">
        <v>0.5</v>
      </c>
      <c r="U333" s="702">
        <v>1</v>
      </c>
    </row>
    <row r="334" spans="1:21" ht="14.4" customHeight="1" x14ac:dyDescent="0.3">
      <c r="A334" s="695">
        <v>31</v>
      </c>
      <c r="B334" s="696" t="s">
        <v>557</v>
      </c>
      <c r="C334" s="696">
        <v>89301312</v>
      </c>
      <c r="D334" s="697" t="s">
        <v>2235</v>
      </c>
      <c r="E334" s="698" t="s">
        <v>1604</v>
      </c>
      <c r="F334" s="696" t="s">
        <v>1588</v>
      </c>
      <c r="G334" s="696" t="s">
        <v>1645</v>
      </c>
      <c r="H334" s="696" t="s">
        <v>914</v>
      </c>
      <c r="I334" s="696" t="s">
        <v>1045</v>
      </c>
      <c r="J334" s="696" t="s">
        <v>1046</v>
      </c>
      <c r="K334" s="696" t="s">
        <v>1047</v>
      </c>
      <c r="L334" s="699">
        <v>154.01</v>
      </c>
      <c r="M334" s="699">
        <v>1540.1</v>
      </c>
      <c r="N334" s="696">
        <v>10</v>
      </c>
      <c r="O334" s="700">
        <v>4.5</v>
      </c>
      <c r="P334" s="699">
        <v>1540.1</v>
      </c>
      <c r="Q334" s="701">
        <v>1</v>
      </c>
      <c r="R334" s="696">
        <v>10</v>
      </c>
      <c r="S334" s="701">
        <v>1</v>
      </c>
      <c r="T334" s="700">
        <v>4.5</v>
      </c>
      <c r="U334" s="702">
        <v>1</v>
      </c>
    </row>
    <row r="335" spans="1:21" ht="14.4" customHeight="1" x14ac:dyDescent="0.3">
      <c r="A335" s="695">
        <v>31</v>
      </c>
      <c r="B335" s="696" t="s">
        <v>557</v>
      </c>
      <c r="C335" s="696">
        <v>89301312</v>
      </c>
      <c r="D335" s="697" t="s">
        <v>2235</v>
      </c>
      <c r="E335" s="698" t="s">
        <v>1604</v>
      </c>
      <c r="F335" s="696" t="s">
        <v>1588</v>
      </c>
      <c r="G335" s="696" t="s">
        <v>1614</v>
      </c>
      <c r="H335" s="696" t="s">
        <v>914</v>
      </c>
      <c r="I335" s="696" t="s">
        <v>1367</v>
      </c>
      <c r="J335" s="696" t="s">
        <v>1317</v>
      </c>
      <c r="K335" s="696" t="s">
        <v>1368</v>
      </c>
      <c r="L335" s="699">
        <v>625.29</v>
      </c>
      <c r="M335" s="699">
        <v>3751.74</v>
      </c>
      <c r="N335" s="696">
        <v>6</v>
      </c>
      <c r="O335" s="700">
        <v>2.5</v>
      </c>
      <c r="P335" s="699">
        <v>3751.74</v>
      </c>
      <c r="Q335" s="701">
        <v>1</v>
      </c>
      <c r="R335" s="696">
        <v>6</v>
      </c>
      <c r="S335" s="701">
        <v>1</v>
      </c>
      <c r="T335" s="700">
        <v>2.5</v>
      </c>
      <c r="U335" s="702">
        <v>1</v>
      </c>
    </row>
    <row r="336" spans="1:21" ht="14.4" customHeight="1" x14ac:dyDescent="0.3">
      <c r="A336" s="695">
        <v>31</v>
      </c>
      <c r="B336" s="696" t="s">
        <v>557</v>
      </c>
      <c r="C336" s="696">
        <v>89301312</v>
      </c>
      <c r="D336" s="697" t="s">
        <v>2235</v>
      </c>
      <c r="E336" s="698" t="s">
        <v>1604</v>
      </c>
      <c r="F336" s="696" t="s">
        <v>1588</v>
      </c>
      <c r="G336" s="696" t="s">
        <v>1614</v>
      </c>
      <c r="H336" s="696" t="s">
        <v>914</v>
      </c>
      <c r="I336" s="696" t="s">
        <v>1316</v>
      </c>
      <c r="J336" s="696" t="s">
        <v>1317</v>
      </c>
      <c r="K336" s="696" t="s">
        <v>1318</v>
      </c>
      <c r="L336" s="699">
        <v>937.93</v>
      </c>
      <c r="M336" s="699">
        <v>2813.79</v>
      </c>
      <c r="N336" s="696">
        <v>3</v>
      </c>
      <c r="O336" s="700">
        <v>2</v>
      </c>
      <c r="P336" s="699">
        <v>2813.79</v>
      </c>
      <c r="Q336" s="701">
        <v>1</v>
      </c>
      <c r="R336" s="696">
        <v>3</v>
      </c>
      <c r="S336" s="701">
        <v>1</v>
      </c>
      <c r="T336" s="700">
        <v>2</v>
      </c>
      <c r="U336" s="702">
        <v>1</v>
      </c>
    </row>
    <row r="337" spans="1:21" ht="14.4" customHeight="1" x14ac:dyDescent="0.3">
      <c r="A337" s="695">
        <v>31</v>
      </c>
      <c r="B337" s="696" t="s">
        <v>557</v>
      </c>
      <c r="C337" s="696">
        <v>89301312</v>
      </c>
      <c r="D337" s="697" t="s">
        <v>2235</v>
      </c>
      <c r="E337" s="698" t="s">
        <v>1604</v>
      </c>
      <c r="F337" s="696" t="s">
        <v>1588</v>
      </c>
      <c r="G337" s="696" t="s">
        <v>1651</v>
      </c>
      <c r="H337" s="696" t="s">
        <v>914</v>
      </c>
      <c r="I337" s="696" t="s">
        <v>916</v>
      </c>
      <c r="J337" s="696" t="s">
        <v>917</v>
      </c>
      <c r="K337" s="696" t="s">
        <v>1543</v>
      </c>
      <c r="L337" s="699">
        <v>96.63</v>
      </c>
      <c r="M337" s="699">
        <v>193.26</v>
      </c>
      <c r="N337" s="696">
        <v>2</v>
      </c>
      <c r="O337" s="700">
        <v>1.5</v>
      </c>
      <c r="P337" s="699">
        <v>193.26</v>
      </c>
      <c r="Q337" s="701">
        <v>1</v>
      </c>
      <c r="R337" s="696">
        <v>2</v>
      </c>
      <c r="S337" s="701">
        <v>1</v>
      </c>
      <c r="T337" s="700">
        <v>1.5</v>
      </c>
      <c r="U337" s="702">
        <v>1</v>
      </c>
    </row>
    <row r="338" spans="1:21" ht="14.4" customHeight="1" x14ac:dyDescent="0.3">
      <c r="A338" s="695">
        <v>31</v>
      </c>
      <c r="B338" s="696" t="s">
        <v>557</v>
      </c>
      <c r="C338" s="696">
        <v>89301312</v>
      </c>
      <c r="D338" s="697" t="s">
        <v>2235</v>
      </c>
      <c r="E338" s="698" t="s">
        <v>1604</v>
      </c>
      <c r="F338" s="696" t="s">
        <v>1588</v>
      </c>
      <c r="G338" s="696" t="s">
        <v>2021</v>
      </c>
      <c r="H338" s="696" t="s">
        <v>914</v>
      </c>
      <c r="I338" s="696" t="s">
        <v>2022</v>
      </c>
      <c r="J338" s="696" t="s">
        <v>2023</v>
      </c>
      <c r="K338" s="696" t="s">
        <v>2024</v>
      </c>
      <c r="L338" s="699">
        <v>69.86</v>
      </c>
      <c r="M338" s="699">
        <v>349.29999999999995</v>
      </c>
      <c r="N338" s="696">
        <v>5</v>
      </c>
      <c r="O338" s="700">
        <v>3</v>
      </c>
      <c r="P338" s="699">
        <v>209.57999999999998</v>
      </c>
      <c r="Q338" s="701">
        <v>0.6</v>
      </c>
      <c r="R338" s="696">
        <v>3</v>
      </c>
      <c r="S338" s="701">
        <v>0.6</v>
      </c>
      <c r="T338" s="700">
        <v>2</v>
      </c>
      <c r="U338" s="702">
        <v>0.66666666666666663</v>
      </c>
    </row>
    <row r="339" spans="1:21" ht="14.4" customHeight="1" x14ac:dyDescent="0.3">
      <c r="A339" s="695">
        <v>31</v>
      </c>
      <c r="B339" s="696" t="s">
        <v>557</v>
      </c>
      <c r="C339" s="696">
        <v>89301312</v>
      </c>
      <c r="D339" s="697" t="s">
        <v>2235</v>
      </c>
      <c r="E339" s="698" t="s">
        <v>1604</v>
      </c>
      <c r="F339" s="696" t="s">
        <v>1588</v>
      </c>
      <c r="G339" s="696" t="s">
        <v>1970</v>
      </c>
      <c r="H339" s="696" t="s">
        <v>558</v>
      </c>
      <c r="I339" s="696" t="s">
        <v>1971</v>
      </c>
      <c r="J339" s="696" t="s">
        <v>1972</v>
      </c>
      <c r="K339" s="696" t="s">
        <v>1973</v>
      </c>
      <c r="L339" s="699">
        <v>472.71</v>
      </c>
      <c r="M339" s="699">
        <v>472.71</v>
      </c>
      <c r="N339" s="696">
        <v>1</v>
      </c>
      <c r="O339" s="700">
        <v>1</v>
      </c>
      <c r="P339" s="699"/>
      <c r="Q339" s="701">
        <v>0</v>
      </c>
      <c r="R339" s="696"/>
      <c r="S339" s="701">
        <v>0</v>
      </c>
      <c r="T339" s="700"/>
      <c r="U339" s="702">
        <v>0</v>
      </c>
    </row>
    <row r="340" spans="1:21" ht="14.4" customHeight="1" x14ac:dyDescent="0.3">
      <c r="A340" s="695">
        <v>31</v>
      </c>
      <c r="B340" s="696" t="s">
        <v>557</v>
      </c>
      <c r="C340" s="696">
        <v>89301312</v>
      </c>
      <c r="D340" s="697" t="s">
        <v>2235</v>
      </c>
      <c r="E340" s="698" t="s">
        <v>1604</v>
      </c>
      <c r="F340" s="696" t="s">
        <v>1590</v>
      </c>
      <c r="G340" s="696" t="s">
        <v>2025</v>
      </c>
      <c r="H340" s="696" t="s">
        <v>558</v>
      </c>
      <c r="I340" s="696" t="s">
        <v>2026</v>
      </c>
      <c r="J340" s="696" t="s">
        <v>2027</v>
      </c>
      <c r="K340" s="696" t="s">
        <v>2028</v>
      </c>
      <c r="L340" s="699">
        <v>0</v>
      </c>
      <c r="M340" s="699">
        <v>0</v>
      </c>
      <c r="N340" s="696">
        <v>1</v>
      </c>
      <c r="O340" s="700">
        <v>1</v>
      </c>
      <c r="P340" s="699"/>
      <c r="Q340" s="701"/>
      <c r="R340" s="696"/>
      <c r="S340" s="701">
        <v>0</v>
      </c>
      <c r="T340" s="700"/>
      <c r="U340" s="702">
        <v>0</v>
      </c>
    </row>
    <row r="341" spans="1:21" ht="14.4" customHeight="1" x14ac:dyDescent="0.3">
      <c r="A341" s="695">
        <v>31</v>
      </c>
      <c r="B341" s="696" t="s">
        <v>557</v>
      </c>
      <c r="C341" s="696">
        <v>89301312</v>
      </c>
      <c r="D341" s="697" t="s">
        <v>2235</v>
      </c>
      <c r="E341" s="698" t="s">
        <v>1604</v>
      </c>
      <c r="F341" s="696" t="s">
        <v>1590</v>
      </c>
      <c r="G341" s="696" t="s">
        <v>1689</v>
      </c>
      <c r="H341" s="696" t="s">
        <v>558</v>
      </c>
      <c r="I341" s="696" t="s">
        <v>1690</v>
      </c>
      <c r="J341" s="696" t="s">
        <v>1691</v>
      </c>
      <c r="K341" s="696" t="s">
        <v>1692</v>
      </c>
      <c r="L341" s="699">
        <v>35.75</v>
      </c>
      <c r="M341" s="699">
        <v>71.5</v>
      </c>
      <c r="N341" s="696">
        <v>2</v>
      </c>
      <c r="O341" s="700">
        <v>2</v>
      </c>
      <c r="P341" s="699">
        <v>71.5</v>
      </c>
      <c r="Q341" s="701">
        <v>1</v>
      </c>
      <c r="R341" s="696">
        <v>2</v>
      </c>
      <c r="S341" s="701">
        <v>1</v>
      </c>
      <c r="T341" s="700">
        <v>2</v>
      </c>
      <c r="U341" s="702">
        <v>1</v>
      </c>
    </row>
    <row r="342" spans="1:21" ht="14.4" customHeight="1" x14ac:dyDescent="0.3">
      <c r="A342" s="695">
        <v>31</v>
      </c>
      <c r="B342" s="696" t="s">
        <v>557</v>
      </c>
      <c r="C342" s="696">
        <v>89301312</v>
      </c>
      <c r="D342" s="697" t="s">
        <v>2235</v>
      </c>
      <c r="E342" s="698" t="s">
        <v>1604</v>
      </c>
      <c r="F342" s="696" t="s">
        <v>1590</v>
      </c>
      <c r="G342" s="696" t="s">
        <v>1689</v>
      </c>
      <c r="H342" s="696" t="s">
        <v>558</v>
      </c>
      <c r="I342" s="696" t="s">
        <v>1882</v>
      </c>
      <c r="J342" s="696" t="s">
        <v>1883</v>
      </c>
      <c r="K342" s="696" t="s">
        <v>1884</v>
      </c>
      <c r="L342" s="699">
        <v>24.77</v>
      </c>
      <c r="M342" s="699">
        <v>24.77</v>
      </c>
      <c r="N342" s="696">
        <v>1</v>
      </c>
      <c r="O342" s="700">
        <v>1</v>
      </c>
      <c r="P342" s="699">
        <v>24.77</v>
      </c>
      <c r="Q342" s="701">
        <v>1</v>
      </c>
      <c r="R342" s="696">
        <v>1</v>
      </c>
      <c r="S342" s="701">
        <v>1</v>
      </c>
      <c r="T342" s="700">
        <v>1</v>
      </c>
      <c r="U342" s="702">
        <v>1</v>
      </c>
    </row>
    <row r="343" spans="1:21" ht="14.4" customHeight="1" x14ac:dyDescent="0.3">
      <c r="A343" s="695">
        <v>31</v>
      </c>
      <c r="B343" s="696" t="s">
        <v>557</v>
      </c>
      <c r="C343" s="696">
        <v>89301312</v>
      </c>
      <c r="D343" s="697" t="s">
        <v>2235</v>
      </c>
      <c r="E343" s="698" t="s">
        <v>1604</v>
      </c>
      <c r="F343" s="696" t="s">
        <v>1590</v>
      </c>
      <c r="G343" s="696" t="s">
        <v>1693</v>
      </c>
      <c r="H343" s="696" t="s">
        <v>558</v>
      </c>
      <c r="I343" s="696" t="s">
        <v>1694</v>
      </c>
      <c r="J343" s="696" t="s">
        <v>1695</v>
      </c>
      <c r="K343" s="696" t="s">
        <v>1696</v>
      </c>
      <c r="L343" s="699">
        <v>260</v>
      </c>
      <c r="M343" s="699">
        <v>520</v>
      </c>
      <c r="N343" s="696">
        <v>2</v>
      </c>
      <c r="O343" s="700">
        <v>1</v>
      </c>
      <c r="P343" s="699">
        <v>520</v>
      </c>
      <c r="Q343" s="701">
        <v>1</v>
      </c>
      <c r="R343" s="696">
        <v>2</v>
      </c>
      <c r="S343" s="701">
        <v>1</v>
      </c>
      <c r="T343" s="700">
        <v>1</v>
      </c>
      <c r="U343" s="702">
        <v>1</v>
      </c>
    </row>
    <row r="344" spans="1:21" ht="14.4" customHeight="1" x14ac:dyDescent="0.3">
      <c r="A344" s="695">
        <v>31</v>
      </c>
      <c r="B344" s="696" t="s">
        <v>557</v>
      </c>
      <c r="C344" s="696">
        <v>89301312</v>
      </c>
      <c r="D344" s="697" t="s">
        <v>2235</v>
      </c>
      <c r="E344" s="698" t="s">
        <v>1604</v>
      </c>
      <c r="F344" s="696" t="s">
        <v>1590</v>
      </c>
      <c r="G344" s="696" t="s">
        <v>1693</v>
      </c>
      <c r="H344" s="696" t="s">
        <v>558</v>
      </c>
      <c r="I344" s="696" t="s">
        <v>1697</v>
      </c>
      <c r="J344" s="696" t="s">
        <v>1698</v>
      </c>
      <c r="K344" s="696" t="s">
        <v>1699</v>
      </c>
      <c r="L344" s="699">
        <v>200</v>
      </c>
      <c r="M344" s="699">
        <v>400</v>
      </c>
      <c r="N344" s="696">
        <v>2</v>
      </c>
      <c r="O344" s="700">
        <v>1</v>
      </c>
      <c r="P344" s="699">
        <v>400</v>
      </c>
      <c r="Q344" s="701">
        <v>1</v>
      </c>
      <c r="R344" s="696">
        <v>2</v>
      </c>
      <c r="S344" s="701">
        <v>1</v>
      </c>
      <c r="T344" s="700">
        <v>1</v>
      </c>
      <c r="U344" s="702">
        <v>1</v>
      </c>
    </row>
    <row r="345" spans="1:21" ht="14.4" customHeight="1" x14ac:dyDescent="0.3">
      <c r="A345" s="695">
        <v>31</v>
      </c>
      <c r="B345" s="696" t="s">
        <v>557</v>
      </c>
      <c r="C345" s="696">
        <v>89301312</v>
      </c>
      <c r="D345" s="697" t="s">
        <v>2235</v>
      </c>
      <c r="E345" s="698" t="s">
        <v>1604</v>
      </c>
      <c r="F345" s="696" t="s">
        <v>1590</v>
      </c>
      <c r="G345" s="696" t="s">
        <v>1700</v>
      </c>
      <c r="H345" s="696" t="s">
        <v>558</v>
      </c>
      <c r="I345" s="696" t="s">
        <v>1891</v>
      </c>
      <c r="J345" s="696" t="s">
        <v>1892</v>
      </c>
      <c r="K345" s="696" t="s">
        <v>1893</v>
      </c>
      <c r="L345" s="699">
        <v>1575</v>
      </c>
      <c r="M345" s="699">
        <v>1575</v>
      </c>
      <c r="N345" s="696">
        <v>1</v>
      </c>
      <c r="O345" s="700">
        <v>1</v>
      </c>
      <c r="P345" s="699">
        <v>1575</v>
      </c>
      <c r="Q345" s="701">
        <v>1</v>
      </c>
      <c r="R345" s="696">
        <v>1</v>
      </c>
      <c r="S345" s="701">
        <v>1</v>
      </c>
      <c r="T345" s="700">
        <v>1</v>
      </c>
      <c r="U345" s="702">
        <v>1</v>
      </c>
    </row>
    <row r="346" spans="1:21" ht="14.4" customHeight="1" x14ac:dyDescent="0.3">
      <c r="A346" s="695">
        <v>31</v>
      </c>
      <c r="B346" s="696" t="s">
        <v>557</v>
      </c>
      <c r="C346" s="696">
        <v>89301312</v>
      </c>
      <c r="D346" s="697" t="s">
        <v>2235</v>
      </c>
      <c r="E346" s="698" t="s">
        <v>1604</v>
      </c>
      <c r="F346" s="696" t="s">
        <v>1590</v>
      </c>
      <c r="G346" s="696" t="s">
        <v>1700</v>
      </c>
      <c r="H346" s="696" t="s">
        <v>558</v>
      </c>
      <c r="I346" s="696" t="s">
        <v>1710</v>
      </c>
      <c r="J346" s="696" t="s">
        <v>1711</v>
      </c>
      <c r="K346" s="696" t="s">
        <v>1712</v>
      </c>
      <c r="L346" s="699">
        <v>750</v>
      </c>
      <c r="M346" s="699">
        <v>1500</v>
      </c>
      <c r="N346" s="696">
        <v>2</v>
      </c>
      <c r="O346" s="700">
        <v>2</v>
      </c>
      <c r="P346" s="699">
        <v>1500</v>
      </c>
      <c r="Q346" s="701">
        <v>1</v>
      </c>
      <c r="R346" s="696">
        <v>2</v>
      </c>
      <c r="S346" s="701">
        <v>1</v>
      </c>
      <c r="T346" s="700">
        <v>2</v>
      </c>
      <c r="U346" s="702">
        <v>1</v>
      </c>
    </row>
    <row r="347" spans="1:21" ht="14.4" customHeight="1" x14ac:dyDescent="0.3">
      <c r="A347" s="695">
        <v>31</v>
      </c>
      <c r="B347" s="696" t="s">
        <v>557</v>
      </c>
      <c r="C347" s="696">
        <v>89301312</v>
      </c>
      <c r="D347" s="697" t="s">
        <v>2235</v>
      </c>
      <c r="E347" s="698" t="s">
        <v>1604</v>
      </c>
      <c r="F347" s="696" t="s">
        <v>1590</v>
      </c>
      <c r="G347" s="696" t="s">
        <v>1700</v>
      </c>
      <c r="H347" s="696" t="s">
        <v>558</v>
      </c>
      <c r="I347" s="696" t="s">
        <v>2029</v>
      </c>
      <c r="J347" s="696" t="s">
        <v>2030</v>
      </c>
      <c r="K347" s="696" t="s">
        <v>2031</v>
      </c>
      <c r="L347" s="699">
        <v>1600</v>
      </c>
      <c r="M347" s="699">
        <v>1600</v>
      </c>
      <c r="N347" s="696">
        <v>1</v>
      </c>
      <c r="O347" s="700">
        <v>1</v>
      </c>
      <c r="P347" s="699"/>
      <c r="Q347" s="701">
        <v>0</v>
      </c>
      <c r="R347" s="696"/>
      <c r="S347" s="701">
        <v>0</v>
      </c>
      <c r="T347" s="700"/>
      <c r="U347" s="702">
        <v>0</v>
      </c>
    </row>
    <row r="348" spans="1:21" ht="14.4" customHeight="1" x14ac:dyDescent="0.3">
      <c r="A348" s="695">
        <v>31</v>
      </c>
      <c r="B348" s="696" t="s">
        <v>557</v>
      </c>
      <c r="C348" s="696">
        <v>89301312</v>
      </c>
      <c r="D348" s="697" t="s">
        <v>2235</v>
      </c>
      <c r="E348" s="698" t="s">
        <v>1604</v>
      </c>
      <c r="F348" s="696" t="s">
        <v>1590</v>
      </c>
      <c r="G348" s="696" t="s">
        <v>1700</v>
      </c>
      <c r="H348" s="696" t="s">
        <v>558</v>
      </c>
      <c r="I348" s="696" t="s">
        <v>1410</v>
      </c>
      <c r="J348" s="696" t="s">
        <v>1713</v>
      </c>
      <c r="K348" s="696" t="s">
        <v>1714</v>
      </c>
      <c r="L348" s="699">
        <v>2202.1999999999998</v>
      </c>
      <c r="M348" s="699">
        <v>2202.1999999999998</v>
      </c>
      <c r="N348" s="696">
        <v>1</v>
      </c>
      <c r="O348" s="700">
        <v>1</v>
      </c>
      <c r="P348" s="699"/>
      <c r="Q348" s="701">
        <v>0</v>
      </c>
      <c r="R348" s="696"/>
      <c r="S348" s="701">
        <v>0</v>
      </c>
      <c r="T348" s="700"/>
      <c r="U348" s="702">
        <v>0</v>
      </c>
    </row>
    <row r="349" spans="1:21" ht="14.4" customHeight="1" x14ac:dyDescent="0.3">
      <c r="A349" s="695">
        <v>31</v>
      </c>
      <c r="B349" s="696" t="s">
        <v>557</v>
      </c>
      <c r="C349" s="696">
        <v>89301312</v>
      </c>
      <c r="D349" s="697" t="s">
        <v>2235</v>
      </c>
      <c r="E349" s="698" t="s">
        <v>1604</v>
      </c>
      <c r="F349" s="696" t="s">
        <v>1590</v>
      </c>
      <c r="G349" s="696" t="s">
        <v>1700</v>
      </c>
      <c r="H349" s="696" t="s">
        <v>558</v>
      </c>
      <c r="I349" s="696" t="s">
        <v>1715</v>
      </c>
      <c r="J349" s="696" t="s">
        <v>1716</v>
      </c>
      <c r="K349" s="696" t="s">
        <v>1717</v>
      </c>
      <c r="L349" s="699">
        <v>971.25</v>
      </c>
      <c r="M349" s="699">
        <v>971.25</v>
      </c>
      <c r="N349" s="696">
        <v>1</v>
      </c>
      <c r="O349" s="700">
        <v>1</v>
      </c>
      <c r="P349" s="699">
        <v>971.25</v>
      </c>
      <c r="Q349" s="701">
        <v>1</v>
      </c>
      <c r="R349" s="696">
        <v>1</v>
      </c>
      <c r="S349" s="701">
        <v>1</v>
      </c>
      <c r="T349" s="700">
        <v>1</v>
      </c>
      <c r="U349" s="702">
        <v>1</v>
      </c>
    </row>
    <row r="350" spans="1:21" ht="14.4" customHeight="1" x14ac:dyDescent="0.3">
      <c r="A350" s="695">
        <v>31</v>
      </c>
      <c r="B350" s="696" t="s">
        <v>557</v>
      </c>
      <c r="C350" s="696">
        <v>89301312</v>
      </c>
      <c r="D350" s="697" t="s">
        <v>2235</v>
      </c>
      <c r="E350" s="698" t="s">
        <v>1604</v>
      </c>
      <c r="F350" s="696" t="s">
        <v>1590</v>
      </c>
      <c r="G350" s="696" t="s">
        <v>1700</v>
      </c>
      <c r="H350" s="696" t="s">
        <v>558</v>
      </c>
      <c r="I350" s="696" t="s">
        <v>1812</v>
      </c>
      <c r="J350" s="696" t="s">
        <v>1813</v>
      </c>
      <c r="K350" s="696" t="s">
        <v>1814</v>
      </c>
      <c r="L350" s="699">
        <v>350</v>
      </c>
      <c r="M350" s="699">
        <v>700</v>
      </c>
      <c r="N350" s="696">
        <v>2</v>
      </c>
      <c r="O350" s="700">
        <v>2</v>
      </c>
      <c r="P350" s="699"/>
      <c r="Q350" s="701">
        <v>0</v>
      </c>
      <c r="R350" s="696"/>
      <c r="S350" s="701">
        <v>0</v>
      </c>
      <c r="T350" s="700"/>
      <c r="U350" s="702">
        <v>0</v>
      </c>
    </row>
    <row r="351" spans="1:21" ht="14.4" customHeight="1" x14ac:dyDescent="0.3">
      <c r="A351" s="695">
        <v>31</v>
      </c>
      <c r="B351" s="696" t="s">
        <v>557</v>
      </c>
      <c r="C351" s="696">
        <v>89301312</v>
      </c>
      <c r="D351" s="697" t="s">
        <v>2235</v>
      </c>
      <c r="E351" s="698" t="s">
        <v>1604</v>
      </c>
      <c r="F351" s="696" t="s">
        <v>1590</v>
      </c>
      <c r="G351" s="696" t="s">
        <v>1700</v>
      </c>
      <c r="H351" s="696" t="s">
        <v>558</v>
      </c>
      <c r="I351" s="696" t="s">
        <v>2032</v>
      </c>
      <c r="J351" s="696" t="s">
        <v>2033</v>
      </c>
      <c r="K351" s="696" t="s">
        <v>2034</v>
      </c>
      <c r="L351" s="699">
        <v>1600</v>
      </c>
      <c r="M351" s="699">
        <v>1600</v>
      </c>
      <c r="N351" s="696">
        <v>1</v>
      </c>
      <c r="O351" s="700">
        <v>1</v>
      </c>
      <c r="P351" s="699"/>
      <c r="Q351" s="701">
        <v>0</v>
      </c>
      <c r="R351" s="696"/>
      <c r="S351" s="701">
        <v>0</v>
      </c>
      <c r="T351" s="700"/>
      <c r="U351" s="702">
        <v>0</v>
      </c>
    </row>
    <row r="352" spans="1:21" ht="14.4" customHeight="1" x14ac:dyDescent="0.3">
      <c r="A352" s="695">
        <v>31</v>
      </c>
      <c r="B352" s="696" t="s">
        <v>557</v>
      </c>
      <c r="C352" s="696">
        <v>89301312</v>
      </c>
      <c r="D352" s="697" t="s">
        <v>2235</v>
      </c>
      <c r="E352" s="698" t="s">
        <v>1604</v>
      </c>
      <c r="F352" s="696" t="s">
        <v>1590</v>
      </c>
      <c r="G352" s="696" t="s">
        <v>1700</v>
      </c>
      <c r="H352" s="696" t="s">
        <v>558</v>
      </c>
      <c r="I352" s="696" t="s">
        <v>2035</v>
      </c>
      <c r="J352" s="696" t="s">
        <v>2036</v>
      </c>
      <c r="K352" s="696" t="s">
        <v>2037</v>
      </c>
      <c r="L352" s="699">
        <v>180</v>
      </c>
      <c r="M352" s="699">
        <v>180</v>
      </c>
      <c r="N352" s="696">
        <v>1</v>
      </c>
      <c r="O352" s="700">
        <v>1</v>
      </c>
      <c r="P352" s="699">
        <v>180</v>
      </c>
      <c r="Q352" s="701">
        <v>1</v>
      </c>
      <c r="R352" s="696">
        <v>1</v>
      </c>
      <c r="S352" s="701">
        <v>1</v>
      </c>
      <c r="T352" s="700">
        <v>1</v>
      </c>
      <c r="U352" s="702">
        <v>1</v>
      </c>
    </row>
    <row r="353" spans="1:21" ht="14.4" customHeight="1" x14ac:dyDescent="0.3">
      <c r="A353" s="695">
        <v>31</v>
      </c>
      <c r="B353" s="696" t="s">
        <v>557</v>
      </c>
      <c r="C353" s="696">
        <v>89301312</v>
      </c>
      <c r="D353" s="697" t="s">
        <v>2235</v>
      </c>
      <c r="E353" s="698" t="s">
        <v>1605</v>
      </c>
      <c r="F353" s="696" t="s">
        <v>1588</v>
      </c>
      <c r="G353" s="696" t="s">
        <v>1620</v>
      </c>
      <c r="H353" s="696" t="s">
        <v>914</v>
      </c>
      <c r="I353" s="696" t="s">
        <v>1019</v>
      </c>
      <c r="J353" s="696" t="s">
        <v>1525</v>
      </c>
      <c r="K353" s="696" t="s">
        <v>1526</v>
      </c>
      <c r="L353" s="699">
        <v>333.31</v>
      </c>
      <c r="M353" s="699">
        <v>333.31</v>
      </c>
      <c r="N353" s="696">
        <v>1</v>
      </c>
      <c r="O353" s="700">
        <v>1</v>
      </c>
      <c r="P353" s="699">
        <v>333.31</v>
      </c>
      <c r="Q353" s="701">
        <v>1</v>
      </c>
      <c r="R353" s="696">
        <v>1</v>
      </c>
      <c r="S353" s="701">
        <v>1</v>
      </c>
      <c r="T353" s="700">
        <v>1</v>
      </c>
      <c r="U353" s="702">
        <v>1</v>
      </c>
    </row>
    <row r="354" spans="1:21" ht="14.4" customHeight="1" x14ac:dyDescent="0.3">
      <c r="A354" s="695">
        <v>31</v>
      </c>
      <c r="B354" s="696" t="s">
        <v>557</v>
      </c>
      <c r="C354" s="696">
        <v>89301312</v>
      </c>
      <c r="D354" s="697" t="s">
        <v>2235</v>
      </c>
      <c r="E354" s="698" t="s">
        <v>1605</v>
      </c>
      <c r="F354" s="696" t="s">
        <v>1588</v>
      </c>
      <c r="G354" s="696" t="s">
        <v>1614</v>
      </c>
      <c r="H354" s="696" t="s">
        <v>914</v>
      </c>
      <c r="I354" s="696" t="s">
        <v>1367</v>
      </c>
      <c r="J354" s="696" t="s">
        <v>1317</v>
      </c>
      <c r="K354" s="696" t="s">
        <v>1368</v>
      </c>
      <c r="L354" s="699">
        <v>625.29</v>
      </c>
      <c r="M354" s="699">
        <v>8128.7699999999995</v>
      </c>
      <c r="N354" s="696">
        <v>13</v>
      </c>
      <c r="O354" s="700">
        <v>7.5</v>
      </c>
      <c r="P354" s="699">
        <v>6252.9</v>
      </c>
      <c r="Q354" s="701">
        <v>0.76923076923076927</v>
      </c>
      <c r="R354" s="696">
        <v>10</v>
      </c>
      <c r="S354" s="701">
        <v>0.76923076923076927</v>
      </c>
      <c r="T354" s="700">
        <v>5.5</v>
      </c>
      <c r="U354" s="702">
        <v>0.73333333333333328</v>
      </c>
    </row>
    <row r="355" spans="1:21" ht="14.4" customHeight="1" x14ac:dyDescent="0.3">
      <c r="A355" s="695">
        <v>31</v>
      </c>
      <c r="B355" s="696" t="s">
        <v>557</v>
      </c>
      <c r="C355" s="696">
        <v>89301312</v>
      </c>
      <c r="D355" s="697" t="s">
        <v>2235</v>
      </c>
      <c r="E355" s="698" t="s">
        <v>1605</v>
      </c>
      <c r="F355" s="696" t="s">
        <v>1588</v>
      </c>
      <c r="G355" s="696" t="s">
        <v>1614</v>
      </c>
      <c r="H355" s="696" t="s">
        <v>914</v>
      </c>
      <c r="I355" s="696" t="s">
        <v>1316</v>
      </c>
      <c r="J355" s="696" t="s">
        <v>1317</v>
      </c>
      <c r="K355" s="696" t="s">
        <v>1318</v>
      </c>
      <c r="L355" s="699">
        <v>937.93</v>
      </c>
      <c r="M355" s="699">
        <v>937.93</v>
      </c>
      <c r="N355" s="696">
        <v>1</v>
      </c>
      <c r="O355" s="700">
        <v>1</v>
      </c>
      <c r="P355" s="699">
        <v>937.93</v>
      </c>
      <c r="Q355" s="701">
        <v>1</v>
      </c>
      <c r="R355" s="696">
        <v>1</v>
      </c>
      <c r="S355" s="701">
        <v>1</v>
      </c>
      <c r="T355" s="700">
        <v>1</v>
      </c>
      <c r="U355" s="702">
        <v>1</v>
      </c>
    </row>
    <row r="356" spans="1:21" ht="14.4" customHeight="1" x14ac:dyDescent="0.3">
      <c r="A356" s="695">
        <v>31</v>
      </c>
      <c r="B356" s="696" t="s">
        <v>557</v>
      </c>
      <c r="C356" s="696">
        <v>89301312</v>
      </c>
      <c r="D356" s="697" t="s">
        <v>2235</v>
      </c>
      <c r="E356" s="698" t="s">
        <v>1605</v>
      </c>
      <c r="F356" s="696" t="s">
        <v>1588</v>
      </c>
      <c r="G356" s="696" t="s">
        <v>1651</v>
      </c>
      <c r="H356" s="696" t="s">
        <v>914</v>
      </c>
      <c r="I356" s="696" t="s">
        <v>916</v>
      </c>
      <c r="J356" s="696" t="s">
        <v>917</v>
      </c>
      <c r="K356" s="696" t="s">
        <v>1543</v>
      </c>
      <c r="L356" s="699">
        <v>96.63</v>
      </c>
      <c r="M356" s="699">
        <v>289.89</v>
      </c>
      <c r="N356" s="696">
        <v>3</v>
      </c>
      <c r="O356" s="700">
        <v>2.5</v>
      </c>
      <c r="P356" s="699">
        <v>289.89</v>
      </c>
      <c r="Q356" s="701">
        <v>1</v>
      </c>
      <c r="R356" s="696">
        <v>3</v>
      </c>
      <c r="S356" s="701">
        <v>1</v>
      </c>
      <c r="T356" s="700">
        <v>2.5</v>
      </c>
      <c r="U356" s="702">
        <v>1</v>
      </c>
    </row>
    <row r="357" spans="1:21" ht="14.4" customHeight="1" x14ac:dyDescent="0.3">
      <c r="A357" s="695">
        <v>31</v>
      </c>
      <c r="B357" s="696" t="s">
        <v>557</v>
      </c>
      <c r="C357" s="696">
        <v>89301312</v>
      </c>
      <c r="D357" s="697" t="s">
        <v>2235</v>
      </c>
      <c r="E357" s="698" t="s">
        <v>1605</v>
      </c>
      <c r="F357" s="696" t="s">
        <v>1588</v>
      </c>
      <c r="G357" s="696" t="s">
        <v>1651</v>
      </c>
      <c r="H357" s="696" t="s">
        <v>914</v>
      </c>
      <c r="I357" s="696" t="s">
        <v>2038</v>
      </c>
      <c r="J357" s="696" t="s">
        <v>917</v>
      </c>
      <c r="K357" s="696" t="s">
        <v>2039</v>
      </c>
      <c r="L357" s="699">
        <v>193.26</v>
      </c>
      <c r="M357" s="699">
        <v>386.52</v>
      </c>
      <c r="N357" s="696">
        <v>2</v>
      </c>
      <c r="O357" s="700">
        <v>2</v>
      </c>
      <c r="P357" s="699"/>
      <c r="Q357" s="701">
        <v>0</v>
      </c>
      <c r="R357" s="696"/>
      <c r="S357" s="701">
        <v>0</v>
      </c>
      <c r="T357" s="700"/>
      <c r="U357" s="702">
        <v>0</v>
      </c>
    </row>
    <row r="358" spans="1:21" ht="14.4" customHeight="1" x14ac:dyDescent="0.3">
      <c r="A358" s="695">
        <v>31</v>
      </c>
      <c r="B358" s="696" t="s">
        <v>557</v>
      </c>
      <c r="C358" s="696">
        <v>89301312</v>
      </c>
      <c r="D358" s="697" t="s">
        <v>2235</v>
      </c>
      <c r="E358" s="698" t="s">
        <v>1605</v>
      </c>
      <c r="F358" s="696" t="s">
        <v>1588</v>
      </c>
      <c r="G358" s="696" t="s">
        <v>1869</v>
      </c>
      <c r="H358" s="696" t="s">
        <v>558</v>
      </c>
      <c r="I358" s="696" t="s">
        <v>2040</v>
      </c>
      <c r="J358" s="696" t="s">
        <v>2041</v>
      </c>
      <c r="K358" s="696" t="s">
        <v>2042</v>
      </c>
      <c r="L358" s="699">
        <v>121.59</v>
      </c>
      <c r="M358" s="699">
        <v>243.18</v>
      </c>
      <c r="N358" s="696">
        <v>2</v>
      </c>
      <c r="O358" s="700">
        <v>0.5</v>
      </c>
      <c r="P358" s="699"/>
      <c r="Q358" s="701">
        <v>0</v>
      </c>
      <c r="R358" s="696"/>
      <c r="S358" s="701">
        <v>0</v>
      </c>
      <c r="T358" s="700"/>
      <c r="U358" s="702">
        <v>0</v>
      </c>
    </row>
    <row r="359" spans="1:21" ht="14.4" customHeight="1" x14ac:dyDescent="0.3">
      <c r="A359" s="695">
        <v>31</v>
      </c>
      <c r="B359" s="696" t="s">
        <v>557</v>
      </c>
      <c r="C359" s="696">
        <v>89301312</v>
      </c>
      <c r="D359" s="697" t="s">
        <v>2235</v>
      </c>
      <c r="E359" s="698" t="s">
        <v>1605</v>
      </c>
      <c r="F359" s="696" t="s">
        <v>1588</v>
      </c>
      <c r="G359" s="696" t="s">
        <v>1951</v>
      </c>
      <c r="H359" s="696" t="s">
        <v>558</v>
      </c>
      <c r="I359" s="696" t="s">
        <v>1952</v>
      </c>
      <c r="J359" s="696" t="s">
        <v>1953</v>
      </c>
      <c r="K359" s="696" t="s">
        <v>1954</v>
      </c>
      <c r="L359" s="699">
        <v>113.37</v>
      </c>
      <c r="M359" s="699">
        <v>226.74</v>
      </c>
      <c r="N359" s="696">
        <v>2</v>
      </c>
      <c r="O359" s="700">
        <v>0.5</v>
      </c>
      <c r="P359" s="699"/>
      <c r="Q359" s="701">
        <v>0</v>
      </c>
      <c r="R359" s="696"/>
      <c r="S359" s="701">
        <v>0</v>
      </c>
      <c r="T359" s="700"/>
      <c r="U359" s="702">
        <v>0</v>
      </c>
    </row>
    <row r="360" spans="1:21" ht="14.4" customHeight="1" x14ac:dyDescent="0.3">
      <c r="A360" s="695">
        <v>31</v>
      </c>
      <c r="B360" s="696" t="s">
        <v>557</v>
      </c>
      <c r="C360" s="696">
        <v>89301312</v>
      </c>
      <c r="D360" s="697" t="s">
        <v>2235</v>
      </c>
      <c r="E360" s="698" t="s">
        <v>1605</v>
      </c>
      <c r="F360" s="696" t="s">
        <v>1588</v>
      </c>
      <c r="G360" s="696" t="s">
        <v>1970</v>
      </c>
      <c r="H360" s="696" t="s">
        <v>558</v>
      </c>
      <c r="I360" s="696" t="s">
        <v>1971</v>
      </c>
      <c r="J360" s="696" t="s">
        <v>1972</v>
      </c>
      <c r="K360" s="696" t="s">
        <v>1973</v>
      </c>
      <c r="L360" s="699">
        <v>472.71</v>
      </c>
      <c r="M360" s="699">
        <v>945.42</v>
      </c>
      <c r="N360" s="696">
        <v>2</v>
      </c>
      <c r="O360" s="700">
        <v>1</v>
      </c>
      <c r="P360" s="699">
        <v>945.42</v>
      </c>
      <c r="Q360" s="701">
        <v>1</v>
      </c>
      <c r="R360" s="696">
        <v>2</v>
      </c>
      <c r="S360" s="701">
        <v>1</v>
      </c>
      <c r="T360" s="700">
        <v>1</v>
      </c>
      <c r="U360" s="702">
        <v>1</v>
      </c>
    </row>
    <row r="361" spans="1:21" ht="14.4" customHeight="1" x14ac:dyDescent="0.3">
      <c r="A361" s="695">
        <v>31</v>
      </c>
      <c r="B361" s="696" t="s">
        <v>557</v>
      </c>
      <c r="C361" s="696">
        <v>89301312</v>
      </c>
      <c r="D361" s="697" t="s">
        <v>2235</v>
      </c>
      <c r="E361" s="698" t="s">
        <v>1605</v>
      </c>
      <c r="F361" s="696" t="s">
        <v>1590</v>
      </c>
      <c r="G361" s="696" t="s">
        <v>1689</v>
      </c>
      <c r="H361" s="696" t="s">
        <v>558</v>
      </c>
      <c r="I361" s="696" t="s">
        <v>2043</v>
      </c>
      <c r="J361" s="696" t="s">
        <v>1883</v>
      </c>
      <c r="K361" s="696" t="s">
        <v>2044</v>
      </c>
      <c r="L361" s="699">
        <v>35.130000000000003</v>
      </c>
      <c r="M361" s="699">
        <v>105.39000000000001</v>
      </c>
      <c r="N361" s="696">
        <v>3</v>
      </c>
      <c r="O361" s="700">
        <v>3</v>
      </c>
      <c r="P361" s="699">
        <v>105.39000000000001</v>
      </c>
      <c r="Q361" s="701">
        <v>1</v>
      </c>
      <c r="R361" s="696">
        <v>3</v>
      </c>
      <c r="S361" s="701">
        <v>1</v>
      </c>
      <c r="T361" s="700">
        <v>3</v>
      </c>
      <c r="U361" s="702">
        <v>1</v>
      </c>
    </row>
    <row r="362" spans="1:21" ht="14.4" customHeight="1" x14ac:dyDescent="0.3">
      <c r="A362" s="695">
        <v>31</v>
      </c>
      <c r="B362" s="696" t="s">
        <v>557</v>
      </c>
      <c r="C362" s="696">
        <v>89301312</v>
      </c>
      <c r="D362" s="697" t="s">
        <v>2235</v>
      </c>
      <c r="E362" s="698" t="s">
        <v>1605</v>
      </c>
      <c r="F362" s="696" t="s">
        <v>1590</v>
      </c>
      <c r="G362" s="696" t="s">
        <v>1693</v>
      </c>
      <c r="H362" s="696" t="s">
        <v>558</v>
      </c>
      <c r="I362" s="696" t="s">
        <v>1697</v>
      </c>
      <c r="J362" s="696" t="s">
        <v>1698</v>
      </c>
      <c r="K362" s="696" t="s">
        <v>1699</v>
      </c>
      <c r="L362" s="699">
        <v>200</v>
      </c>
      <c r="M362" s="699">
        <v>400</v>
      </c>
      <c r="N362" s="696">
        <v>2</v>
      </c>
      <c r="O362" s="700">
        <v>1</v>
      </c>
      <c r="P362" s="699">
        <v>400</v>
      </c>
      <c r="Q362" s="701">
        <v>1</v>
      </c>
      <c r="R362" s="696">
        <v>2</v>
      </c>
      <c r="S362" s="701">
        <v>1</v>
      </c>
      <c r="T362" s="700">
        <v>1</v>
      </c>
      <c r="U362" s="702">
        <v>1</v>
      </c>
    </row>
    <row r="363" spans="1:21" ht="14.4" customHeight="1" x14ac:dyDescent="0.3">
      <c r="A363" s="695">
        <v>31</v>
      </c>
      <c r="B363" s="696" t="s">
        <v>557</v>
      </c>
      <c r="C363" s="696">
        <v>89301312</v>
      </c>
      <c r="D363" s="697" t="s">
        <v>2235</v>
      </c>
      <c r="E363" s="698" t="s">
        <v>1605</v>
      </c>
      <c r="F363" s="696" t="s">
        <v>1590</v>
      </c>
      <c r="G363" s="696" t="s">
        <v>1693</v>
      </c>
      <c r="H363" s="696" t="s">
        <v>558</v>
      </c>
      <c r="I363" s="696" t="s">
        <v>1987</v>
      </c>
      <c r="J363" s="696" t="s">
        <v>1988</v>
      </c>
      <c r="K363" s="696" t="s">
        <v>1989</v>
      </c>
      <c r="L363" s="699">
        <v>190</v>
      </c>
      <c r="M363" s="699">
        <v>380</v>
      </c>
      <c r="N363" s="696">
        <v>2</v>
      </c>
      <c r="O363" s="700">
        <v>1</v>
      </c>
      <c r="P363" s="699"/>
      <c r="Q363" s="701">
        <v>0</v>
      </c>
      <c r="R363" s="696"/>
      <c r="S363" s="701">
        <v>0</v>
      </c>
      <c r="T363" s="700"/>
      <c r="U363" s="702">
        <v>0</v>
      </c>
    </row>
    <row r="364" spans="1:21" ht="14.4" customHeight="1" x14ac:dyDescent="0.3">
      <c r="A364" s="695">
        <v>31</v>
      </c>
      <c r="B364" s="696" t="s">
        <v>557</v>
      </c>
      <c r="C364" s="696">
        <v>89301312</v>
      </c>
      <c r="D364" s="697" t="s">
        <v>2235</v>
      </c>
      <c r="E364" s="698" t="s">
        <v>1605</v>
      </c>
      <c r="F364" s="696" t="s">
        <v>1590</v>
      </c>
      <c r="G364" s="696" t="s">
        <v>1700</v>
      </c>
      <c r="H364" s="696" t="s">
        <v>558</v>
      </c>
      <c r="I364" s="696" t="s">
        <v>1783</v>
      </c>
      <c r="J364" s="696" t="s">
        <v>1784</v>
      </c>
      <c r="K364" s="696" t="s">
        <v>1785</v>
      </c>
      <c r="L364" s="699">
        <v>2296.87</v>
      </c>
      <c r="M364" s="699">
        <v>2296.87</v>
      </c>
      <c r="N364" s="696">
        <v>1</v>
      </c>
      <c r="O364" s="700">
        <v>1</v>
      </c>
      <c r="P364" s="699">
        <v>2296.87</v>
      </c>
      <c r="Q364" s="701">
        <v>1</v>
      </c>
      <c r="R364" s="696">
        <v>1</v>
      </c>
      <c r="S364" s="701">
        <v>1</v>
      </c>
      <c r="T364" s="700">
        <v>1</v>
      </c>
      <c r="U364" s="702">
        <v>1</v>
      </c>
    </row>
    <row r="365" spans="1:21" ht="14.4" customHeight="1" x14ac:dyDescent="0.3">
      <c r="A365" s="695">
        <v>31</v>
      </c>
      <c r="B365" s="696" t="s">
        <v>557</v>
      </c>
      <c r="C365" s="696">
        <v>89301312</v>
      </c>
      <c r="D365" s="697" t="s">
        <v>2235</v>
      </c>
      <c r="E365" s="698" t="s">
        <v>1605</v>
      </c>
      <c r="F365" s="696" t="s">
        <v>1590</v>
      </c>
      <c r="G365" s="696" t="s">
        <v>1700</v>
      </c>
      <c r="H365" s="696" t="s">
        <v>558</v>
      </c>
      <c r="I365" s="696" t="s">
        <v>1786</v>
      </c>
      <c r="J365" s="696" t="s">
        <v>1787</v>
      </c>
      <c r="K365" s="696" t="s">
        <v>1788</v>
      </c>
      <c r="L365" s="699">
        <v>320.25</v>
      </c>
      <c r="M365" s="699">
        <v>320.25</v>
      </c>
      <c r="N365" s="696">
        <v>1</v>
      </c>
      <c r="O365" s="700">
        <v>1</v>
      </c>
      <c r="P365" s="699">
        <v>320.25</v>
      </c>
      <c r="Q365" s="701">
        <v>1</v>
      </c>
      <c r="R365" s="696">
        <v>1</v>
      </c>
      <c r="S365" s="701">
        <v>1</v>
      </c>
      <c r="T365" s="700">
        <v>1</v>
      </c>
      <c r="U365" s="702">
        <v>1</v>
      </c>
    </row>
    <row r="366" spans="1:21" ht="14.4" customHeight="1" x14ac:dyDescent="0.3">
      <c r="A366" s="695">
        <v>31</v>
      </c>
      <c r="B366" s="696" t="s">
        <v>557</v>
      </c>
      <c r="C366" s="696">
        <v>89301312</v>
      </c>
      <c r="D366" s="697" t="s">
        <v>2235</v>
      </c>
      <c r="E366" s="698" t="s">
        <v>1605</v>
      </c>
      <c r="F366" s="696" t="s">
        <v>1590</v>
      </c>
      <c r="G366" s="696" t="s">
        <v>1700</v>
      </c>
      <c r="H366" s="696" t="s">
        <v>558</v>
      </c>
      <c r="I366" s="696" t="s">
        <v>1905</v>
      </c>
      <c r="J366" s="696" t="s">
        <v>1906</v>
      </c>
      <c r="K366" s="696" t="s">
        <v>1907</v>
      </c>
      <c r="L366" s="699">
        <v>245.43</v>
      </c>
      <c r="M366" s="699">
        <v>245.43</v>
      </c>
      <c r="N366" s="696">
        <v>1</v>
      </c>
      <c r="O366" s="700">
        <v>1</v>
      </c>
      <c r="P366" s="699">
        <v>245.43</v>
      </c>
      <c r="Q366" s="701">
        <v>1</v>
      </c>
      <c r="R366" s="696">
        <v>1</v>
      </c>
      <c r="S366" s="701">
        <v>1</v>
      </c>
      <c r="T366" s="700">
        <v>1</v>
      </c>
      <c r="U366" s="702">
        <v>1</v>
      </c>
    </row>
    <row r="367" spans="1:21" ht="14.4" customHeight="1" x14ac:dyDescent="0.3">
      <c r="A367" s="695">
        <v>31</v>
      </c>
      <c r="B367" s="696" t="s">
        <v>557</v>
      </c>
      <c r="C367" s="696">
        <v>89301312</v>
      </c>
      <c r="D367" s="697" t="s">
        <v>2235</v>
      </c>
      <c r="E367" s="698" t="s">
        <v>1605</v>
      </c>
      <c r="F367" s="696" t="s">
        <v>1590</v>
      </c>
      <c r="G367" s="696" t="s">
        <v>1700</v>
      </c>
      <c r="H367" s="696" t="s">
        <v>558</v>
      </c>
      <c r="I367" s="696" t="s">
        <v>1908</v>
      </c>
      <c r="J367" s="696" t="s">
        <v>1909</v>
      </c>
      <c r="K367" s="696" t="s">
        <v>1910</v>
      </c>
      <c r="L367" s="699">
        <v>250</v>
      </c>
      <c r="M367" s="699">
        <v>250</v>
      </c>
      <c r="N367" s="696">
        <v>1</v>
      </c>
      <c r="O367" s="700">
        <v>1</v>
      </c>
      <c r="P367" s="699"/>
      <c r="Q367" s="701">
        <v>0</v>
      </c>
      <c r="R367" s="696"/>
      <c r="S367" s="701">
        <v>0</v>
      </c>
      <c r="T367" s="700"/>
      <c r="U367" s="702">
        <v>0</v>
      </c>
    </row>
    <row r="368" spans="1:21" ht="14.4" customHeight="1" x14ac:dyDescent="0.3">
      <c r="A368" s="695">
        <v>31</v>
      </c>
      <c r="B368" s="696" t="s">
        <v>557</v>
      </c>
      <c r="C368" s="696">
        <v>89301312</v>
      </c>
      <c r="D368" s="697" t="s">
        <v>2235</v>
      </c>
      <c r="E368" s="698" t="s">
        <v>1605</v>
      </c>
      <c r="F368" s="696" t="s">
        <v>1590</v>
      </c>
      <c r="G368" s="696" t="s">
        <v>1700</v>
      </c>
      <c r="H368" s="696" t="s">
        <v>558</v>
      </c>
      <c r="I368" s="696" t="s">
        <v>1710</v>
      </c>
      <c r="J368" s="696" t="s">
        <v>1711</v>
      </c>
      <c r="K368" s="696" t="s">
        <v>1712</v>
      </c>
      <c r="L368" s="699">
        <v>750</v>
      </c>
      <c r="M368" s="699">
        <v>3750</v>
      </c>
      <c r="N368" s="696">
        <v>5</v>
      </c>
      <c r="O368" s="700">
        <v>5</v>
      </c>
      <c r="P368" s="699">
        <v>3000</v>
      </c>
      <c r="Q368" s="701">
        <v>0.8</v>
      </c>
      <c r="R368" s="696">
        <v>4</v>
      </c>
      <c r="S368" s="701">
        <v>0.8</v>
      </c>
      <c r="T368" s="700">
        <v>4</v>
      </c>
      <c r="U368" s="702">
        <v>0.8</v>
      </c>
    </row>
    <row r="369" spans="1:21" ht="14.4" customHeight="1" x14ac:dyDescent="0.3">
      <c r="A369" s="695">
        <v>31</v>
      </c>
      <c r="B369" s="696" t="s">
        <v>557</v>
      </c>
      <c r="C369" s="696">
        <v>89301312</v>
      </c>
      <c r="D369" s="697" t="s">
        <v>2235</v>
      </c>
      <c r="E369" s="698" t="s">
        <v>1605</v>
      </c>
      <c r="F369" s="696" t="s">
        <v>1590</v>
      </c>
      <c r="G369" s="696" t="s">
        <v>1700</v>
      </c>
      <c r="H369" s="696" t="s">
        <v>558</v>
      </c>
      <c r="I369" s="696" t="s">
        <v>2045</v>
      </c>
      <c r="J369" s="696" t="s">
        <v>2046</v>
      </c>
      <c r="K369" s="696" t="s">
        <v>2047</v>
      </c>
      <c r="L369" s="699">
        <v>600</v>
      </c>
      <c r="M369" s="699">
        <v>600</v>
      </c>
      <c r="N369" s="696">
        <v>1</v>
      </c>
      <c r="O369" s="700">
        <v>1</v>
      </c>
      <c r="P369" s="699">
        <v>600</v>
      </c>
      <c r="Q369" s="701">
        <v>1</v>
      </c>
      <c r="R369" s="696">
        <v>1</v>
      </c>
      <c r="S369" s="701">
        <v>1</v>
      </c>
      <c r="T369" s="700">
        <v>1</v>
      </c>
      <c r="U369" s="702">
        <v>1</v>
      </c>
    </row>
    <row r="370" spans="1:21" ht="14.4" customHeight="1" x14ac:dyDescent="0.3">
      <c r="A370" s="695">
        <v>31</v>
      </c>
      <c r="B370" s="696" t="s">
        <v>557</v>
      </c>
      <c r="C370" s="696">
        <v>89301312</v>
      </c>
      <c r="D370" s="697" t="s">
        <v>2235</v>
      </c>
      <c r="E370" s="698" t="s">
        <v>1605</v>
      </c>
      <c r="F370" s="696" t="s">
        <v>1590</v>
      </c>
      <c r="G370" s="696" t="s">
        <v>1700</v>
      </c>
      <c r="H370" s="696" t="s">
        <v>558</v>
      </c>
      <c r="I370" s="696" t="s">
        <v>1899</v>
      </c>
      <c r="J370" s="696" t="s">
        <v>1900</v>
      </c>
      <c r="K370" s="696" t="s">
        <v>1901</v>
      </c>
      <c r="L370" s="699">
        <v>750</v>
      </c>
      <c r="M370" s="699">
        <v>750</v>
      </c>
      <c r="N370" s="696">
        <v>1</v>
      </c>
      <c r="O370" s="700">
        <v>1</v>
      </c>
      <c r="P370" s="699">
        <v>750</v>
      </c>
      <c r="Q370" s="701">
        <v>1</v>
      </c>
      <c r="R370" s="696">
        <v>1</v>
      </c>
      <c r="S370" s="701">
        <v>1</v>
      </c>
      <c r="T370" s="700">
        <v>1</v>
      </c>
      <c r="U370" s="702">
        <v>1</v>
      </c>
    </row>
    <row r="371" spans="1:21" ht="14.4" customHeight="1" x14ac:dyDescent="0.3">
      <c r="A371" s="695">
        <v>31</v>
      </c>
      <c r="B371" s="696" t="s">
        <v>557</v>
      </c>
      <c r="C371" s="696">
        <v>89301312</v>
      </c>
      <c r="D371" s="697" t="s">
        <v>2235</v>
      </c>
      <c r="E371" s="698" t="s">
        <v>1605</v>
      </c>
      <c r="F371" s="696" t="s">
        <v>1590</v>
      </c>
      <c r="G371" s="696" t="s">
        <v>1700</v>
      </c>
      <c r="H371" s="696" t="s">
        <v>558</v>
      </c>
      <c r="I371" s="696" t="s">
        <v>1913</v>
      </c>
      <c r="J371" s="696" t="s">
        <v>1914</v>
      </c>
      <c r="K371" s="696"/>
      <c r="L371" s="699">
        <v>80.349999999999994</v>
      </c>
      <c r="M371" s="699">
        <v>80.349999999999994</v>
      </c>
      <c r="N371" s="696">
        <v>1</v>
      </c>
      <c r="O371" s="700">
        <v>1</v>
      </c>
      <c r="P371" s="699">
        <v>80.349999999999994</v>
      </c>
      <c r="Q371" s="701">
        <v>1</v>
      </c>
      <c r="R371" s="696">
        <v>1</v>
      </c>
      <c r="S371" s="701">
        <v>1</v>
      </c>
      <c r="T371" s="700">
        <v>1</v>
      </c>
      <c r="U371" s="702">
        <v>1</v>
      </c>
    </row>
    <row r="372" spans="1:21" ht="14.4" customHeight="1" x14ac:dyDescent="0.3">
      <c r="A372" s="695">
        <v>31</v>
      </c>
      <c r="B372" s="696" t="s">
        <v>557</v>
      </c>
      <c r="C372" s="696">
        <v>89301312</v>
      </c>
      <c r="D372" s="697" t="s">
        <v>2235</v>
      </c>
      <c r="E372" s="698" t="s">
        <v>1605</v>
      </c>
      <c r="F372" s="696" t="s">
        <v>1590</v>
      </c>
      <c r="G372" s="696" t="s">
        <v>1700</v>
      </c>
      <c r="H372" s="696" t="s">
        <v>558</v>
      </c>
      <c r="I372" s="696" t="s">
        <v>1812</v>
      </c>
      <c r="J372" s="696" t="s">
        <v>1813</v>
      </c>
      <c r="K372" s="696" t="s">
        <v>1814</v>
      </c>
      <c r="L372" s="699">
        <v>350</v>
      </c>
      <c r="M372" s="699">
        <v>1750</v>
      </c>
      <c r="N372" s="696">
        <v>5</v>
      </c>
      <c r="O372" s="700">
        <v>5</v>
      </c>
      <c r="P372" s="699">
        <v>1750</v>
      </c>
      <c r="Q372" s="701">
        <v>1</v>
      </c>
      <c r="R372" s="696">
        <v>5</v>
      </c>
      <c r="S372" s="701">
        <v>1</v>
      </c>
      <c r="T372" s="700">
        <v>5</v>
      </c>
      <c r="U372" s="702">
        <v>1</v>
      </c>
    </row>
    <row r="373" spans="1:21" ht="14.4" customHeight="1" x14ac:dyDescent="0.3">
      <c r="A373" s="695">
        <v>31</v>
      </c>
      <c r="B373" s="696" t="s">
        <v>557</v>
      </c>
      <c r="C373" s="696">
        <v>89301312</v>
      </c>
      <c r="D373" s="697" t="s">
        <v>2235</v>
      </c>
      <c r="E373" s="698" t="s">
        <v>1606</v>
      </c>
      <c r="F373" s="696" t="s">
        <v>1588</v>
      </c>
      <c r="G373" s="696" t="s">
        <v>1620</v>
      </c>
      <c r="H373" s="696" t="s">
        <v>914</v>
      </c>
      <c r="I373" s="696" t="s">
        <v>1019</v>
      </c>
      <c r="J373" s="696" t="s">
        <v>1525</v>
      </c>
      <c r="K373" s="696" t="s">
        <v>1526</v>
      </c>
      <c r="L373" s="699">
        <v>333.31</v>
      </c>
      <c r="M373" s="699">
        <v>666.62</v>
      </c>
      <c r="N373" s="696">
        <v>2</v>
      </c>
      <c r="O373" s="700">
        <v>2</v>
      </c>
      <c r="P373" s="699">
        <v>666.62</v>
      </c>
      <c r="Q373" s="701">
        <v>1</v>
      </c>
      <c r="R373" s="696">
        <v>2</v>
      </c>
      <c r="S373" s="701">
        <v>1</v>
      </c>
      <c r="T373" s="700">
        <v>2</v>
      </c>
      <c r="U373" s="702">
        <v>1</v>
      </c>
    </row>
    <row r="374" spans="1:21" ht="14.4" customHeight="1" x14ac:dyDescent="0.3">
      <c r="A374" s="695">
        <v>31</v>
      </c>
      <c r="B374" s="696" t="s">
        <v>557</v>
      </c>
      <c r="C374" s="696">
        <v>89301312</v>
      </c>
      <c r="D374" s="697" t="s">
        <v>2235</v>
      </c>
      <c r="E374" s="698" t="s">
        <v>1606</v>
      </c>
      <c r="F374" s="696" t="s">
        <v>1588</v>
      </c>
      <c r="G374" s="696" t="s">
        <v>1632</v>
      </c>
      <c r="H374" s="696" t="s">
        <v>558</v>
      </c>
      <c r="I374" s="696" t="s">
        <v>2048</v>
      </c>
      <c r="J374" s="696" t="s">
        <v>2049</v>
      </c>
      <c r="K374" s="696" t="s">
        <v>2050</v>
      </c>
      <c r="L374" s="699">
        <v>37.68</v>
      </c>
      <c r="M374" s="699">
        <v>37.68</v>
      </c>
      <c r="N374" s="696">
        <v>1</v>
      </c>
      <c r="O374" s="700">
        <v>1</v>
      </c>
      <c r="P374" s="699"/>
      <c r="Q374" s="701">
        <v>0</v>
      </c>
      <c r="R374" s="696"/>
      <c r="S374" s="701">
        <v>0</v>
      </c>
      <c r="T374" s="700"/>
      <c r="U374" s="702">
        <v>0</v>
      </c>
    </row>
    <row r="375" spans="1:21" ht="14.4" customHeight="1" x14ac:dyDescent="0.3">
      <c r="A375" s="695">
        <v>31</v>
      </c>
      <c r="B375" s="696" t="s">
        <v>557</v>
      </c>
      <c r="C375" s="696">
        <v>89301312</v>
      </c>
      <c r="D375" s="697" t="s">
        <v>2235</v>
      </c>
      <c r="E375" s="698" t="s">
        <v>1606</v>
      </c>
      <c r="F375" s="696" t="s">
        <v>1588</v>
      </c>
      <c r="G375" s="696" t="s">
        <v>2051</v>
      </c>
      <c r="H375" s="696" t="s">
        <v>558</v>
      </c>
      <c r="I375" s="696" t="s">
        <v>2052</v>
      </c>
      <c r="J375" s="696" t="s">
        <v>2053</v>
      </c>
      <c r="K375" s="696" t="s">
        <v>2054</v>
      </c>
      <c r="L375" s="699">
        <v>115.3</v>
      </c>
      <c r="M375" s="699">
        <v>115.3</v>
      </c>
      <c r="N375" s="696">
        <v>1</v>
      </c>
      <c r="O375" s="700">
        <v>0.5</v>
      </c>
      <c r="P375" s="699">
        <v>115.3</v>
      </c>
      <c r="Q375" s="701">
        <v>1</v>
      </c>
      <c r="R375" s="696">
        <v>1</v>
      </c>
      <c r="S375" s="701">
        <v>1</v>
      </c>
      <c r="T375" s="700">
        <v>0.5</v>
      </c>
      <c r="U375" s="702">
        <v>1</v>
      </c>
    </row>
    <row r="376" spans="1:21" ht="14.4" customHeight="1" x14ac:dyDescent="0.3">
      <c r="A376" s="695">
        <v>31</v>
      </c>
      <c r="B376" s="696" t="s">
        <v>557</v>
      </c>
      <c r="C376" s="696">
        <v>89301312</v>
      </c>
      <c r="D376" s="697" t="s">
        <v>2235</v>
      </c>
      <c r="E376" s="698" t="s">
        <v>1606</v>
      </c>
      <c r="F376" s="696" t="s">
        <v>1588</v>
      </c>
      <c r="G376" s="696" t="s">
        <v>2055</v>
      </c>
      <c r="H376" s="696" t="s">
        <v>558</v>
      </c>
      <c r="I376" s="696" t="s">
        <v>2056</v>
      </c>
      <c r="J376" s="696" t="s">
        <v>2057</v>
      </c>
      <c r="K376" s="696" t="s">
        <v>2058</v>
      </c>
      <c r="L376" s="699">
        <v>22.59</v>
      </c>
      <c r="M376" s="699">
        <v>22.59</v>
      </c>
      <c r="N376" s="696">
        <v>1</v>
      </c>
      <c r="O376" s="700">
        <v>1</v>
      </c>
      <c r="P376" s="699">
        <v>22.59</v>
      </c>
      <c r="Q376" s="701">
        <v>1</v>
      </c>
      <c r="R376" s="696">
        <v>1</v>
      </c>
      <c r="S376" s="701">
        <v>1</v>
      </c>
      <c r="T376" s="700">
        <v>1</v>
      </c>
      <c r="U376" s="702">
        <v>1</v>
      </c>
    </row>
    <row r="377" spans="1:21" ht="14.4" customHeight="1" x14ac:dyDescent="0.3">
      <c r="A377" s="695">
        <v>31</v>
      </c>
      <c r="B377" s="696" t="s">
        <v>557</v>
      </c>
      <c r="C377" s="696">
        <v>89301312</v>
      </c>
      <c r="D377" s="697" t="s">
        <v>2235</v>
      </c>
      <c r="E377" s="698" t="s">
        <v>1606</v>
      </c>
      <c r="F377" s="696" t="s">
        <v>1588</v>
      </c>
      <c r="G377" s="696" t="s">
        <v>1847</v>
      </c>
      <c r="H377" s="696" t="s">
        <v>558</v>
      </c>
      <c r="I377" s="696" t="s">
        <v>2059</v>
      </c>
      <c r="J377" s="696" t="s">
        <v>2060</v>
      </c>
      <c r="K377" s="696" t="s">
        <v>2061</v>
      </c>
      <c r="L377" s="699">
        <v>0</v>
      </c>
      <c r="M377" s="699">
        <v>0</v>
      </c>
      <c r="N377" s="696">
        <v>1</v>
      </c>
      <c r="O377" s="700">
        <v>1</v>
      </c>
      <c r="P377" s="699"/>
      <c r="Q377" s="701"/>
      <c r="R377" s="696"/>
      <c r="S377" s="701">
        <v>0</v>
      </c>
      <c r="T377" s="700"/>
      <c r="U377" s="702">
        <v>0</v>
      </c>
    </row>
    <row r="378" spans="1:21" ht="14.4" customHeight="1" x14ac:dyDescent="0.3">
      <c r="A378" s="695">
        <v>31</v>
      </c>
      <c r="B378" s="696" t="s">
        <v>557</v>
      </c>
      <c r="C378" s="696">
        <v>89301312</v>
      </c>
      <c r="D378" s="697" t="s">
        <v>2235</v>
      </c>
      <c r="E378" s="698" t="s">
        <v>1606</v>
      </c>
      <c r="F378" s="696" t="s">
        <v>1588</v>
      </c>
      <c r="G378" s="696" t="s">
        <v>1725</v>
      </c>
      <c r="H378" s="696" t="s">
        <v>558</v>
      </c>
      <c r="I378" s="696" t="s">
        <v>715</v>
      </c>
      <c r="J378" s="696" t="s">
        <v>716</v>
      </c>
      <c r="K378" s="696" t="s">
        <v>1753</v>
      </c>
      <c r="L378" s="699">
        <v>0</v>
      </c>
      <c r="M378" s="699">
        <v>0</v>
      </c>
      <c r="N378" s="696">
        <v>1</v>
      </c>
      <c r="O378" s="700">
        <v>0.5</v>
      </c>
      <c r="P378" s="699">
        <v>0</v>
      </c>
      <c r="Q378" s="701"/>
      <c r="R378" s="696">
        <v>1</v>
      </c>
      <c r="S378" s="701">
        <v>1</v>
      </c>
      <c r="T378" s="700">
        <v>0.5</v>
      </c>
      <c r="U378" s="702">
        <v>1</v>
      </c>
    </row>
    <row r="379" spans="1:21" ht="14.4" customHeight="1" x14ac:dyDescent="0.3">
      <c r="A379" s="695">
        <v>31</v>
      </c>
      <c r="B379" s="696" t="s">
        <v>557</v>
      </c>
      <c r="C379" s="696">
        <v>89301312</v>
      </c>
      <c r="D379" s="697" t="s">
        <v>2235</v>
      </c>
      <c r="E379" s="698" t="s">
        <v>1606</v>
      </c>
      <c r="F379" s="696" t="s">
        <v>1588</v>
      </c>
      <c r="G379" s="696" t="s">
        <v>1645</v>
      </c>
      <c r="H379" s="696" t="s">
        <v>914</v>
      </c>
      <c r="I379" s="696" t="s">
        <v>1045</v>
      </c>
      <c r="J379" s="696" t="s">
        <v>1046</v>
      </c>
      <c r="K379" s="696" t="s">
        <v>1047</v>
      </c>
      <c r="L379" s="699">
        <v>154.01</v>
      </c>
      <c r="M379" s="699">
        <v>308.02</v>
      </c>
      <c r="N379" s="696">
        <v>2</v>
      </c>
      <c r="O379" s="700">
        <v>2</v>
      </c>
      <c r="P379" s="699">
        <v>308.02</v>
      </c>
      <c r="Q379" s="701">
        <v>1</v>
      </c>
      <c r="R379" s="696">
        <v>2</v>
      </c>
      <c r="S379" s="701">
        <v>1</v>
      </c>
      <c r="T379" s="700">
        <v>2</v>
      </c>
      <c r="U379" s="702">
        <v>1</v>
      </c>
    </row>
    <row r="380" spans="1:21" ht="14.4" customHeight="1" x14ac:dyDescent="0.3">
      <c r="A380" s="695">
        <v>31</v>
      </c>
      <c r="B380" s="696" t="s">
        <v>557</v>
      </c>
      <c r="C380" s="696">
        <v>89301312</v>
      </c>
      <c r="D380" s="697" t="s">
        <v>2235</v>
      </c>
      <c r="E380" s="698" t="s">
        <v>1606</v>
      </c>
      <c r="F380" s="696" t="s">
        <v>1588</v>
      </c>
      <c r="G380" s="696" t="s">
        <v>1756</v>
      </c>
      <c r="H380" s="696" t="s">
        <v>558</v>
      </c>
      <c r="I380" s="696" t="s">
        <v>972</v>
      </c>
      <c r="J380" s="696" t="s">
        <v>973</v>
      </c>
      <c r="K380" s="696" t="s">
        <v>1757</v>
      </c>
      <c r="L380" s="699">
        <v>31.54</v>
      </c>
      <c r="M380" s="699">
        <v>31.54</v>
      </c>
      <c r="N380" s="696">
        <v>1</v>
      </c>
      <c r="O380" s="700">
        <v>1</v>
      </c>
      <c r="P380" s="699">
        <v>31.54</v>
      </c>
      <c r="Q380" s="701">
        <v>1</v>
      </c>
      <c r="R380" s="696">
        <v>1</v>
      </c>
      <c r="S380" s="701">
        <v>1</v>
      </c>
      <c r="T380" s="700">
        <v>1</v>
      </c>
      <c r="U380" s="702">
        <v>1</v>
      </c>
    </row>
    <row r="381" spans="1:21" ht="14.4" customHeight="1" x14ac:dyDescent="0.3">
      <c r="A381" s="695">
        <v>31</v>
      </c>
      <c r="B381" s="696" t="s">
        <v>557</v>
      </c>
      <c r="C381" s="696">
        <v>89301312</v>
      </c>
      <c r="D381" s="697" t="s">
        <v>2235</v>
      </c>
      <c r="E381" s="698" t="s">
        <v>1606</v>
      </c>
      <c r="F381" s="696" t="s">
        <v>1588</v>
      </c>
      <c r="G381" s="696" t="s">
        <v>1614</v>
      </c>
      <c r="H381" s="696" t="s">
        <v>914</v>
      </c>
      <c r="I381" s="696" t="s">
        <v>1367</v>
      </c>
      <c r="J381" s="696" t="s">
        <v>1317</v>
      </c>
      <c r="K381" s="696" t="s">
        <v>1368</v>
      </c>
      <c r="L381" s="699">
        <v>625.29</v>
      </c>
      <c r="M381" s="699">
        <v>5627.61</v>
      </c>
      <c r="N381" s="696">
        <v>9</v>
      </c>
      <c r="O381" s="700">
        <v>5</v>
      </c>
      <c r="P381" s="699">
        <v>5627.61</v>
      </c>
      <c r="Q381" s="701">
        <v>1</v>
      </c>
      <c r="R381" s="696">
        <v>9</v>
      </c>
      <c r="S381" s="701">
        <v>1</v>
      </c>
      <c r="T381" s="700">
        <v>5</v>
      </c>
      <c r="U381" s="702">
        <v>1</v>
      </c>
    </row>
    <row r="382" spans="1:21" ht="14.4" customHeight="1" x14ac:dyDescent="0.3">
      <c r="A382" s="695">
        <v>31</v>
      </c>
      <c r="B382" s="696" t="s">
        <v>557</v>
      </c>
      <c r="C382" s="696">
        <v>89301312</v>
      </c>
      <c r="D382" s="697" t="s">
        <v>2235</v>
      </c>
      <c r="E382" s="698" t="s">
        <v>1606</v>
      </c>
      <c r="F382" s="696" t="s">
        <v>1588</v>
      </c>
      <c r="G382" s="696" t="s">
        <v>1614</v>
      </c>
      <c r="H382" s="696" t="s">
        <v>914</v>
      </c>
      <c r="I382" s="696" t="s">
        <v>1316</v>
      </c>
      <c r="J382" s="696" t="s">
        <v>1317</v>
      </c>
      <c r="K382" s="696" t="s">
        <v>1318</v>
      </c>
      <c r="L382" s="699">
        <v>937.93</v>
      </c>
      <c r="M382" s="699">
        <v>937.93</v>
      </c>
      <c r="N382" s="696">
        <v>1</v>
      </c>
      <c r="O382" s="700">
        <v>1</v>
      </c>
      <c r="P382" s="699">
        <v>937.93</v>
      </c>
      <c r="Q382" s="701">
        <v>1</v>
      </c>
      <c r="R382" s="696">
        <v>1</v>
      </c>
      <c r="S382" s="701">
        <v>1</v>
      </c>
      <c r="T382" s="700">
        <v>1</v>
      </c>
      <c r="U382" s="702">
        <v>1</v>
      </c>
    </row>
    <row r="383" spans="1:21" ht="14.4" customHeight="1" x14ac:dyDescent="0.3">
      <c r="A383" s="695">
        <v>31</v>
      </c>
      <c r="B383" s="696" t="s">
        <v>557</v>
      </c>
      <c r="C383" s="696">
        <v>89301312</v>
      </c>
      <c r="D383" s="697" t="s">
        <v>2235</v>
      </c>
      <c r="E383" s="698" t="s">
        <v>1606</v>
      </c>
      <c r="F383" s="696" t="s">
        <v>1588</v>
      </c>
      <c r="G383" s="696" t="s">
        <v>1651</v>
      </c>
      <c r="H383" s="696" t="s">
        <v>914</v>
      </c>
      <c r="I383" s="696" t="s">
        <v>944</v>
      </c>
      <c r="J383" s="696" t="s">
        <v>917</v>
      </c>
      <c r="K383" s="696" t="s">
        <v>1542</v>
      </c>
      <c r="L383" s="699">
        <v>48.31</v>
      </c>
      <c r="M383" s="699">
        <v>48.31</v>
      </c>
      <c r="N383" s="696">
        <v>1</v>
      </c>
      <c r="O383" s="700">
        <v>0.5</v>
      </c>
      <c r="P383" s="699">
        <v>48.31</v>
      </c>
      <c r="Q383" s="701">
        <v>1</v>
      </c>
      <c r="R383" s="696">
        <v>1</v>
      </c>
      <c r="S383" s="701">
        <v>1</v>
      </c>
      <c r="T383" s="700">
        <v>0.5</v>
      </c>
      <c r="U383" s="702">
        <v>1</v>
      </c>
    </row>
    <row r="384" spans="1:21" ht="14.4" customHeight="1" x14ac:dyDescent="0.3">
      <c r="A384" s="695">
        <v>31</v>
      </c>
      <c r="B384" s="696" t="s">
        <v>557</v>
      </c>
      <c r="C384" s="696">
        <v>89301312</v>
      </c>
      <c r="D384" s="697" t="s">
        <v>2235</v>
      </c>
      <c r="E384" s="698" t="s">
        <v>1606</v>
      </c>
      <c r="F384" s="696" t="s">
        <v>1588</v>
      </c>
      <c r="G384" s="696" t="s">
        <v>1651</v>
      </c>
      <c r="H384" s="696" t="s">
        <v>914</v>
      </c>
      <c r="I384" s="696" t="s">
        <v>916</v>
      </c>
      <c r="J384" s="696" t="s">
        <v>917</v>
      </c>
      <c r="K384" s="696" t="s">
        <v>1543</v>
      </c>
      <c r="L384" s="699">
        <v>96.63</v>
      </c>
      <c r="M384" s="699">
        <v>193.26</v>
      </c>
      <c r="N384" s="696">
        <v>2</v>
      </c>
      <c r="O384" s="700">
        <v>1</v>
      </c>
      <c r="P384" s="699">
        <v>193.26</v>
      </c>
      <c r="Q384" s="701">
        <v>1</v>
      </c>
      <c r="R384" s="696">
        <v>2</v>
      </c>
      <c r="S384" s="701">
        <v>1</v>
      </c>
      <c r="T384" s="700">
        <v>1</v>
      </c>
      <c r="U384" s="702">
        <v>1</v>
      </c>
    </row>
    <row r="385" spans="1:21" ht="14.4" customHeight="1" x14ac:dyDescent="0.3">
      <c r="A385" s="695">
        <v>31</v>
      </c>
      <c r="B385" s="696" t="s">
        <v>557</v>
      </c>
      <c r="C385" s="696">
        <v>89301312</v>
      </c>
      <c r="D385" s="697" t="s">
        <v>2235</v>
      </c>
      <c r="E385" s="698" t="s">
        <v>1606</v>
      </c>
      <c r="F385" s="696" t="s">
        <v>1588</v>
      </c>
      <c r="G385" s="696" t="s">
        <v>1651</v>
      </c>
      <c r="H385" s="696" t="s">
        <v>558</v>
      </c>
      <c r="I385" s="696" t="s">
        <v>1948</v>
      </c>
      <c r="J385" s="696" t="s">
        <v>1949</v>
      </c>
      <c r="K385" s="696" t="s">
        <v>1950</v>
      </c>
      <c r="L385" s="699">
        <v>96.63</v>
      </c>
      <c r="M385" s="699">
        <v>96.63</v>
      </c>
      <c r="N385" s="696">
        <v>1</v>
      </c>
      <c r="O385" s="700">
        <v>0.5</v>
      </c>
      <c r="P385" s="699">
        <v>96.63</v>
      </c>
      <c r="Q385" s="701">
        <v>1</v>
      </c>
      <c r="R385" s="696">
        <v>1</v>
      </c>
      <c r="S385" s="701">
        <v>1</v>
      </c>
      <c r="T385" s="700">
        <v>0.5</v>
      </c>
      <c r="U385" s="702">
        <v>1</v>
      </c>
    </row>
    <row r="386" spans="1:21" ht="14.4" customHeight="1" x14ac:dyDescent="0.3">
      <c r="A386" s="695">
        <v>31</v>
      </c>
      <c r="B386" s="696" t="s">
        <v>557</v>
      </c>
      <c r="C386" s="696">
        <v>89301312</v>
      </c>
      <c r="D386" s="697" t="s">
        <v>2235</v>
      </c>
      <c r="E386" s="698" t="s">
        <v>1606</v>
      </c>
      <c r="F386" s="696" t="s">
        <v>1588</v>
      </c>
      <c r="G386" s="696" t="s">
        <v>1651</v>
      </c>
      <c r="H386" s="696" t="s">
        <v>558</v>
      </c>
      <c r="I386" s="696" t="s">
        <v>1652</v>
      </c>
      <c r="J386" s="696" t="s">
        <v>917</v>
      </c>
      <c r="K386" s="696" t="s">
        <v>1653</v>
      </c>
      <c r="L386" s="699">
        <v>48.31</v>
      </c>
      <c r="M386" s="699">
        <v>48.31</v>
      </c>
      <c r="N386" s="696">
        <v>1</v>
      </c>
      <c r="O386" s="700">
        <v>0.5</v>
      </c>
      <c r="P386" s="699">
        <v>48.31</v>
      </c>
      <c r="Q386" s="701">
        <v>1</v>
      </c>
      <c r="R386" s="696">
        <v>1</v>
      </c>
      <c r="S386" s="701">
        <v>1</v>
      </c>
      <c r="T386" s="700">
        <v>0.5</v>
      </c>
      <c r="U386" s="702">
        <v>1</v>
      </c>
    </row>
    <row r="387" spans="1:21" ht="14.4" customHeight="1" x14ac:dyDescent="0.3">
      <c r="A387" s="695">
        <v>31</v>
      </c>
      <c r="B387" s="696" t="s">
        <v>557</v>
      </c>
      <c r="C387" s="696">
        <v>89301312</v>
      </c>
      <c r="D387" s="697" t="s">
        <v>2235</v>
      </c>
      <c r="E387" s="698" t="s">
        <v>1606</v>
      </c>
      <c r="F387" s="696" t="s">
        <v>1588</v>
      </c>
      <c r="G387" s="696" t="s">
        <v>1951</v>
      </c>
      <c r="H387" s="696" t="s">
        <v>558</v>
      </c>
      <c r="I387" s="696" t="s">
        <v>2062</v>
      </c>
      <c r="J387" s="696" t="s">
        <v>1953</v>
      </c>
      <c r="K387" s="696" t="s">
        <v>1851</v>
      </c>
      <c r="L387" s="699">
        <v>56.69</v>
      </c>
      <c r="M387" s="699">
        <v>56.69</v>
      </c>
      <c r="N387" s="696">
        <v>1</v>
      </c>
      <c r="O387" s="700">
        <v>0.5</v>
      </c>
      <c r="P387" s="699">
        <v>56.69</v>
      </c>
      <c r="Q387" s="701">
        <v>1</v>
      </c>
      <c r="R387" s="696">
        <v>1</v>
      </c>
      <c r="S387" s="701">
        <v>1</v>
      </c>
      <c r="T387" s="700">
        <v>0.5</v>
      </c>
      <c r="U387" s="702">
        <v>1</v>
      </c>
    </row>
    <row r="388" spans="1:21" ht="14.4" customHeight="1" x14ac:dyDescent="0.3">
      <c r="A388" s="695">
        <v>31</v>
      </c>
      <c r="B388" s="696" t="s">
        <v>557</v>
      </c>
      <c r="C388" s="696">
        <v>89301312</v>
      </c>
      <c r="D388" s="697" t="s">
        <v>2235</v>
      </c>
      <c r="E388" s="698" t="s">
        <v>1606</v>
      </c>
      <c r="F388" s="696" t="s">
        <v>1588</v>
      </c>
      <c r="G388" s="696" t="s">
        <v>1668</v>
      </c>
      <c r="H388" s="696" t="s">
        <v>558</v>
      </c>
      <c r="I388" s="696" t="s">
        <v>647</v>
      </c>
      <c r="J388" s="696" t="s">
        <v>1669</v>
      </c>
      <c r="K388" s="696" t="s">
        <v>1670</v>
      </c>
      <c r="L388" s="699">
        <v>0</v>
      </c>
      <c r="M388" s="699">
        <v>0</v>
      </c>
      <c r="N388" s="696">
        <v>1</v>
      </c>
      <c r="O388" s="700">
        <v>0.5</v>
      </c>
      <c r="P388" s="699">
        <v>0</v>
      </c>
      <c r="Q388" s="701"/>
      <c r="R388" s="696">
        <v>1</v>
      </c>
      <c r="S388" s="701">
        <v>1</v>
      </c>
      <c r="T388" s="700">
        <v>0.5</v>
      </c>
      <c r="U388" s="702">
        <v>1</v>
      </c>
    </row>
    <row r="389" spans="1:21" ht="14.4" customHeight="1" x14ac:dyDescent="0.3">
      <c r="A389" s="695">
        <v>31</v>
      </c>
      <c r="B389" s="696" t="s">
        <v>557</v>
      </c>
      <c r="C389" s="696">
        <v>89301312</v>
      </c>
      <c r="D389" s="697" t="s">
        <v>2235</v>
      </c>
      <c r="E389" s="698" t="s">
        <v>1606</v>
      </c>
      <c r="F389" s="696" t="s">
        <v>1588</v>
      </c>
      <c r="G389" s="696" t="s">
        <v>1758</v>
      </c>
      <c r="H389" s="696" t="s">
        <v>558</v>
      </c>
      <c r="I389" s="696" t="s">
        <v>1759</v>
      </c>
      <c r="J389" s="696" t="s">
        <v>1760</v>
      </c>
      <c r="K389" s="696" t="s">
        <v>1761</v>
      </c>
      <c r="L389" s="699">
        <v>20.329999999999998</v>
      </c>
      <c r="M389" s="699">
        <v>20.329999999999998</v>
      </c>
      <c r="N389" s="696">
        <v>1</v>
      </c>
      <c r="O389" s="700">
        <v>1</v>
      </c>
      <c r="P389" s="699"/>
      <c r="Q389" s="701">
        <v>0</v>
      </c>
      <c r="R389" s="696"/>
      <c r="S389" s="701">
        <v>0</v>
      </c>
      <c r="T389" s="700"/>
      <c r="U389" s="702">
        <v>0</v>
      </c>
    </row>
    <row r="390" spans="1:21" ht="14.4" customHeight="1" x14ac:dyDescent="0.3">
      <c r="A390" s="695">
        <v>31</v>
      </c>
      <c r="B390" s="696" t="s">
        <v>557</v>
      </c>
      <c r="C390" s="696">
        <v>89301312</v>
      </c>
      <c r="D390" s="697" t="s">
        <v>2235</v>
      </c>
      <c r="E390" s="698" t="s">
        <v>1606</v>
      </c>
      <c r="F390" s="696" t="s">
        <v>1588</v>
      </c>
      <c r="G390" s="696" t="s">
        <v>1758</v>
      </c>
      <c r="H390" s="696" t="s">
        <v>558</v>
      </c>
      <c r="I390" s="696" t="s">
        <v>2063</v>
      </c>
      <c r="J390" s="696" t="s">
        <v>1760</v>
      </c>
      <c r="K390" s="696" t="s">
        <v>2064</v>
      </c>
      <c r="L390" s="699">
        <v>40.64</v>
      </c>
      <c r="M390" s="699">
        <v>40.64</v>
      </c>
      <c r="N390" s="696">
        <v>1</v>
      </c>
      <c r="O390" s="700">
        <v>0.5</v>
      </c>
      <c r="P390" s="699">
        <v>40.64</v>
      </c>
      <c r="Q390" s="701">
        <v>1</v>
      </c>
      <c r="R390" s="696">
        <v>1</v>
      </c>
      <c r="S390" s="701">
        <v>1</v>
      </c>
      <c r="T390" s="700">
        <v>0.5</v>
      </c>
      <c r="U390" s="702">
        <v>1</v>
      </c>
    </row>
    <row r="391" spans="1:21" ht="14.4" customHeight="1" x14ac:dyDescent="0.3">
      <c r="A391" s="695">
        <v>31</v>
      </c>
      <c r="B391" s="696" t="s">
        <v>557</v>
      </c>
      <c r="C391" s="696">
        <v>89301312</v>
      </c>
      <c r="D391" s="697" t="s">
        <v>2235</v>
      </c>
      <c r="E391" s="698" t="s">
        <v>1606</v>
      </c>
      <c r="F391" s="696" t="s">
        <v>1590</v>
      </c>
      <c r="G391" s="696" t="s">
        <v>1700</v>
      </c>
      <c r="H391" s="696" t="s">
        <v>558</v>
      </c>
      <c r="I391" s="696" t="s">
        <v>1905</v>
      </c>
      <c r="J391" s="696" t="s">
        <v>1906</v>
      </c>
      <c r="K391" s="696" t="s">
        <v>1907</v>
      </c>
      <c r="L391" s="699">
        <v>245.43</v>
      </c>
      <c r="M391" s="699">
        <v>245.43</v>
      </c>
      <c r="N391" s="696">
        <v>1</v>
      </c>
      <c r="O391" s="700">
        <v>1</v>
      </c>
      <c r="P391" s="699">
        <v>245.43</v>
      </c>
      <c r="Q391" s="701">
        <v>1</v>
      </c>
      <c r="R391" s="696">
        <v>1</v>
      </c>
      <c r="S391" s="701">
        <v>1</v>
      </c>
      <c r="T391" s="700">
        <v>1</v>
      </c>
      <c r="U391" s="702">
        <v>1</v>
      </c>
    </row>
    <row r="392" spans="1:21" ht="14.4" customHeight="1" x14ac:dyDescent="0.3">
      <c r="A392" s="695">
        <v>31</v>
      </c>
      <c r="B392" s="696" t="s">
        <v>557</v>
      </c>
      <c r="C392" s="696">
        <v>89301312</v>
      </c>
      <c r="D392" s="697" t="s">
        <v>2235</v>
      </c>
      <c r="E392" s="698" t="s">
        <v>1606</v>
      </c>
      <c r="F392" s="696" t="s">
        <v>1590</v>
      </c>
      <c r="G392" s="696" t="s">
        <v>1700</v>
      </c>
      <c r="H392" s="696" t="s">
        <v>558</v>
      </c>
      <c r="I392" s="696" t="s">
        <v>1710</v>
      </c>
      <c r="J392" s="696" t="s">
        <v>1711</v>
      </c>
      <c r="K392" s="696" t="s">
        <v>1712</v>
      </c>
      <c r="L392" s="699">
        <v>750</v>
      </c>
      <c r="M392" s="699">
        <v>3750</v>
      </c>
      <c r="N392" s="696">
        <v>5</v>
      </c>
      <c r="O392" s="700">
        <v>5</v>
      </c>
      <c r="P392" s="699">
        <v>3750</v>
      </c>
      <c r="Q392" s="701">
        <v>1</v>
      </c>
      <c r="R392" s="696">
        <v>5</v>
      </c>
      <c r="S392" s="701">
        <v>1</v>
      </c>
      <c r="T392" s="700">
        <v>5</v>
      </c>
      <c r="U392" s="702">
        <v>1</v>
      </c>
    </row>
    <row r="393" spans="1:21" ht="14.4" customHeight="1" x14ac:dyDescent="0.3">
      <c r="A393" s="695">
        <v>31</v>
      </c>
      <c r="B393" s="696" t="s">
        <v>557</v>
      </c>
      <c r="C393" s="696">
        <v>89301312</v>
      </c>
      <c r="D393" s="697" t="s">
        <v>2235</v>
      </c>
      <c r="E393" s="698" t="s">
        <v>1606</v>
      </c>
      <c r="F393" s="696" t="s">
        <v>1590</v>
      </c>
      <c r="G393" s="696" t="s">
        <v>1700</v>
      </c>
      <c r="H393" s="696" t="s">
        <v>558</v>
      </c>
      <c r="I393" s="696" t="s">
        <v>2065</v>
      </c>
      <c r="J393" s="696" t="s">
        <v>2066</v>
      </c>
      <c r="K393" s="696" t="s">
        <v>2067</v>
      </c>
      <c r="L393" s="699">
        <v>746.76</v>
      </c>
      <c r="M393" s="699">
        <v>746.76</v>
      </c>
      <c r="N393" s="696">
        <v>1</v>
      </c>
      <c r="O393" s="700">
        <v>1</v>
      </c>
      <c r="P393" s="699"/>
      <c r="Q393" s="701">
        <v>0</v>
      </c>
      <c r="R393" s="696"/>
      <c r="S393" s="701">
        <v>0</v>
      </c>
      <c r="T393" s="700"/>
      <c r="U393" s="702">
        <v>0</v>
      </c>
    </row>
    <row r="394" spans="1:21" ht="14.4" customHeight="1" x14ac:dyDescent="0.3">
      <c r="A394" s="695">
        <v>31</v>
      </c>
      <c r="B394" s="696" t="s">
        <v>557</v>
      </c>
      <c r="C394" s="696">
        <v>89301312</v>
      </c>
      <c r="D394" s="697" t="s">
        <v>2235</v>
      </c>
      <c r="E394" s="698" t="s">
        <v>1606</v>
      </c>
      <c r="F394" s="696" t="s">
        <v>1590</v>
      </c>
      <c r="G394" s="696" t="s">
        <v>1700</v>
      </c>
      <c r="H394" s="696" t="s">
        <v>558</v>
      </c>
      <c r="I394" s="696" t="s">
        <v>1744</v>
      </c>
      <c r="J394" s="696" t="s">
        <v>1745</v>
      </c>
      <c r="K394" s="696" t="s">
        <v>1746</v>
      </c>
      <c r="L394" s="699">
        <v>2010.55</v>
      </c>
      <c r="M394" s="699">
        <v>2010.55</v>
      </c>
      <c r="N394" s="696">
        <v>1</v>
      </c>
      <c r="O394" s="700">
        <v>1</v>
      </c>
      <c r="P394" s="699">
        <v>2010.55</v>
      </c>
      <c r="Q394" s="701">
        <v>1</v>
      </c>
      <c r="R394" s="696">
        <v>1</v>
      </c>
      <c r="S394" s="701">
        <v>1</v>
      </c>
      <c r="T394" s="700">
        <v>1</v>
      </c>
      <c r="U394" s="702">
        <v>1</v>
      </c>
    </row>
    <row r="395" spans="1:21" ht="14.4" customHeight="1" x14ac:dyDescent="0.3">
      <c r="A395" s="695">
        <v>31</v>
      </c>
      <c r="B395" s="696" t="s">
        <v>557</v>
      </c>
      <c r="C395" s="696">
        <v>89301312</v>
      </c>
      <c r="D395" s="697" t="s">
        <v>2235</v>
      </c>
      <c r="E395" s="698" t="s">
        <v>1606</v>
      </c>
      <c r="F395" s="696" t="s">
        <v>1590</v>
      </c>
      <c r="G395" s="696" t="s">
        <v>1700</v>
      </c>
      <c r="H395" s="696" t="s">
        <v>558</v>
      </c>
      <c r="I395" s="696" t="s">
        <v>2068</v>
      </c>
      <c r="J395" s="696" t="s">
        <v>2069</v>
      </c>
      <c r="K395" s="696" t="s">
        <v>1992</v>
      </c>
      <c r="L395" s="699">
        <v>1000</v>
      </c>
      <c r="M395" s="699">
        <v>1000</v>
      </c>
      <c r="N395" s="696">
        <v>1</v>
      </c>
      <c r="O395" s="700">
        <v>1</v>
      </c>
      <c r="P395" s="699"/>
      <c r="Q395" s="701">
        <v>0</v>
      </c>
      <c r="R395" s="696"/>
      <c r="S395" s="701">
        <v>0</v>
      </c>
      <c r="T395" s="700"/>
      <c r="U395" s="702">
        <v>0</v>
      </c>
    </row>
    <row r="396" spans="1:21" ht="14.4" customHeight="1" x14ac:dyDescent="0.3">
      <c r="A396" s="695">
        <v>31</v>
      </c>
      <c r="B396" s="696" t="s">
        <v>557</v>
      </c>
      <c r="C396" s="696">
        <v>89301312</v>
      </c>
      <c r="D396" s="697" t="s">
        <v>2235</v>
      </c>
      <c r="E396" s="698" t="s">
        <v>1606</v>
      </c>
      <c r="F396" s="696" t="s">
        <v>1590</v>
      </c>
      <c r="G396" s="696" t="s">
        <v>1700</v>
      </c>
      <c r="H396" s="696" t="s">
        <v>558</v>
      </c>
      <c r="I396" s="696" t="s">
        <v>2070</v>
      </c>
      <c r="J396" s="696" t="s">
        <v>2071</v>
      </c>
      <c r="K396" s="696" t="s">
        <v>2072</v>
      </c>
      <c r="L396" s="699">
        <v>750</v>
      </c>
      <c r="M396" s="699">
        <v>750</v>
      </c>
      <c r="N396" s="696">
        <v>1</v>
      </c>
      <c r="O396" s="700">
        <v>1</v>
      </c>
      <c r="P396" s="699">
        <v>750</v>
      </c>
      <c r="Q396" s="701">
        <v>1</v>
      </c>
      <c r="R396" s="696">
        <v>1</v>
      </c>
      <c r="S396" s="701">
        <v>1</v>
      </c>
      <c r="T396" s="700">
        <v>1</v>
      </c>
      <c r="U396" s="702">
        <v>1</v>
      </c>
    </row>
    <row r="397" spans="1:21" ht="14.4" customHeight="1" x14ac:dyDescent="0.3">
      <c r="A397" s="695">
        <v>31</v>
      </c>
      <c r="B397" s="696" t="s">
        <v>557</v>
      </c>
      <c r="C397" s="696">
        <v>89301312</v>
      </c>
      <c r="D397" s="697" t="s">
        <v>2235</v>
      </c>
      <c r="E397" s="698" t="s">
        <v>1606</v>
      </c>
      <c r="F397" s="696" t="s">
        <v>1590</v>
      </c>
      <c r="G397" s="696" t="s">
        <v>1700</v>
      </c>
      <c r="H397" s="696" t="s">
        <v>558</v>
      </c>
      <c r="I397" s="696" t="s">
        <v>1896</v>
      </c>
      <c r="J397" s="696" t="s">
        <v>1897</v>
      </c>
      <c r="K397" s="696" t="s">
        <v>1898</v>
      </c>
      <c r="L397" s="699">
        <v>250</v>
      </c>
      <c r="M397" s="699">
        <v>500</v>
      </c>
      <c r="N397" s="696">
        <v>2</v>
      </c>
      <c r="O397" s="700">
        <v>2</v>
      </c>
      <c r="P397" s="699">
        <v>500</v>
      </c>
      <c r="Q397" s="701">
        <v>1</v>
      </c>
      <c r="R397" s="696">
        <v>2</v>
      </c>
      <c r="S397" s="701">
        <v>1</v>
      </c>
      <c r="T397" s="700">
        <v>2</v>
      </c>
      <c r="U397" s="702">
        <v>1</v>
      </c>
    </row>
    <row r="398" spans="1:21" ht="14.4" customHeight="1" x14ac:dyDescent="0.3">
      <c r="A398" s="695">
        <v>31</v>
      </c>
      <c r="B398" s="696" t="s">
        <v>557</v>
      </c>
      <c r="C398" s="696">
        <v>89301312</v>
      </c>
      <c r="D398" s="697" t="s">
        <v>2235</v>
      </c>
      <c r="E398" s="698" t="s">
        <v>1606</v>
      </c>
      <c r="F398" s="696" t="s">
        <v>1590</v>
      </c>
      <c r="G398" s="696" t="s">
        <v>1700</v>
      </c>
      <c r="H398" s="696" t="s">
        <v>558</v>
      </c>
      <c r="I398" s="696" t="s">
        <v>1913</v>
      </c>
      <c r="J398" s="696" t="s">
        <v>1914</v>
      </c>
      <c r="K398" s="696"/>
      <c r="L398" s="699">
        <v>80.349999999999994</v>
      </c>
      <c r="M398" s="699">
        <v>80.349999999999994</v>
      </c>
      <c r="N398" s="696">
        <v>1</v>
      </c>
      <c r="O398" s="700">
        <v>1</v>
      </c>
      <c r="P398" s="699">
        <v>80.349999999999994</v>
      </c>
      <c r="Q398" s="701">
        <v>1</v>
      </c>
      <c r="R398" s="696">
        <v>1</v>
      </c>
      <c r="S398" s="701">
        <v>1</v>
      </c>
      <c r="T398" s="700">
        <v>1</v>
      </c>
      <c r="U398" s="702">
        <v>1</v>
      </c>
    </row>
    <row r="399" spans="1:21" ht="14.4" customHeight="1" x14ac:dyDescent="0.3">
      <c r="A399" s="695">
        <v>31</v>
      </c>
      <c r="B399" s="696" t="s">
        <v>557</v>
      </c>
      <c r="C399" s="696">
        <v>89301312</v>
      </c>
      <c r="D399" s="697" t="s">
        <v>2235</v>
      </c>
      <c r="E399" s="698" t="s">
        <v>1606</v>
      </c>
      <c r="F399" s="696" t="s">
        <v>1590</v>
      </c>
      <c r="G399" s="696" t="s">
        <v>1700</v>
      </c>
      <c r="H399" s="696" t="s">
        <v>558</v>
      </c>
      <c r="I399" s="696" t="s">
        <v>1812</v>
      </c>
      <c r="J399" s="696" t="s">
        <v>1813</v>
      </c>
      <c r="K399" s="696" t="s">
        <v>1814</v>
      </c>
      <c r="L399" s="699">
        <v>350</v>
      </c>
      <c r="M399" s="699">
        <v>1050</v>
      </c>
      <c r="N399" s="696">
        <v>3</v>
      </c>
      <c r="O399" s="700">
        <v>3</v>
      </c>
      <c r="P399" s="699">
        <v>1050</v>
      </c>
      <c r="Q399" s="701">
        <v>1</v>
      </c>
      <c r="R399" s="696">
        <v>3</v>
      </c>
      <c r="S399" s="701">
        <v>1</v>
      </c>
      <c r="T399" s="700">
        <v>3</v>
      </c>
      <c r="U399" s="702">
        <v>1</v>
      </c>
    </row>
    <row r="400" spans="1:21" ht="14.4" customHeight="1" x14ac:dyDescent="0.3">
      <c r="A400" s="695">
        <v>31</v>
      </c>
      <c r="B400" s="696" t="s">
        <v>557</v>
      </c>
      <c r="C400" s="696">
        <v>89301312</v>
      </c>
      <c r="D400" s="697" t="s">
        <v>2235</v>
      </c>
      <c r="E400" s="698" t="s">
        <v>1607</v>
      </c>
      <c r="F400" s="696" t="s">
        <v>1588</v>
      </c>
      <c r="G400" s="696" t="s">
        <v>1624</v>
      </c>
      <c r="H400" s="696" t="s">
        <v>914</v>
      </c>
      <c r="I400" s="696" t="s">
        <v>1417</v>
      </c>
      <c r="J400" s="696" t="s">
        <v>1418</v>
      </c>
      <c r="K400" s="696" t="s">
        <v>1537</v>
      </c>
      <c r="L400" s="699">
        <v>184.22</v>
      </c>
      <c r="M400" s="699">
        <v>184.22</v>
      </c>
      <c r="N400" s="696">
        <v>1</v>
      </c>
      <c r="O400" s="700">
        <v>1</v>
      </c>
      <c r="P400" s="699">
        <v>184.22</v>
      </c>
      <c r="Q400" s="701">
        <v>1</v>
      </c>
      <c r="R400" s="696">
        <v>1</v>
      </c>
      <c r="S400" s="701">
        <v>1</v>
      </c>
      <c r="T400" s="700">
        <v>1</v>
      </c>
      <c r="U400" s="702">
        <v>1</v>
      </c>
    </row>
    <row r="401" spans="1:21" ht="14.4" customHeight="1" x14ac:dyDescent="0.3">
      <c r="A401" s="695">
        <v>31</v>
      </c>
      <c r="B401" s="696" t="s">
        <v>557</v>
      </c>
      <c r="C401" s="696">
        <v>89301312</v>
      </c>
      <c r="D401" s="697" t="s">
        <v>2235</v>
      </c>
      <c r="E401" s="698" t="s">
        <v>1607</v>
      </c>
      <c r="F401" s="696" t="s">
        <v>1588</v>
      </c>
      <c r="G401" s="696" t="s">
        <v>1627</v>
      </c>
      <c r="H401" s="696" t="s">
        <v>914</v>
      </c>
      <c r="I401" s="696" t="s">
        <v>1030</v>
      </c>
      <c r="J401" s="696" t="s">
        <v>1031</v>
      </c>
      <c r="K401" s="696" t="s">
        <v>1537</v>
      </c>
      <c r="L401" s="699">
        <v>69.86</v>
      </c>
      <c r="M401" s="699">
        <v>69.86</v>
      </c>
      <c r="N401" s="696">
        <v>1</v>
      </c>
      <c r="O401" s="700">
        <v>0.5</v>
      </c>
      <c r="P401" s="699">
        <v>69.86</v>
      </c>
      <c r="Q401" s="701">
        <v>1</v>
      </c>
      <c r="R401" s="696">
        <v>1</v>
      </c>
      <c r="S401" s="701">
        <v>1</v>
      </c>
      <c r="T401" s="700">
        <v>0.5</v>
      </c>
      <c r="U401" s="702">
        <v>1</v>
      </c>
    </row>
    <row r="402" spans="1:21" ht="14.4" customHeight="1" x14ac:dyDescent="0.3">
      <c r="A402" s="695">
        <v>31</v>
      </c>
      <c r="B402" s="696" t="s">
        <v>557</v>
      </c>
      <c r="C402" s="696">
        <v>89301312</v>
      </c>
      <c r="D402" s="697" t="s">
        <v>2235</v>
      </c>
      <c r="E402" s="698" t="s">
        <v>1607</v>
      </c>
      <c r="F402" s="696" t="s">
        <v>1588</v>
      </c>
      <c r="G402" s="696" t="s">
        <v>1632</v>
      </c>
      <c r="H402" s="696" t="s">
        <v>558</v>
      </c>
      <c r="I402" s="696" t="s">
        <v>903</v>
      </c>
      <c r="J402" s="696" t="s">
        <v>904</v>
      </c>
      <c r="K402" s="696" t="s">
        <v>905</v>
      </c>
      <c r="L402" s="699">
        <v>106.49</v>
      </c>
      <c r="M402" s="699">
        <v>106.49</v>
      </c>
      <c r="N402" s="696">
        <v>1</v>
      </c>
      <c r="O402" s="700">
        <v>0.5</v>
      </c>
      <c r="P402" s="699">
        <v>106.49</v>
      </c>
      <c r="Q402" s="701">
        <v>1</v>
      </c>
      <c r="R402" s="696">
        <v>1</v>
      </c>
      <c r="S402" s="701">
        <v>1</v>
      </c>
      <c r="T402" s="700">
        <v>0.5</v>
      </c>
      <c r="U402" s="702">
        <v>1</v>
      </c>
    </row>
    <row r="403" spans="1:21" ht="14.4" customHeight="1" x14ac:dyDescent="0.3">
      <c r="A403" s="695">
        <v>31</v>
      </c>
      <c r="B403" s="696" t="s">
        <v>557</v>
      </c>
      <c r="C403" s="696">
        <v>89301312</v>
      </c>
      <c r="D403" s="697" t="s">
        <v>2235</v>
      </c>
      <c r="E403" s="698" t="s">
        <v>1607</v>
      </c>
      <c r="F403" s="696" t="s">
        <v>1588</v>
      </c>
      <c r="G403" s="696" t="s">
        <v>1632</v>
      </c>
      <c r="H403" s="696" t="s">
        <v>558</v>
      </c>
      <c r="I403" s="696" t="s">
        <v>2073</v>
      </c>
      <c r="J403" s="696" t="s">
        <v>2074</v>
      </c>
      <c r="K403" s="696" t="s">
        <v>2075</v>
      </c>
      <c r="L403" s="699">
        <v>75.36</v>
      </c>
      <c r="M403" s="699">
        <v>75.36</v>
      </c>
      <c r="N403" s="696">
        <v>1</v>
      </c>
      <c r="O403" s="700">
        <v>1</v>
      </c>
      <c r="P403" s="699"/>
      <c r="Q403" s="701">
        <v>0</v>
      </c>
      <c r="R403" s="696"/>
      <c r="S403" s="701">
        <v>0</v>
      </c>
      <c r="T403" s="700"/>
      <c r="U403" s="702">
        <v>0</v>
      </c>
    </row>
    <row r="404" spans="1:21" ht="14.4" customHeight="1" x14ac:dyDescent="0.3">
      <c r="A404" s="695">
        <v>31</v>
      </c>
      <c r="B404" s="696" t="s">
        <v>557</v>
      </c>
      <c r="C404" s="696">
        <v>89301312</v>
      </c>
      <c r="D404" s="697" t="s">
        <v>2235</v>
      </c>
      <c r="E404" s="698" t="s">
        <v>1607</v>
      </c>
      <c r="F404" s="696" t="s">
        <v>1588</v>
      </c>
      <c r="G404" s="696" t="s">
        <v>1725</v>
      </c>
      <c r="H404" s="696" t="s">
        <v>558</v>
      </c>
      <c r="I404" s="696" t="s">
        <v>715</v>
      </c>
      <c r="J404" s="696" t="s">
        <v>716</v>
      </c>
      <c r="K404" s="696" t="s">
        <v>1753</v>
      </c>
      <c r="L404" s="699">
        <v>0</v>
      </c>
      <c r="M404" s="699">
        <v>0</v>
      </c>
      <c r="N404" s="696">
        <v>1</v>
      </c>
      <c r="O404" s="700">
        <v>0.5</v>
      </c>
      <c r="P404" s="699">
        <v>0</v>
      </c>
      <c r="Q404" s="701"/>
      <c r="R404" s="696">
        <v>1</v>
      </c>
      <c r="S404" s="701">
        <v>1</v>
      </c>
      <c r="T404" s="700">
        <v>0.5</v>
      </c>
      <c r="U404" s="702">
        <v>1</v>
      </c>
    </row>
    <row r="405" spans="1:21" ht="14.4" customHeight="1" x14ac:dyDescent="0.3">
      <c r="A405" s="695">
        <v>31</v>
      </c>
      <c r="B405" s="696" t="s">
        <v>557</v>
      </c>
      <c r="C405" s="696">
        <v>89301312</v>
      </c>
      <c r="D405" s="697" t="s">
        <v>2235</v>
      </c>
      <c r="E405" s="698" t="s">
        <v>1607</v>
      </c>
      <c r="F405" s="696" t="s">
        <v>1588</v>
      </c>
      <c r="G405" s="696" t="s">
        <v>1725</v>
      </c>
      <c r="H405" s="696" t="s">
        <v>558</v>
      </c>
      <c r="I405" s="696" t="s">
        <v>1726</v>
      </c>
      <c r="J405" s="696" t="s">
        <v>716</v>
      </c>
      <c r="K405" s="696" t="s">
        <v>1727</v>
      </c>
      <c r="L405" s="699">
        <v>0</v>
      </c>
      <c r="M405" s="699">
        <v>0</v>
      </c>
      <c r="N405" s="696">
        <v>1</v>
      </c>
      <c r="O405" s="700">
        <v>0.5</v>
      </c>
      <c r="P405" s="699">
        <v>0</v>
      </c>
      <c r="Q405" s="701"/>
      <c r="R405" s="696">
        <v>1</v>
      </c>
      <c r="S405" s="701">
        <v>1</v>
      </c>
      <c r="T405" s="700">
        <v>0.5</v>
      </c>
      <c r="U405" s="702">
        <v>1</v>
      </c>
    </row>
    <row r="406" spans="1:21" ht="14.4" customHeight="1" x14ac:dyDescent="0.3">
      <c r="A406" s="695">
        <v>31</v>
      </c>
      <c r="B406" s="696" t="s">
        <v>557</v>
      </c>
      <c r="C406" s="696">
        <v>89301312</v>
      </c>
      <c r="D406" s="697" t="s">
        <v>2235</v>
      </c>
      <c r="E406" s="698" t="s">
        <v>1607</v>
      </c>
      <c r="F406" s="696" t="s">
        <v>1588</v>
      </c>
      <c r="G406" s="696" t="s">
        <v>1933</v>
      </c>
      <c r="H406" s="696" t="s">
        <v>558</v>
      </c>
      <c r="I406" s="696" t="s">
        <v>2076</v>
      </c>
      <c r="J406" s="696" t="s">
        <v>1935</v>
      </c>
      <c r="K406" s="696" t="s">
        <v>2077</v>
      </c>
      <c r="L406" s="699">
        <v>38.549999999999997</v>
      </c>
      <c r="M406" s="699">
        <v>38.549999999999997</v>
      </c>
      <c r="N406" s="696">
        <v>1</v>
      </c>
      <c r="O406" s="700">
        <v>0.5</v>
      </c>
      <c r="P406" s="699">
        <v>38.549999999999997</v>
      </c>
      <c r="Q406" s="701">
        <v>1</v>
      </c>
      <c r="R406" s="696">
        <v>1</v>
      </c>
      <c r="S406" s="701">
        <v>1</v>
      </c>
      <c r="T406" s="700">
        <v>0.5</v>
      </c>
      <c r="U406" s="702">
        <v>1</v>
      </c>
    </row>
    <row r="407" spans="1:21" ht="14.4" customHeight="1" x14ac:dyDescent="0.3">
      <c r="A407" s="695">
        <v>31</v>
      </c>
      <c r="B407" s="696" t="s">
        <v>557</v>
      </c>
      <c r="C407" s="696">
        <v>89301312</v>
      </c>
      <c r="D407" s="697" t="s">
        <v>2235</v>
      </c>
      <c r="E407" s="698" t="s">
        <v>1607</v>
      </c>
      <c r="F407" s="696" t="s">
        <v>1588</v>
      </c>
      <c r="G407" s="696" t="s">
        <v>1645</v>
      </c>
      <c r="H407" s="696" t="s">
        <v>914</v>
      </c>
      <c r="I407" s="696" t="s">
        <v>1045</v>
      </c>
      <c r="J407" s="696" t="s">
        <v>1046</v>
      </c>
      <c r="K407" s="696" t="s">
        <v>1047</v>
      </c>
      <c r="L407" s="699">
        <v>154.01</v>
      </c>
      <c r="M407" s="699">
        <v>924.06</v>
      </c>
      <c r="N407" s="696">
        <v>6</v>
      </c>
      <c r="O407" s="700">
        <v>2</v>
      </c>
      <c r="P407" s="699">
        <v>924.06</v>
      </c>
      <c r="Q407" s="701">
        <v>1</v>
      </c>
      <c r="R407" s="696">
        <v>6</v>
      </c>
      <c r="S407" s="701">
        <v>1</v>
      </c>
      <c r="T407" s="700">
        <v>2</v>
      </c>
      <c r="U407" s="702">
        <v>1</v>
      </c>
    </row>
    <row r="408" spans="1:21" ht="14.4" customHeight="1" x14ac:dyDescent="0.3">
      <c r="A408" s="695">
        <v>31</v>
      </c>
      <c r="B408" s="696" t="s">
        <v>557</v>
      </c>
      <c r="C408" s="696">
        <v>89301312</v>
      </c>
      <c r="D408" s="697" t="s">
        <v>2235</v>
      </c>
      <c r="E408" s="698" t="s">
        <v>1607</v>
      </c>
      <c r="F408" s="696" t="s">
        <v>1588</v>
      </c>
      <c r="G408" s="696" t="s">
        <v>2078</v>
      </c>
      <c r="H408" s="696" t="s">
        <v>558</v>
      </c>
      <c r="I408" s="696" t="s">
        <v>2079</v>
      </c>
      <c r="J408" s="696" t="s">
        <v>2080</v>
      </c>
      <c r="K408" s="696" t="s">
        <v>2081</v>
      </c>
      <c r="L408" s="699">
        <v>149.62</v>
      </c>
      <c r="M408" s="699">
        <v>149.62</v>
      </c>
      <c r="N408" s="696">
        <v>1</v>
      </c>
      <c r="O408" s="700">
        <v>0.5</v>
      </c>
      <c r="P408" s="699">
        <v>149.62</v>
      </c>
      <c r="Q408" s="701">
        <v>1</v>
      </c>
      <c r="R408" s="696">
        <v>1</v>
      </c>
      <c r="S408" s="701">
        <v>1</v>
      </c>
      <c r="T408" s="700">
        <v>0.5</v>
      </c>
      <c r="U408" s="702">
        <v>1</v>
      </c>
    </row>
    <row r="409" spans="1:21" ht="14.4" customHeight="1" x14ac:dyDescent="0.3">
      <c r="A409" s="695">
        <v>31</v>
      </c>
      <c r="B409" s="696" t="s">
        <v>557</v>
      </c>
      <c r="C409" s="696">
        <v>89301312</v>
      </c>
      <c r="D409" s="697" t="s">
        <v>2235</v>
      </c>
      <c r="E409" s="698" t="s">
        <v>1607</v>
      </c>
      <c r="F409" s="696" t="s">
        <v>1588</v>
      </c>
      <c r="G409" s="696" t="s">
        <v>1614</v>
      </c>
      <c r="H409" s="696" t="s">
        <v>914</v>
      </c>
      <c r="I409" s="696" t="s">
        <v>2082</v>
      </c>
      <c r="J409" s="696" t="s">
        <v>1317</v>
      </c>
      <c r="K409" s="696" t="s">
        <v>2083</v>
      </c>
      <c r="L409" s="699">
        <v>0</v>
      </c>
      <c r="M409" s="699">
        <v>0</v>
      </c>
      <c r="N409" s="696">
        <v>2</v>
      </c>
      <c r="O409" s="700">
        <v>1</v>
      </c>
      <c r="P409" s="699">
        <v>0</v>
      </c>
      <c r="Q409" s="701"/>
      <c r="R409" s="696">
        <v>2</v>
      </c>
      <c r="S409" s="701">
        <v>1</v>
      </c>
      <c r="T409" s="700">
        <v>1</v>
      </c>
      <c r="U409" s="702">
        <v>1</v>
      </c>
    </row>
    <row r="410" spans="1:21" ht="14.4" customHeight="1" x14ac:dyDescent="0.3">
      <c r="A410" s="695">
        <v>31</v>
      </c>
      <c r="B410" s="696" t="s">
        <v>557</v>
      </c>
      <c r="C410" s="696">
        <v>89301312</v>
      </c>
      <c r="D410" s="697" t="s">
        <v>2235</v>
      </c>
      <c r="E410" s="698" t="s">
        <v>1607</v>
      </c>
      <c r="F410" s="696" t="s">
        <v>1588</v>
      </c>
      <c r="G410" s="696" t="s">
        <v>1614</v>
      </c>
      <c r="H410" s="696" t="s">
        <v>914</v>
      </c>
      <c r="I410" s="696" t="s">
        <v>1367</v>
      </c>
      <c r="J410" s="696" t="s">
        <v>1317</v>
      </c>
      <c r="K410" s="696" t="s">
        <v>1368</v>
      </c>
      <c r="L410" s="699">
        <v>625.29</v>
      </c>
      <c r="M410" s="699">
        <v>5002.32</v>
      </c>
      <c r="N410" s="696">
        <v>8</v>
      </c>
      <c r="O410" s="700">
        <v>4</v>
      </c>
      <c r="P410" s="699">
        <v>3751.74</v>
      </c>
      <c r="Q410" s="701">
        <v>0.75</v>
      </c>
      <c r="R410" s="696">
        <v>6</v>
      </c>
      <c r="S410" s="701">
        <v>0.75</v>
      </c>
      <c r="T410" s="700">
        <v>3</v>
      </c>
      <c r="U410" s="702">
        <v>0.75</v>
      </c>
    </row>
    <row r="411" spans="1:21" ht="14.4" customHeight="1" x14ac:dyDescent="0.3">
      <c r="A411" s="695">
        <v>31</v>
      </c>
      <c r="B411" s="696" t="s">
        <v>557</v>
      </c>
      <c r="C411" s="696">
        <v>89301312</v>
      </c>
      <c r="D411" s="697" t="s">
        <v>2235</v>
      </c>
      <c r="E411" s="698" t="s">
        <v>1607</v>
      </c>
      <c r="F411" s="696" t="s">
        <v>1588</v>
      </c>
      <c r="G411" s="696" t="s">
        <v>1651</v>
      </c>
      <c r="H411" s="696" t="s">
        <v>914</v>
      </c>
      <c r="I411" s="696" t="s">
        <v>916</v>
      </c>
      <c r="J411" s="696" t="s">
        <v>917</v>
      </c>
      <c r="K411" s="696" t="s">
        <v>1543</v>
      </c>
      <c r="L411" s="699">
        <v>96.63</v>
      </c>
      <c r="M411" s="699">
        <v>869.67</v>
      </c>
      <c r="N411" s="696">
        <v>9</v>
      </c>
      <c r="O411" s="700">
        <v>7</v>
      </c>
      <c r="P411" s="699">
        <v>579.78</v>
      </c>
      <c r="Q411" s="701">
        <v>0.66666666666666663</v>
      </c>
      <c r="R411" s="696">
        <v>6</v>
      </c>
      <c r="S411" s="701">
        <v>0.66666666666666663</v>
      </c>
      <c r="T411" s="700">
        <v>4.5</v>
      </c>
      <c r="U411" s="702">
        <v>0.6428571428571429</v>
      </c>
    </row>
    <row r="412" spans="1:21" ht="14.4" customHeight="1" x14ac:dyDescent="0.3">
      <c r="A412" s="695">
        <v>31</v>
      </c>
      <c r="B412" s="696" t="s">
        <v>557</v>
      </c>
      <c r="C412" s="696">
        <v>89301312</v>
      </c>
      <c r="D412" s="697" t="s">
        <v>2235</v>
      </c>
      <c r="E412" s="698" t="s">
        <v>1607</v>
      </c>
      <c r="F412" s="696" t="s">
        <v>1588</v>
      </c>
      <c r="G412" s="696" t="s">
        <v>1651</v>
      </c>
      <c r="H412" s="696" t="s">
        <v>558</v>
      </c>
      <c r="I412" s="696" t="s">
        <v>1946</v>
      </c>
      <c r="J412" s="696" t="s">
        <v>917</v>
      </c>
      <c r="K412" s="696" t="s">
        <v>1947</v>
      </c>
      <c r="L412" s="699">
        <v>96.63</v>
      </c>
      <c r="M412" s="699">
        <v>193.26</v>
      </c>
      <c r="N412" s="696">
        <v>2</v>
      </c>
      <c r="O412" s="700">
        <v>1</v>
      </c>
      <c r="P412" s="699">
        <v>96.63</v>
      </c>
      <c r="Q412" s="701">
        <v>0.5</v>
      </c>
      <c r="R412" s="696">
        <v>1</v>
      </c>
      <c r="S412" s="701">
        <v>0.5</v>
      </c>
      <c r="T412" s="700">
        <v>0.5</v>
      </c>
      <c r="U412" s="702">
        <v>0.5</v>
      </c>
    </row>
    <row r="413" spans="1:21" ht="14.4" customHeight="1" x14ac:dyDescent="0.3">
      <c r="A413" s="695">
        <v>31</v>
      </c>
      <c r="B413" s="696" t="s">
        <v>557</v>
      </c>
      <c r="C413" s="696">
        <v>89301312</v>
      </c>
      <c r="D413" s="697" t="s">
        <v>2235</v>
      </c>
      <c r="E413" s="698" t="s">
        <v>1607</v>
      </c>
      <c r="F413" s="696" t="s">
        <v>1588</v>
      </c>
      <c r="G413" s="696" t="s">
        <v>1770</v>
      </c>
      <c r="H413" s="696" t="s">
        <v>558</v>
      </c>
      <c r="I413" s="696" t="s">
        <v>2084</v>
      </c>
      <c r="J413" s="696" t="s">
        <v>2085</v>
      </c>
      <c r="K413" s="696" t="s">
        <v>1121</v>
      </c>
      <c r="L413" s="699">
        <v>314.89999999999998</v>
      </c>
      <c r="M413" s="699">
        <v>314.89999999999998</v>
      </c>
      <c r="N413" s="696">
        <v>1</v>
      </c>
      <c r="O413" s="700">
        <v>0.5</v>
      </c>
      <c r="P413" s="699">
        <v>314.89999999999998</v>
      </c>
      <c r="Q413" s="701">
        <v>1</v>
      </c>
      <c r="R413" s="696">
        <v>1</v>
      </c>
      <c r="S413" s="701">
        <v>1</v>
      </c>
      <c r="T413" s="700">
        <v>0.5</v>
      </c>
      <c r="U413" s="702">
        <v>1</v>
      </c>
    </row>
    <row r="414" spans="1:21" ht="14.4" customHeight="1" x14ac:dyDescent="0.3">
      <c r="A414" s="695">
        <v>31</v>
      </c>
      <c r="B414" s="696" t="s">
        <v>557</v>
      </c>
      <c r="C414" s="696">
        <v>89301312</v>
      </c>
      <c r="D414" s="697" t="s">
        <v>2235</v>
      </c>
      <c r="E414" s="698" t="s">
        <v>1607</v>
      </c>
      <c r="F414" s="696" t="s">
        <v>1588</v>
      </c>
      <c r="G414" s="696" t="s">
        <v>1668</v>
      </c>
      <c r="H414" s="696" t="s">
        <v>558</v>
      </c>
      <c r="I414" s="696" t="s">
        <v>647</v>
      </c>
      <c r="J414" s="696" t="s">
        <v>1669</v>
      </c>
      <c r="K414" s="696" t="s">
        <v>1670</v>
      </c>
      <c r="L414" s="699">
        <v>0</v>
      </c>
      <c r="M414" s="699">
        <v>0</v>
      </c>
      <c r="N414" s="696">
        <v>2</v>
      </c>
      <c r="O414" s="700">
        <v>1.5</v>
      </c>
      <c r="P414" s="699">
        <v>0</v>
      </c>
      <c r="Q414" s="701"/>
      <c r="R414" s="696">
        <v>2</v>
      </c>
      <c r="S414" s="701">
        <v>1</v>
      </c>
      <c r="T414" s="700">
        <v>1.5</v>
      </c>
      <c r="U414" s="702">
        <v>1</v>
      </c>
    </row>
    <row r="415" spans="1:21" ht="14.4" customHeight="1" x14ac:dyDescent="0.3">
      <c r="A415" s="695">
        <v>31</v>
      </c>
      <c r="B415" s="696" t="s">
        <v>557</v>
      </c>
      <c r="C415" s="696">
        <v>89301312</v>
      </c>
      <c r="D415" s="697" t="s">
        <v>2235</v>
      </c>
      <c r="E415" s="698" t="s">
        <v>1607</v>
      </c>
      <c r="F415" s="696" t="s">
        <v>1588</v>
      </c>
      <c r="G415" s="696" t="s">
        <v>1966</v>
      </c>
      <c r="H415" s="696" t="s">
        <v>558</v>
      </c>
      <c r="I415" s="696" t="s">
        <v>1967</v>
      </c>
      <c r="J415" s="696" t="s">
        <v>1968</v>
      </c>
      <c r="K415" s="696" t="s">
        <v>1969</v>
      </c>
      <c r="L415" s="699">
        <v>87.55</v>
      </c>
      <c r="M415" s="699">
        <v>262.64999999999998</v>
      </c>
      <c r="N415" s="696">
        <v>3</v>
      </c>
      <c r="O415" s="700">
        <v>1</v>
      </c>
      <c r="P415" s="699">
        <v>262.64999999999998</v>
      </c>
      <c r="Q415" s="701">
        <v>1</v>
      </c>
      <c r="R415" s="696">
        <v>3</v>
      </c>
      <c r="S415" s="701">
        <v>1</v>
      </c>
      <c r="T415" s="700">
        <v>1</v>
      </c>
      <c r="U415" s="702">
        <v>1</v>
      </c>
    </row>
    <row r="416" spans="1:21" ht="14.4" customHeight="1" x14ac:dyDescent="0.3">
      <c r="A416" s="695">
        <v>31</v>
      </c>
      <c r="B416" s="696" t="s">
        <v>557</v>
      </c>
      <c r="C416" s="696">
        <v>89301312</v>
      </c>
      <c r="D416" s="697" t="s">
        <v>2235</v>
      </c>
      <c r="E416" s="698" t="s">
        <v>1607</v>
      </c>
      <c r="F416" s="696" t="s">
        <v>1588</v>
      </c>
      <c r="G416" s="696" t="s">
        <v>1970</v>
      </c>
      <c r="H416" s="696" t="s">
        <v>558</v>
      </c>
      <c r="I416" s="696" t="s">
        <v>1971</v>
      </c>
      <c r="J416" s="696" t="s">
        <v>1972</v>
      </c>
      <c r="K416" s="696" t="s">
        <v>1973</v>
      </c>
      <c r="L416" s="699">
        <v>472.71</v>
      </c>
      <c r="M416" s="699">
        <v>472.71</v>
      </c>
      <c r="N416" s="696">
        <v>1</v>
      </c>
      <c r="O416" s="700">
        <v>0.5</v>
      </c>
      <c r="P416" s="699">
        <v>472.71</v>
      </c>
      <c r="Q416" s="701">
        <v>1</v>
      </c>
      <c r="R416" s="696">
        <v>1</v>
      </c>
      <c r="S416" s="701">
        <v>1</v>
      </c>
      <c r="T416" s="700">
        <v>0.5</v>
      </c>
      <c r="U416" s="702">
        <v>1</v>
      </c>
    </row>
    <row r="417" spans="1:21" ht="14.4" customHeight="1" x14ac:dyDescent="0.3">
      <c r="A417" s="695">
        <v>31</v>
      </c>
      <c r="B417" s="696" t="s">
        <v>557</v>
      </c>
      <c r="C417" s="696">
        <v>89301312</v>
      </c>
      <c r="D417" s="697" t="s">
        <v>2235</v>
      </c>
      <c r="E417" s="698" t="s">
        <v>1607</v>
      </c>
      <c r="F417" s="696" t="s">
        <v>1588</v>
      </c>
      <c r="G417" s="696" t="s">
        <v>1615</v>
      </c>
      <c r="H417" s="696" t="s">
        <v>558</v>
      </c>
      <c r="I417" s="696" t="s">
        <v>988</v>
      </c>
      <c r="J417" s="696" t="s">
        <v>989</v>
      </c>
      <c r="K417" s="696" t="s">
        <v>1616</v>
      </c>
      <c r="L417" s="699">
        <v>194.73</v>
      </c>
      <c r="M417" s="699">
        <v>194.73</v>
      </c>
      <c r="N417" s="696">
        <v>1</v>
      </c>
      <c r="O417" s="700">
        <v>0.5</v>
      </c>
      <c r="P417" s="699">
        <v>194.73</v>
      </c>
      <c r="Q417" s="701">
        <v>1</v>
      </c>
      <c r="R417" s="696">
        <v>1</v>
      </c>
      <c r="S417" s="701">
        <v>1</v>
      </c>
      <c r="T417" s="700">
        <v>0.5</v>
      </c>
      <c r="U417" s="702">
        <v>1</v>
      </c>
    </row>
    <row r="418" spans="1:21" ht="14.4" customHeight="1" x14ac:dyDescent="0.3">
      <c r="A418" s="695">
        <v>31</v>
      </c>
      <c r="B418" s="696" t="s">
        <v>557</v>
      </c>
      <c r="C418" s="696">
        <v>89301312</v>
      </c>
      <c r="D418" s="697" t="s">
        <v>2235</v>
      </c>
      <c r="E418" s="698" t="s">
        <v>1607</v>
      </c>
      <c r="F418" s="696" t="s">
        <v>1588</v>
      </c>
      <c r="G418" s="696" t="s">
        <v>1675</v>
      </c>
      <c r="H418" s="696" t="s">
        <v>914</v>
      </c>
      <c r="I418" s="696" t="s">
        <v>1679</v>
      </c>
      <c r="J418" s="696" t="s">
        <v>929</v>
      </c>
      <c r="K418" s="696" t="s">
        <v>1678</v>
      </c>
      <c r="L418" s="699">
        <v>98.23</v>
      </c>
      <c r="M418" s="699">
        <v>196.46</v>
      </c>
      <c r="N418" s="696">
        <v>2</v>
      </c>
      <c r="O418" s="700">
        <v>1.5</v>
      </c>
      <c r="P418" s="699">
        <v>196.46</v>
      </c>
      <c r="Q418" s="701">
        <v>1</v>
      </c>
      <c r="R418" s="696">
        <v>2</v>
      </c>
      <c r="S418" s="701">
        <v>1</v>
      </c>
      <c r="T418" s="700">
        <v>1.5</v>
      </c>
      <c r="U418" s="702">
        <v>1</v>
      </c>
    </row>
    <row r="419" spans="1:21" ht="14.4" customHeight="1" x14ac:dyDescent="0.3">
      <c r="A419" s="695">
        <v>31</v>
      </c>
      <c r="B419" s="696" t="s">
        <v>557</v>
      </c>
      <c r="C419" s="696">
        <v>89301312</v>
      </c>
      <c r="D419" s="697" t="s">
        <v>2235</v>
      </c>
      <c r="E419" s="698" t="s">
        <v>1607</v>
      </c>
      <c r="F419" s="696" t="s">
        <v>1588</v>
      </c>
      <c r="G419" s="696" t="s">
        <v>1758</v>
      </c>
      <c r="H419" s="696" t="s">
        <v>558</v>
      </c>
      <c r="I419" s="696" t="s">
        <v>2086</v>
      </c>
      <c r="J419" s="696" t="s">
        <v>1760</v>
      </c>
      <c r="K419" s="696" t="s">
        <v>740</v>
      </c>
      <c r="L419" s="699">
        <v>60.97</v>
      </c>
      <c r="M419" s="699">
        <v>60.97</v>
      </c>
      <c r="N419" s="696">
        <v>1</v>
      </c>
      <c r="O419" s="700">
        <v>1</v>
      </c>
      <c r="P419" s="699"/>
      <c r="Q419" s="701">
        <v>0</v>
      </c>
      <c r="R419" s="696"/>
      <c r="S419" s="701">
        <v>0</v>
      </c>
      <c r="T419" s="700"/>
      <c r="U419" s="702">
        <v>0</v>
      </c>
    </row>
    <row r="420" spans="1:21" ht="14.4" customHeight="1" x14ac:dyDescent="0.3">
      <c r="A420" s="695">
        <v>31</v>
      </c>
      <c r="B420" s="696" t="s">
        <v>557</v>
      </c>
      <c r="C420" s="696">
        <v>89301312</v>
      </c>
      <c r="D420" s="697" t="s">
        <v>2235</v>
      </c>
      <c r="E420" s="698" t="s">
        <v>1607</v>
      </c>
      <c r="F420" s="696" t="s">
        <v>1588</v>
      </c>
      <c r="G420" s="696" t="s">
        <v>1758</v>
      </c>
      <c r="H420" s="696" t="s">
        <v>558</v>
      </c>
      <c r="I420" s="696" t="s">
        <v>2087</v>
      </c>
      <c r="J420" s="696" t="s">
        <v>2088</v>
      </c>
      <c r="K420" s="696" t="s">
        <v>740</v>
      </c>
      <c r="L420" s="699">
        <v>154.33000000000001</v>
      </c>
      <c r="M420" s="699">
        <v>308.66000000000003</v>
      </c>
      <c r="N420" s="696">
        <v>2</v>
      </c>
      <c r="O420" s="700">
        <v>2</v>
      </c>
      <c r="P420" s="699">
        <v>308.66000000000003</v>
      </c>
      <c r="Q420" s="701">
        <v>1</v>
      </c>
      <c r="R420" s="696">
        <v>2</v>
      </c>
      <c r="S420" s="701">
        <v>1</v>
      </c>
      <c r="T420" s="700">
        <v>2</v>
      </c>
      <c r="U420" s="702">
        <v>1</v>
      </c>
    </row>
    <row r="421" spans="1:21" ht="14.4" customHeight="1" x14ac:dyDescent="0.3">
      <c r="A421" s="695">
        <v>31</v>
      </c>
      <c r="B421" s="696" t="s">
        <v>557</v>
      </c>
      <c r="C421" s="696">
        <v>89301312</v>
      </c>
      <c r="D421" s="697" t="s">
        <v>2235</v>
      </c>
      <c r="E421" s="698" t="s">
        <v>1607</v>
      </c>
      <c r="F421" s="696" t="s">
        <v>1588</v>
      </c>
      <c r="G421" s="696" t="s">
        <v>1758</v>
      </c>
      <c r="H421" s="696" t="s">
        <v>558</v>
      </c>
      <c r="I421" s="696" t="s">
        <v>2089</v>
      </c>
      <c r="J421" s="696" t="s">
        <v>2088</v>
      </c>
      <c r="K421" s="696" t="s">
        <v>740</v>
      </c>
      <c r="L421" s="699">
        <v>154.33000000000001</v>
      </c>
      <c r="M421" s="699">
        <v>154.33000000000001</v>
      </c>
      <c r="N421" s="696">
        <v>1</v>
      </c>
      <c r="O421" s="700">
        <v>0.5</v>
      </c>
      <c r="P421" s="699">
        <v>154.33000000000001</v>
      </c>
      <c r="Q421" s="701">
        <v>1</v>
      </c>
      <c r="R421" s="696">
        <v>1</v>
      </c>
      <c r="S421" s="701">
        <v>1</v>
      </c>
      <c r="T421" s="700">
        <v>0.5</v>
      </c>
      <c r="U421" s="702">
        <v>1</v>
      </c>
    </row>
    <row r="422" spans="1:21" ht="14.4" customHeight="1" x14ac:dyDescent="0.3">
      <c r="A422" s="695">
        <v>31</v>
      </c>
      <c r="B422" s="696" t="s">
        <v>557</v>
      </c>
      <c r="C422" s="696">
        <v>89301312</v>
      </c>
      <c r="D422" s="697" t="s">
        <v>2235</v>
      </c>
      <c r="E422" s="698" t="s">
        <v>1607</v>
      </c>
      <c r="F422" s="696" t="s">
        <v>1590</v>
      </c>
      <c r="G422" s="696" t="s">
        <v>1680</v>
      </c>
      <c r="H422" s="696" t="s">
        <v>558</v>
      </c>
      <c r="I422" s="696" t="s">
        <v>2090</v>
      </c>
      <c r="J422" s="696" t="s">
        <v>1687</v>
      </c>
      <c r="K422" s="696" t="s">
        <v>2091</v>
      </c>
      <c r="L422" s="699">
        <v>566</v>
      </c>
      <c r="M422" s="699">
        <v>566</v>
      </c>
      <c r="N422" s="696">
        <v>1</v>
      </c>
      <c r="O422" s="700">
        <v>1</v>
      </c>
      <c r="P422" s="699">
        <v>566</v>
      </c>
      <c r="Q422" s="701">
        <v>1</v>
      </c>
      <c r="R422" s="696">
        <v>1</v>
      </c>
      <c r="S422" s="701">
        <v>1</v>
      </c>
      <c r="T422" s="700">
        <v>1</v>
      </c>
      <c r="U422" s="702">
        <v>1</v>
      </c>
    </row>
    <row r="423" spans="1:21" ht="14.4" customHeight="1" x14ac:dyDescent="0.3">
      <c r="A423" s="695">
        <v>31</v>
      </c>
      <c r="B423" s="696" t="s">
        <v>557</v>
      </c>
      <c r="C423" s="696">
        <v>89301312</v>
      </c>
      <c r="D423" s="697" t="s">
        <v>2235</v>
      </c>
      <c r="E423" s="698" t="s">
        <v>1607</v>
      </c>
      <c r="F423" s="696" t="s">
        <v>1590</v>
      </c>
      <c r="G423" s="696" t="s">
        <v>1689</v>
      </c>
      <c r="H423" s="696" t="s">
        <v>558</v>
      </c>
      <c r="I423" s="696" t="s">
        <v>2012</v>
      </c>
      <c r="J423" s="696" t="s">
        <v>1883</v>
      </c>
      <c r="K423" s="696" t="s">
        <v>2013</v>
      </c>
      <c r="L423" s="699">
        <v>30.99</v>
      </c>
      <c r="M423" s="699">
        <v>30.99</v>
      </c>
      <c r="N423" s="696">
        <v>1</v>
      </c>
      <c r="O423" s="700">
        <v>1</v>
      </c>
      <c r="P423" s="699">
        <v>30.99</v>
      </c>
      <c r="Q423" s="701">
        <v>1</v>
      </c>
      <c r="R423" s="696">
        <v>1</v>
      </c>
      <c r="S423" s="701">
        <v>1</v>
      </c>
      <c r="T423" s="700">
        <v>1</v>
      </c>
      <c r="U423" s="702">
        <v>1</v>
      </c>
    </row>
    <row r="424" spans="1:21" ht="14.4" customHeight="1" x14ac:dyDescent="0.3">
      <c r="A424" s="695">
        <v>31</v>
      </c>
      <c r="B424" s="696" t="s">
        <v>557</v>
      </c>
      <c r="C424" s="696">
        <v>89301312</v>
      </c>
      <c r="D424" s="697" t="s">
        <v>2235</v>
      </c>
      <c r="E424" s="698" t="s">
        <v>1607</v>
      </c>
      <c r="F424" s="696" t="s">
        <v>1590</v>
      </c>
      <c r="G424" s="696" t="s">
        <v>1693</v>
      </c>
      <c r="H424" s="696" t="s">
        <v>558</v>
      </c>
      <c r="I424" s="696" t="s">
        <v>1694</v>
      </c>
      <c r="J424" s="696" t="s">
        <v>1695</v>
      </c>
      <c r="K424" s="696" t="s">
        <v>1696</v>
      </c>
      <c r="L424" s="699">
        <v>260</v>
      </c>
      <c r="M424" s="699">
        <v>520</v>
      </c>
      <c r="N424" s="696">
        <v>2</v>
      </c>
      <c r="O424" s="700">
        <v>1</v>
      </c>
      <c r="P424" s="699">
        <v>520</v>
      </c>
      <c r="Q424" s="701">
        <v>1</v>
      </c>
      <c r="R424" s="696">
        <v>2</v>
      </c>
      <c r="S424" s="701">
        <v>1</v>
      </c>
      <c r="T424" s="700">
        <v>1</v>
      </c>
      <c r="U424" s="702">
        <v>1</v>
      </c>
    </row>
    <row r="425" spans="1:21" ht="14.4" customHeight="1" x14ac:dyDescent="0.3">
      <c r="A425" s="695">
        <v>31</v>
      </c>
      <c r="B425" s="696" t="s">
        <v>557</v>
      </c>
      <c r="C425" s="696">
        <v>89301312</v>
      </c>
      <c r="D425" s="697" t="s">
        <v>2235</v>
      </c>
      <c r="E425" s="698" t="s">
        <v>1607</v>
      </c>
      <c r="F425" s="696" t="s">
        <v>1590</v>
      </c>
      <c r="G425" s="696" t="s">
        <v>1693</v>
      </c>
      <c r="H425" s="696" t="s">
        <v>558</v>
      </c>
      <c r="I425" s="696" t="s">
        <v>1697</v>
      </c>
      <c r="J425" s="696" t="s">
        <v>1698</v>
      </c>
      <c r="K425" s="696" t="s">
        <v>1699</v>
      </c>
      <c r="L425" s="699">
        <v>200</v>
      </c>
      <c r="M425" s="699">
        <v>400</v>
      </c>
      <c r="N425" s="696">
        <v>2</v>
      </c>
      <c r="O425" s="700">
        <v>1</v>
      </c>
      <c r="P425" s="699">
        <v>400</v>
      </c>
      <c r="Q425" s="701">
        <v>1</v>
      </c>
      <c r="R425" s="696">
        <v>2</v>
      </c>
      <c r="S425" s="701">
        <v>1</v>
      </c>
      <c r="T425" s="700">
        <v>1</v>
      </c>
      <c r="U425" s="702">
        <v>1</v>
      </c>
    </row>
    <row r="426" spans="1:21" ht="14.4" customHeight="1" x14ac:dyDescent="0.3">
      <c r="A426" s="695">
        <v>31</v>
      </c>
      <c r="B426" s="696" t="s">
        <v>557</v>
      </c>
      <c r="C426" s="696">
        <v>89301312</v>
      </c>
      <c r="D426" s="697" t="s">
        <v>2235</v>
      </c>
      <c r="E426" s="698" t="s">
        <v>1607</v>
      </c>
      <c r="F426" s="696" t="s">
        <v>1590</v>
      </c>
      <c r="G426" s="696" t="s">
        <v>1700</v>
      </c>
      <c r="H426" s="696" t="s">
        <v>558</v>
      </c>
      <c r="I426" s="696" t="s">
        <v>1707</v>
      </c>
      <c r="J426" s="696" t="s">
        <v>1708</v>
      </c>
      <c r="K426" s="696" t="s">
        <v>1709</v>
      </c>
      <c r="L426" s="699">
        <v>492.18</v>
      </c>
      <c r="M426" s="699">
        <v>492.18</v>
      </c>
      <c r="N426" s="696">
        <v>1</v>
      </c>
      <c r="O426" s="700">
        <v>1</v>
      </c>
      <c r="P426" s="699">
        <v>492.18</v>
      </c>
      <c r="Q426" s="701">
        <v>1</v>
      </c>
      <c r="R426" s="696">
        <v>1</v>
      </c>
      <c r="S426" s="701">
        <v>1</v>
      </c>
      <c r="T426" s="700">
        <v>1</v>
      </c>
      <c r="U426" s="702">
        <v>1</v>
      </c>
    </row>
    <row r="427" spans="1:21" ht="14.4" customHeight="1" x14ac:dyDescent="0.3">
      <c r="A427" s="695">
        <v>31</v>
      </c>
      <c r="B427" s="696" t="s">
        <v>557</v>
      </c>
      <c r="C427" s="696">
        <v>89301312</v>
      </c>
      <c r="D427" s="697" t="s">
        <v>2235</v>
      </c>
      <c r="E427" s="698" t="s">
        <v>1607</v>
      </c>
      <c r="F427" s="696" t="s">
        <v>1590</v>
      </c>
      <c r="G427" s="696" t="s">
        <v>1700</v>
      </c>
      <c r="H427" s="696" t="s">
        <v>558</v>
      </c>
      <c r="I427" s="696" t="s">
        <v>1905</v>
      </c>
      <c r="J427" s="696" t="s">
        <v>1906</v>
      </c>
      <c r="K427" s="696" t="s">
        <v>1907</v>
      </c>
      <c r="L427" s="699">
        <v>245.43</v>
      </c>
      <c r="M427" s="699">
        <v>490.86</v>
      </c>
      <c r="N427" s="696">
        <v>2</v>
      </c>
      <c r="O427" s="700">
        <v>2</v>
      </c>
      <c r="P427" s="699">
        <v>490.86</v>
      </c>
      <c r="Q427" s="701">
        <v>1</v>
      </c>
      <c r="R427" s="696">
        <v>2</v>
      </c>
      <c r="S427" s="701">
        <v>1</v>
      </c>
      <c r="T427" s="700">
        <v>2</v>
      </c>
      <c r="U427" s="702">
        <v>1</v>
      </c>
    </row>
    <row r="428" spans="1:21" ht="14.4" customHeight="1" x14ac:dyDescent="0.3">
      <c r="A428" s="695">
        <v>31</v>
      </c>
      <c r="B428" s="696" t="s">
        <v>557</v>
      </c>
      <c r="C428" s="696">
        <v>89301312</v>
      </c>
      <c r="D428" s="697" t="s">
        <v>2235</v>
      </c>
      <c r="E428" s="698" t="s">
        <v>1607</v>
      </c>
      <c r="F428" s="696" t="s">
        <v>1590</v>
      </c>
      <c r="G428" s="696" t="s">
        <v>1700</v>
      </c>
      <c r="H428" s="696" t="s">
        <v>558</v>
      </c>
      <c r="I428" s="696" t="s">
        <v>1710</v>
      </c>
      <c r="J428" s="696" t="s">
        <v>1711</v>
      </c>
      <c r="K428" s="696" t="s">
        <v>1712</v>
      </c>
      <c r="L428" s="699">
        <v>750</v>
      </c>
      <c r="M428" s="699">
        <v>2250</v>
      </c>
      <c r="N428" s="696">
        <v>3</v>
      </c>
      <c r="O428" s="700">
        <v>3</v>
      </c>
      <c r="P428" s="699">
        <v>2250</v>
      </c>
      <c r="Q428" s="701">
        <v>1</v>
      </c>
      <c r="R428" s="696">
        <v>3</v>
      </c>
      <c r="S428" s="701">
        <v>1</v>
      </c>
      <c r="T428" s="700">
        <v>3</v>
      </c>
      <c r="U428" s="702">
        <v>1</v>
      </c>
    </row>
    <row r="429" spans="1:21" ht="14.4" customHeight="1" x14ac:dyDescent="0.3">
      <c r="A429" s="695">
        <v>31</v>
      </c>
      <c r="B429" s="696" t="s">
        <v>557</v>
      </c>
      <c r="C429" s="696">
        <v>89301312</v>
      </c>
      <c r="D429" s="697" t="s">
        <v>2235</v>
      </c>
      <c r="E429" s="698" t="s">
        <v>1607</v>
      </c>
      <c r="F429" s="696" t="s">
        <v>1590</v>
      </c>
      <c r="G429" s="696" t="s">
        <v>1700</v>
      </c>
      <c r="H429" s="696" t="s">
        <v>558</v>
      </c>
      <c r="I429" s="696" t="s">
        <v>1410</v>
      </c>
      <c r="J429" s="696" t="s">
        <v>1713</v>
      </c>
      <c r="K429" s="696" t="s">
        <v>1714</v>
      </c>
      <c r="L429" s="699">
        <v>2202.1999999999998</v>
      </c>
      <c r="M429" s="699">
        <v>2202.1999999999998</v>
      </c>
      <c r="N429" s="696">
        <v>1</v>
      </c>
      <c r="O429" s="700">
        <v>1</v>
      </c>
      <c r="P429" s="699"/>
      <c r="Q429" s="701">
        <v>0</v>
      </c>
      <c r="R429" s="696"/>
      <c r="S429" s="701">
        <v>0</v>
      </c>
      <c r="T429" s="700"/>
      <c r="U429" s="702">
        <v>0</v>
      </c>
    </row>
    <row r="430" spans="1:21" ht="14.4" customHeight="1" x14ac:dyDescent="0.3">
      <c r="A430" s="695">
        <v>31</v>
      </c>
      <c r="B430" s="696" t="s">
        <v>557</v>
      </c>
      <c r="C430" s="696">
        <v>89301312</v>
      </c>
      <c r="D430" s="697" t="s">
        <v>2235</v>
      </c>
      <c r="E430" s="698" t="s">
        <v>1607</v>
      </c>
      <c r="F430" s="696" t="s">
        <v>1590</v>
      </c>
      <c r="G430" s="696" t="s">
        <v>1700</v>
      </c>
      <c r="H430" s="696" t="s">
        <v>558</v>
      </c>
      <c r="I430" s="696" t="s">
        <v>1715</v>
      </c>
      <c r="J430" s="696" t="s">
        <v>1716</v>
      </c>
      <c r="K430" s="696" t="s">
        <v>1717</v>
      </c>
      <c r="L430" s="699">
        <v>971.25</v>
      </c>
      <c r="M430" s="699">
        <v>971.25</v>
      </c>
      <c r="N430" s="696">
        <v>1</v>
      </c>
      <c r="O430" s="700">
        <v>1</v>
      </c>
      <c r="P430" s="699">
        <v>971.25</v>
      </c>
      <c r="Q430" s="701">
        <v>1</v>
      </c>
      <c r="R430" s="696">
        <v>1</v>
      </c>
      <c r="S430" s="701">
        <v>1</v>
      </c>
      <c r="T430" s="700">
        <v>1</v>
      </c>
      <c r="U430" s="702">
        <v>1</v>
      </c>
    </row>
    <row r="431" spans="1:21" ht="14.4" customHeight="1" x14ac:dyDescent="0.3">
      <c r="A431" s="695">
        <v>31</v>
      </c>
      <c r="B431" s="696" t="s">
        <v>557</v>
      </c>
      <c r="C431" s="696">
        <v>89301312</v>
      </c>
      <c r="D431" s="697" t="s">
        <v>2235</v>
      </c>
      <c r="E431" s="698" t="s">
        <v>1607</v>
      </c>
      <c r="F431" s="696" t="s">
        <v>1590</v>
      </c>
      <c r="G431" s="696" t="s">
        <v>1700</v>
      </c>
      <c r="H431" s="696" t="s">
        <v>558</v>
      </c>
      <c r="I431" s="696" t="s">
        <v>1896</v>
      </c>
      <c r="J431" s="696" t="s">
        <v>1897</v>
      </c>
      <c r="K431" s="696" t="s">
        <v>1898</v>
      </c>
      <c r="L431" s="699">
        <v>250</v>
      </c>
      <c r="M431" s="699">
        <v>250</v>
      </c>
      <c r="N431" s="696">
        <v>1</v>
      </c>
      <c r="O431" s="700">
        <v>1</v>
      </c>
      <c r="P431" s="699">
        <v>250</v>
      </c>
      <c r="Q431" s="701">
        <v>1</v>
      </c>
      <c r="R431" s="696">
        <v>1</v>
      </c>
      <c r="S431" s="701">
        <v>1</v>
      </c>
      <c r="T431" s="700">
        <v>1</v>
      </c>
      <c r="U431" s="702">
        <v>1</v>
      </c>
    </row>
    <row r="432" spans="1:21" ht="14.4" customHeight="1" x14ac:dyDescent="0.3">
      <c r="A432" s="695">
        <v>31</v>
      </c>
      <c r="B432" s="696" t="s">
        <v>557</v>
      </c>
      <c r="C432" s="696">
        <v>89301312</v>
      </c>
      <c r="D432" s="697" t="s">
        <v>2235</v>
      </c>
      <c r="E432" s="698" t="s">
        <v>1607</v>
      </c>
      <c r="F432" s="696" t="s">
        <v>1590</v>
      </c>
      <c r="G432" s="696" t="s">
        <v>1700</v>
      </c>
      <c r="H432" s="696" t="s">
        <v>558</v>
      </c>
      <c r="I432" s="696" t="s">
        <v>2092</v>
      </c>
      <c r="J432" s="696" t="s">
        <v>2093</v>
      </c>
      <c r="K432" s="696" t="s">
        <v>2094</v>
      </c>
      <c r="L432" s="699">
        <v>600</v>
      </c>
      <c r="M432" s="699">
        <v>600</v>
      </c>
      <c r="N432" s="696">
        <v>1</v>
      </c>
      <c r="O432" s="700">
        <v>1</v>
      </c>
      <c r="P432" s="699">
        <v>600</v>
      </c>
      <c r="Q432" s="701">
        <v>1</v>
      </c>
      <c r="R432" s="696">
        <v>1</v>
      </c>
      <c r="S432" s="701">
        <v>1</v>
      </c>
      <c r="T432" s="700">
        <v>1</v>
      </c>
      <c r="U432" s="702">
        <v>1</v>
      </c>
    </row>
    <row r="433" spans="1:21" ht="14.4" customHeight="1" x14ac:dyDescent="0.3">
      <c r="A433" s="695">
        <v>31</v>
      </c>
      <c r="B433" s="696" t="s">
        <v>557</v>
      </c>
      <c r="C433" s="696">
        <v>89301312</v>
      </c>
      <c r="D433" s="697" t="s">
        <v>2235</v>
      </c>
      <c r="E433" s="698" t="s">
        <v>1607</v>
      </c>
      <c r="F433" s="696" t="s">
        <v>1590</v>
      </c>
      <c r="G433" s="696" t="s">
        <v>1700</v>
      </c>
      <c r="H433" s="696" t="s">
        <v>558</v>
      </c>
      <c r="I433" s="696" t="s">
        <v>1812</v>
      </c>
      <c r="J433" s="696" t="s">
        <v>1813</v>
      </c>
      <c r="K433" s="696" t="s">
        <v>1814</v>
      </c>
      <c r="L433" s="699">
        <v>350</v>
      </c>
      <c r="M433" s="699">
        <v>350</v>
      </c>
      <c r="N433" s="696">
        <v>1</v>
      </c>
      <c r="O433" s="700">
        <v>1</v>
      </c>
      <c r="P433" s="699">
        <v>350</v>
      </c>
      <c r="Q433" s="701">
        <v>1</v>
      </c>
      <c r="R433" s="696">
        <v>1</v>
      </c>
      <c r="S433" s="701">
        <v>1</v>
      </c>
      <c r="T433" s="700">
        <v>1</v>
      </c>
      <c r="U433" s="702">
        <v>1</v>
      </c>
    </row>
    <row r="434" spans="1:21" ht="14.4" customHeight="1" x14ac:dyDescent="0.3">
      <c r="A434" s="695">
        <v>31</v>
      </c>
      <c r="B434" s="696" t="s">
        <v>557</v>
      </c>
      <c r="C434" s="696">
        <v>89301312</v>
      </c>
      <c r="D434" s="697" t="s">
        <v>2235</v>
      </c>
      <c r="E434" s="698" t="s">
        <v>1607</v>
      </c>
      <c r="F434" s="696" t="s">
        <v>1590</v>
      </c>
      <c r="G434" s="696" t="s">
        <v>1700</v>
      </c>
      <c r="H434" s="696" t="s">
        <v>558</v>
      </c>
      <c r="I434" s="696" t="s">
        <v>2095</v>
      </c>
      <c r="J434" s="696" t="s">
        <v>2096</v>
      </c>
      <c r="K434" s="696" t="s">
        <v>2097</v>
      </c>
      <c r="L434" s="699">
        <v>337.15</v>
      </c>
      <c r="M434" s="699">
        <v>337.15</v>
      </c>
      <c r="N434" s="696">
        <v>1</v>
      </c>
      <c r="O434" s="700">
        <v>1</v>
      </c>
      <c r="P434" s="699">
        <v>337.15</v>
      </c>
      <c r="Q434" s="701">
        <v>1</v>
      </c>
      <c r="R434" s="696">
        <v>1</v>
      </c>
      <c r="S434" s="701">
        <v>1</v>
      </c>
      <c r="T434" s="700">
        <v>1</v>
      </c>
      <c r="U434" s="702">
        <v>1</v>
      </c>
    </row>
    <row r="435" spans="1:21" ht="14.4" customHeight="1" x14ac:dyDescent="0.3">
      <c r="A435" s="695">
        <v>31</v>
      </c>
      <c r="B435" s="696" t="s">
        <v>557</v>
      </c>
      <c r="C435" s="696">
        <v>89301312</v>
      </c>
      <c r="D435" s="697" t="s">
        <v>2235</v>
      </c>
      <c r="E435" s="698" t="s">
        <v>1608</v>
      </c>
      <c r="F435" s="696" t="s">
        <v>1588</v>
      </c>
      <c r="G435" s="696" t="s">
        <v>1620</v>
      </c>
      <c r="H435" s="696" t="s">
        <v>914</v>
      </c>
      <c r="I435" s="696" t="s">
        <v>1019</v>
      </c>
      <c r="J435" s="696" t="s">
        <v>1525</v>
      </c>
      <c r="K435" s="696" t="s">
        <v>1526</v>
      </c>
      <c r="L435" s="699">
        <v>333.31</v>
      </c>
      <c r="M435" s="699">
        <v>333.31</v>
      </c>
      <c r="N435" s="696">
        <v>1</v>
      </c>
      <c r="O435" s="700">
        <v>1</v>
      </c>
      <c r="P435" s="699">
        <v>333.31</v>
      </c>
      <c r="Q435" s="701">
        <v>1</v>
      </c>
      <c r="R435" s="696">
        <v>1</v>
      </c>
      <c r="S435" s="701">
        <v>1</v>
      </c>
      <c r="T435" s="700">
        <v>1</v>
      </c>
      <c r="U435" s="702">
        <v>1</v>
      </c>
    </row>
    <row r="436" spans="1:21" ht="14.4" customHeight="1" x14ac:dyDescent="0.3">
      <c r="A436" s="695">
        <v>31</v>
      </c>
      <c r="B436" s="696" t="s">
        <v>557</v>
      </c>
      <c r="C436" s="696">
        <v>89301312</v>
      </c>
      <c r="D436" s="697" t="s">
        <v>2235</v>
      </c>
      <c r="E436" s="698" t="s">
        <v>1608</v>
      </c>
      <c r="F436" s="696" t="s">
        <v>1588</v>
      </c>
      <c r="G436" s="696" t="s">
        <v>1620</v>
      </c>
      <c r="H436" s="696" t="s">
        <v>558</v>
      </c>
      <c r="I436" s="696" t="s">
        <v>1832</v>
      </c>
      <c r="J436" s="696" t="s">
        <v>1833</v>
      </c>
      <c r="K436" s="696" t="s">
        <v>1834</v>
      </c>
      <c r="L436" s="699">
        <v>333.31</v>
      </c>
      <c r="M436" s="699">
        <v>333.31</v>
      </c>
      <c r="N436" s="696">
        <v>1</v>
      </c>
      <c r="O436" s="700">
        <v>1</v>
      </c>
      <c r="P436" s="699"/>
      <c r="Q436" s="701">
        <v>0</v>
      </c>
      <c r="R436" s="696"/>
      <c r="S436" s="701">
        <v>0</v>
      </c>
      <c r="T436" s="700"/>
      <c r="U436" s="702">
        <v>0</v>
      </c>
    </row>
    <row r="437" spans="1:21" ht="14.4" customHeight="1" x14ac:dyDescent="0.3">
      <c r="A437" s="695">
        <v>31</v>
      </c>
      <c r="B437" s="696" t="s">
        <v>557</v>
      </c>
      <c r="C437" s="696">
        <v>89301312</v>
      </c>
      <c r="D437" s="697" t="s">
        <v>2235</v>
      </c>
      <c r="E437" s="698" t="s">
        <v>1608</v>
      </c>
      <c r="F437" s="696" t="s">
        <v>1588</v>
      </c>
      <c r="G437" s="696" t="s">
        <v>2051</v>
      </c>
      <c r="H437" s="696" t="s">
        <v>558</v>
      </c>
      <c r="I437" s="696" t="s">
        <v>2052</v>
      </c>
      <c r="J437" s="696" t="s">
        <v>2053</v>
      </c>
      <c r="K437" s="696" t="s">
        <v>2054</v>
      </c>
      <c r="L437" s="699">
        <v>115.3</v>
      </c>
      <c r="M437" s="699">
        <v>230.6</v>
      </c>
      <c r="N437" s="696">
        <v>2</v>
      </c>
      <c r="O437" s="700">
        <v>0.5</v>
      </c>
      <c r="P437" s="699">
        <v>230.6</v>
      </c>
      <c r="Q437" s="701">
        <v>1</v>
      </c>
      <c r="R437" s="696">
        <v>2</v>
      </c>
      <c r="S437" s="701">
        <v>1</v>
      </c>
      <c r="T437" s="700">
        <v>0.5</v>
      </c>
      <c r="U437" s="702">
        <v>1</v>
      </c>
    </row>
    <row r="438" spans="1:21" ht="14.4" customHeight="1" x14ac:dyDescent="0.3">
      <c r="A438" s="695">
        <v>31</v>
      </c>
      <c r="B438" s="696" t="s">
        <v>557</v>
      </c>
      <c r="C438" s="696">
        <v>89301312</v>
      </c>
      <c r="D438" s="697" t="s">
        <v>2235</v>
      </c>
      <c r="E438" s="698" t="s">
        <v>1608</v>
      </c>
      <c r="F438" s="696" t="s">
        <v>1588</v>
      </c>
      <c r="G438" s="696" t="s">
        <v>2098</v>
      </c>
      <c r="H438" s="696" t="s">
        <v>558</v>
      </c>
      <c r="I438" s="696" t="s">
        <v>2099</v>
      </c>
      <c r="J438" s="696" t="s">
        <v>2100</v>
      </c>
      <c r="K438" s="696" t="s">
        <v>2101</v>
      </c>
      <c r="L438" s="699">
        <v>0</v>
      </c>
      <c r="M438" s="699">
        <v>0</v>
      </c>
      <c r="N438" s="696">
        <v>1</v>
      </c>
      <c r="O438" s="700">
        <v>0.5</v>
      </c>
      <c r="P438" s="699">
        <v>0</v>
      </c>
      <c r="Q438" s="701"/>
      <c r="R438" s="696">
        <v>1</v>
      </c>
      <c r="S438" s="701">
        <v>1</v>
      </c>
      <c r="T438" s="700">
        <v>0.5</v>
      </c>
      <c r="U438" s="702">
        <v>1</v>
      </c>
    </row>
    <row r="439" spans="1:21" ht="14.4" customHeight="1" x14ac:dyDescent="0.3">
      <c r="A439" s="695">
        <v>31</v>
      </c>
      <c r="B439" s="696" t="s">
        <v>557</v>
      </c>
      <c r="C439" s="696">
        <v>89301312</v>
      </c>
      <c r="D439" s="697" t="s">
        <v>2235</v>
      </c>
      <c r="E439" s="698" t="s">
        <v>1608</v>
      </c>
      <c r="F439" s="696" t="s">
        <v>1588</v>
      </c>
      <c r="G439" s="696" t="s">
        <v>2098</v>
      </c>
      <c r="H439" s="696" t="s">
        <v>558</v>
      </c>
      <c r="I439" s="696" t="s">
        <v>2102</v>
      </c>
      <c r="J439" s="696" t="s">
        <v>2103</v>
      </c>
      <c r="K439" s="696" t="s">
        <v>2104</v>
      </c>
      <c r="L439" s="699">
        <v>0</v>
      </c>
      <c r="M439" s="699">
        <v>0</v>
      </c>
      <c r="N439" s="696">
        <v>1</v>
      </c>
      <c r="O439" s="700">
        <v>0.5</v>
      </c>
      <c r="P439" s="699">
        <v>0</v>
      </c>
      <c r="Q439" s="701"/>
      <c r="R439" s="696">
        <v>1</v>
      </c>
      <c r="S439" s="701">
        <v>1</v>
      </c>
      <c r="T439" s="700">
        <v>0.5</v>
      </c>
      <c r="U439" s="702">
        <v>1</v>
      </c>
    </row>
    <row r="440" spans="1:21" ht="14.4" customHeight="1" x14ac:dyDescent="0.3">
      <c r="A440" s="695">
        <v>31</v>
      </c>
      <c r="B440" s="696" t="s">
        <v>557</v>
      </c>
      <c r="C440" s="696">
        <v>89301312</v>
      </c>
      <c r="D440" s="697" t="s">
        <v>2235</v>
      </c>
      <c r="E440" s="698" t="s">
        <v>1608</v>
      </c>
      <c r="F440" s="696" t="s">
        <v>1588</v>
      </c>
      <c r="G440" s="696" t="s">
        <v>1645</v>
      </c>
      <c r="H440" s="696" t="s">
        <v>914</v>
      </c>
      <c r="I440" s="696" t="s">
        <v>1045</v>
      </c>
      <c r="J440" s="696" t="s">
        <v>1046</v>
      </c>
      <c r="K440" s="696" t="s">
        <v>1047</v>
      </c>
      <c r="L440" s="699">
        <v>154.01</v>
      </c>
      <c r="M440" s="699">
        <v>154.01</v>
      </c>
      <c r="N440" s="696">
        <v>1</v>
      </c>
      <c r="O440" s="700">
        <v>1</v>
      </c>
      <c r="P440" s="699">
        <v>154.01</v>
      </c>
      <c r="Q440" s="701">
        <v>1</v>
      </c>
      <c r="R440" s="696">
        <v>1</v>
      </c>
      <c r="S440" s="701">
        <v>1</v>
      </c>
      <c r="T440" s="700">
        <v>1</v>
      </c>
      <c r="U440" s="702">
        <v>1</v>
      </c>
    </row>
    <row r="441" spans="1:21" ht="14.4" customHeight="1" x14ac:dyDescent="0.3">
      <c r="A441" s="695">
        <v>31</v>
      </c>
      <c r="B441" s="696" t="s">
        <v>557</v>
      </c>
      <c r="C441" s="696">
        <v>89301312</v>
      </c>
      <c r="D441" s="697" t="s">
        <v>2235</v>
      </c>
      <c r="E441" s="698" t="s">
        <v>1608</v>
      </c>
      <c r="F441" s="696" t="s">
        <v>1588</v>
      </c>
      <c r="G441" s="696" t="s">
        <v>1614</v>
      </c>
      <c r="H441" s="696" t="s">
        <v>914</v>
      </c>
      <c r="I441" s="696" t="s">
        <v>1367</v>
      </c>
      <c r="J441" s="696" t="s">
        <v>1317</v>
      </c>
      <c r="K441" s="696" t="s">
        <v>1368</v>
      </c>
      <c r="L441" s="699">
        <v>625.29</v>
      </c>
      <c r="M441" s="699">
        <v>2501.16</v>
      </c>
      <c r="N441" s="696">
        <v>4</v>
      </c>
      <c r="O441" s="700">
        <v>3</v>
      </c>
      <c r="P441" s="699">
        <v>1250.58</v>
      </c>
      <c r="Q441" s="701">
        <v>0.5</v>
      </c>
      <c r="R441" s="696">
        <v>2</v>
      </c>
      <c r="S441" s="701">
        <v>0.5</v>
      </c>
      <c r="T441" s="700">
        <v>2</v>
      </c>
      <c r="U441" s="702">
        <v>0.66666666666666663</v>
      </c>
    </row>
    <row r="442" spans="1:21" ht="14.4" customHeight="1" x14ac:dyDescent="0.3">
      <c r="A442" s="695">
        <v>31</v>
      </c>
      <c r="B442" s="696" t="s">
        <v>557</v>
      </c>
      <c r="C442" s="696">
        <v>89301312</v>
      </c>
      <c r="D442" s="697" t="s">
        <v>2235</v>
      </c>
      <c r="E442" s="698" t="s">
        <v>1608</v>
      </c>
      <c r="F442" s="696" t="s">
        <v>1588</v>
      </c>
      <c r="G442" s="696" t="s">
        <v>1614</v>
      </c>
      <c r="H442" s="696" t="s">
        <v>914</v>
      </c>
      <c r="I442" s="696" t="s">
        <v>1316</v>
      </c>
      <c r="J442" s="696" t="s">
        <v>1317</v>
      </c>
      <c r="K442" s="696" t="s">
        <v>1318</v>
      </c>
      <c r="L442" s="699">
        <v>937.93</v>
      </c>
      <c r="M442" s="699">
        <v>1875.86</v>
      </c>
      <c r="N442" s="696">
        <v>2</v>
      </c>
      <c r="O442" s="700">
        <v>2</v>
      </c>
      <c r="P442" s="699">
        <v>1875.86</v>
      </c>
      <c r="Q442" s="701">
        <v>1</v>
      </c>
      <c r="R442" s="696">
        <v>2</v>
      </c>
      <c r="S442" s="701">
        <v>1</v>
      </c>
      <c r="T442" s="700">
        <v>2</v>
      </c>
      <c r="U442" s="702">
        <v>1</v>
      </c>
    </row>
    <row r="443" spans="1:21" ht="14.4" customHeight="1" x14ac:dyDescent="0.3">
      <c r="A443" s="695">
        <v>31</v>
      </c>
      <c r="B443" s="696" t="s">
        <v>557</v>
      </c>
      <c r="C443" s="696">
        <v>89301312</v>
      </c>
      <c r="D443" s="697" t="s">
        <v>2235</v>
      </c>
      <c r="E443" s="698" t="s">
        <v>1608</v>
      </c>
      <c r="F443" s="696" t="s">
        <v>1588</v>
      </c>
      <c r="G443" s="696" t="s">
        <v>1651</v>
      </c>
      <c r="H443" s="696" t="s">
        <v>914</v>
      </c>
      <c r="I443" s="696" t="s">
        <v>916</v>
      </c>
      <c r="J443" s="696" t="s">
        <v>917</v>
      </c>
      <c r="K443" s="696" t="s">
        <v>1543</v>
      </c>
      <c r="L443" s="699">
        <v>96.63</v>
      </c>
      <c r="M443" s="699">
        <v>193.26</v>
      </c>
      <c r="N443" s="696">
        <v>2</v>
      </c>
      <c r="O443" s="700">
        <v>2</v>
      </c>
      <c r="P443" s="699">
        <v>96.63</v>
      </c>
      <c r="Q443" s="701">
        <v>0.5</v>
      </c>
      <c r="R443" s="696">
        <v>1</v>
      </c>
      <c r="S443" s="701">
        <v>0.5</v>
      </c>
      <c r="T443" s="700">
        <v>1</v>
      </c>
      <c r="U443" s="702">
        <v>0.5</v>
      </c>
    </row>
    <row r="444" spans="1:21" ht="14.4" customHeight="1" x14ac:dyDescent="0.3">
      <c r="A444" s="695">
        <v>31</v>
      </c>
      <c r="B444" s="696" t="s">
        <v>557</v>
      </c>
      <c r="C444" s="696">
        <v>89301312</v>
      </c>
      <c r="D444" s="697" t="s">
        <v>2235</v>
      </c>
      <c r="E444" s="698" t="s">
        <v>1608</v>
      </c>
      <c r="F444" s="696" t="s">
        <v>1588</v>
      </c>
      <c r="G444" s="696" t="s">
        <v>2105</v>
      </c>
      <c r="H444" s="696" t="s">
        <v>558</v>
      </c>
      <c r="I444" s="696" t="s">
        <v>2106</v>
      </c>
      <c r="J444" s="696" t="s">
        <v>2107</v>
      </c>
      <c r="K444" s="696" t="s">
        <v>2108</v>
      </c>
      <c r="L444" s="699">
        <v>152.6</v>
      </c>
      <c r="M444" s="699">
        <v>152.6</v>
      </c>
      <c r="N444" s="696">
        <v>1</v>
      </c>
      <c r="O444" s="700">
        <v>0.5</v>
      </c>
      <c r="P444" s="699">
        <v>152.6</v>
      </c>
      <c r="Q444" s="701">
        <v>1</v>
      </c>
      <c r="R444" s="696">
        <v>1</v>
      </c>
      <c r="S444" s="701">
        <v>1</v>
      </c>
      <c r="T444" s="700">
        <v>0.5</v>
      </c>
      <c r="U444" s="702">
        <v>1</v>
      </c>
    </row>
    <row r="445" spans="1:21" ht="14.4" customHeight="1" x14ac:dyDescent="0.3">
      <c r="A445" s="695">
        <v>31</v>
      </c>
      <c r="B445" s="696" t="s">
        <v>557</v>
      </c>
      <c r="C445" s="696">
        <v>89301312</v>
      </c>
      <c r="D445" s="697" t="s">
        <v>2235</v>
      </c>
      <c r="E445" s="698" t="s">
        <v>1608</v>
      </c>
      <c r="F445" s="696" t="s">
        <v>1588</v>
      </c>
      <c r="G445" s="696" t="s">
        <v>2109</v>
      </c>
      <c r="H445" s="696" t="s">
        <v>558</v>
      </c>
      <c r="I445" s="696" t="s">
        <v>2110</v>
      </c>
      <c r="J445" s="696" t="s">
        <v>2111</v>
      </c>
      <c r="K445" s="696" t="s">
        <v>2112</v>
      </c>
      <c r="L445" s="699">
        <v>0</v>
      </c>
      <c r="M445" s="699">
        <v>0</v>
      </c>
      <c r="N445" s="696">
        <v>1</v>
      </c>
      <c r="O445" s="700">
        <v>0.5</v>
      </c>
      <c r="P445" s="699">
        <v>0</v>
      </c>
      <c r="Q445" s="701"/>
      <c r="R445" s="696">
        <v>1</v>
      </c>
      <c r="S445" s="701">
        <v>1</v>
      </c>
      <c r="T445" s="700">
        <v>0.5</v>
      </c>
      <c r="U445" s="702">
        <v>1</v>
      </c>
    </row>
    <row r="446" spans="1:21" ht="14.4" customHeight="1" x14ac:dyDescent="0.3">
      <c r="A446" s="695">
        <v>31</v>
      </c>
      <c r="B446" s="696" t="s">
        <v>557</v>
      </c>
      <c r="C446" s="696">
        <v>89301312</v>
      </c>
      <c r="D446" s="697" t="s">
        <v>2235</v>
      </c>
      <c r="E446" s="698" t="s">
        <v>1608</v>
      </c>
      <c r="F446" s="696" t="s">
        <v>1588</v>
      </c>
      <c r="G446" s="696" t="s">
        <v>1654</v>
      </c>
      <c r="H446" s="696" t="s">
        <v>558</v>
      </c>
      <c r="I446" s="696" t="s">
        <v>2113</v>
      </c>
      <c r="J446" s="696" t="s">
        <v>2114</v>
      </c>
      <c r="K446" s="696" t="s">
        <v>2115</v>
      </c>
      <c r="L446" s="699">
        <v>0</v>
      </c>
      <c r="M446" s="699">
        <v>0</v>
      </c>
      <c r="N446" s="696">
        <v>1</v>
      </c>
      <c r="O446" s="700">
        <v>0.5</v>
      </c>
      <c r="P446" s="699">
        <v>0</v>
      </c>
      <c r="Q446" s="701"/>
      <c r="R446" s="696">
        <v>1</v>
      </c>
      <c r="S446" s="701">
        <v>1</v>
      </c>
      <c r="T446" s="700">
        <v>0.5</v>
      </c>
      <c r="U446" s="702">
        <v>1</v>
      </c>
    </row>
    <row r="447" spans="1:21" ht="14.4" customHeight="1" x14ac:dyDescent="0.3">
      <c r="A447" s="695">
        <v>31</v>
      </c>
      <c r="B447" s="696" t="s">
        <v>557</v>
      </c>
      <c r="C447" s="696">
        <v>89301312</v>
      </c>
      <c r="D447" s="697" t="s">
        <v>2235</v>
      </c>
      <c r="E447" s="698" t="s">
        <v>1608</v>
      </c>
      <c r="F447" s="696" t="s">
        <v>1588</v>
      </c>
      <c r="G447" s="696" t="s">
        <v>1665</v>
      </c>
      <c r="H447" s="696" t="s">
        <v>558</v>
      </c>
      <c r="I447" s="696" t="s">
        <v>730</v>
      </c>
      <c r="J447" s="696" t="s">
        <v>731</v>
      </c>
      <c r="K447" s="696" t="s">
        <v>732</v>
      </c>
      <c r="L447" s="699">
        <v>224.25</v>
      </c>
      <c r="M447" s="699">
        <v>448.5</v>
      </c>
      <c r="N447" s="696">
        <v>2</v>
      </c>
      <c r="O447" s="700">
        <v>1.5</v>
      </c>
      <c r="P447" s="699">
        <v>448.5</v>
      </c>
      <c r="Q447" s="701">
        <v>1</v>
      </c>
      <c r="R447" s="696">
        <v>2</v>
      </c>
      <c r="S447" s="701">
        <v>1</v>
      </c>
      <c r="T447" s="700">
        <v>1.5</v>
      </c>
      <c r="U447" s="702">
        <v>1</v>
      </c>
    </row>
    <row r="448" spans="1:21" ht="14.4" customHeight="1" x14ac:dyDescent="0.3">
      <c r="A448" s="695">
        <v>31</v>
      </c>
      <c r="B448" s="696" t="s">
        <v>557</v>
      </c>
      <c r="C448" s="696">
        <v>89301312</v>
      </c>
      <c r="D448" s="697" t="s">
        <v>2235</v>
      </c>
      <c r="E448" s="698" t="s">
        <v>1608</v>
      </c>
      <c r="F448" s="696" t="s">
        <v>1588</v>
      </c>
      <c r="G448" s="696" t="s">
        <v>1668</v>
      </c>
      <c r="H448" s="696" t="s">
        <v>558</v>
      </c>
      <c r="I448" s="696" t="s">
        <v>647</v>
      </c>
      <c r="J448" s="696" t="s">
        <v>1669</v>
      </c>
      <c r="K448" s="696" t="s">
        <v>1670</v>
      </c>
      <c r="L448" s="699">
        <v>0</v>
      </c>
      <c r="M448" s="699">
        <v>0</v>
      </c>
      <c r="N448" s="696">
        <v>2</v>
      </c>
      <c r="O448" s="700">
        <v>0.5</v>
      </c>
      <c r="P448" s="699">
        <v>0</v>
      </c>
      <c r="Q448" s="701"/>
      <c r="R448" s="696">
        <v>2</v>
      </c>
      <c r="S448" s="701">
        <v>1</v>
      </c>
      <c r="T448" s="700">
        <v>0.5</v>
      </c>
      <c r="U448" s="702">
        <v>1</v>
      </c>
    </row>
    <row r="449" spans="1:21" ht="14.4" customHeight="1" x14ac:dyDescent="0.3">
      <c r="A449" s="695">
        <v>31</v>
      </c>
      <c r="B449" s="696" t="s">
        <v>557</v>
      </c>
      <c r="C449" s="696">
        <v>89301312</v>
      </c>
      <c r="D449" s="697" t="s">
        <v>2235</v>
      </c>
      <c r="E449" s="698" t="s">
        <v>1608</v>
      </c>
      <c r="F449" s="696" t="s">
        <v>1588</v>
      </c>
      <c r="G449" s="696" t="s">
        <v>2116</v>
      </c>
      <c r="H449" s="696" t="s">
        <v>558</v>
      </c>
      <c r="I449" s="696" t="s">
        <v>2117</v>
      </c>
      <c r="J449" s="696" t="s">
        <v>2118</v>
      </c>
      <c r="K449" s="696" t="s">
        <v>2119</v>
      </c>
      <c r="L449" s="699">
        <v>547.16999999999996</v>
      </c>
      <c r="M449" s="699">
        <v>547.16999999999996</v>
      </c>
      <c r="N449" s="696">
        <v>1</v>
      </c>
      <c r="O449" s="700">
        <v>1</v>
      </c>
      <c r="P449" s="699"/>
      <c r="Q449" s="701">
        <v>0</v>
      </c>
      <c r="R449" s="696"/>
      <c r="S449" s="701">
        <v>0</v>
      </c>
      <c r="T449" s="700"/>
      <c r="U449" s="702">
        <v>0</v>
      </c>
    </row>
    <row r="450" spans="1:21" ht="14.4" customHeight="1" x14ac:dyDescent="0.3">
      <c r="A450" s="695">
        <v>31</v>
      </c>
      <c r="B450" s="696" t="s">
        <v>557</v>
      </c>
      <c r="C450" s="696">
        <v>89301312</v>
      </c>
      <c r="D450" s="697" t="s">
        <v>2235</v>
      </c>
      <c r="E450" s="698" t="s">
        <v>1608</v>
      </c>
      <c r="F450" s="696" t="s">
        <v>1588</v>
      </c>
      <c r="G450" s="696" t="s">
        <v>1675</v>
      </c>
      <c r="H450" s="696" t="s">
        <v>558</v>
      </c>
      <c r="I450" s="696" t="s">
        <v>2120</v>
      </c>
      <c r="J450" s="696" t="s">
        <v>1677</v>
      </c>
      <c r="K450" s="696" t="s">
        <v>1678</v>
      </c>
      <c r="L450" s="699">
        <v>98.23</v>
      </c>
      <c r="M450" s="699">
        <v>98.23</v>
      </c>
      <c r="N450" s="696">
        <v>1</v>
      </c>
      <c r="O450" s="700">
        <v>1</v>
      </c>
      <c r="P450" s="699"/>
      <c r="Q450" s="701">
        <v>0</v>
      </c>
      <c r="R450" s="696"/>
      <c r="S450" s="701">
        <v>0</v>
      </c>
      <c r="T450" s="700"/>
      <c r="U450" s="702">
        <v>0</v>
      </c>
    </row>
    <row r="451" spans="1:21" ht="14.4" customHeight="1" x14ac:dyDescent="0.3">
      <c r="A451" s="695">
        <v>31</v>
      </c>
      <c r="B451" s="696" t="s">
        <v>557</v>
      </c>
      <c r="C451" s="696">
        <v>89301312</v>
      </c>
      <c r="D451" s="697" t="s">
        <v>2235</v>
      </c>
      <c r="E451" s="698" t="s">
        <v>1608</v>
      </c>
      <c r="F451" s="696" t="s">
        <v>1590</v>
      </c>
      <c r="G451" s="696" t="s">
        <v>1689</v>
      </c>
      <c r="H451" s="696" t="s">
        <v>558</v>
      </c>
      <c r="I451" s="696" t="s">
        <v>1736</v>
      </c>
      <c r="J451" s="696" t="s">
        <v>1691</v>
      </c>
      <c r="K451" s="696" t="s">
        <v>1737</v>
      </c>
      <c r="L451" s="699">
        <v>47.57</v>
      </c>
      <c r="M451" s="699">
        <v>47.57</v>
      </c>
      <c r="N451" s="696">
        <v>1</v>
      </c>
      <c r="O451" s="700">
        <v>1</v>
      </c>
      <c r="P451" s="699">
        <v>47.57</v>
      </c>
      <c r="Q451" s="701">
        <v>1</v>
      </c>
      <c r="R451" s="696">
        <v>1</v>
      </c>
      <c r="S451" s="701">
        <v>1</v>
      </c>
      <c r="T451" s="700">
        <v>1</v>
      </c>
      <c r="U451" s="702">
        <v>1</v>
      </c>
    </row>
    <row r="452" spans="1:21" ht="14.4" customHeight="1" x14ac:dyDescent="0.3">
      <c r="A452" s="695">
        <v>31</v>
      </c>
      <c r="B452" s="696" t="s">
        <v>557</v>
      </c>
      <c r="C452" s="696">
        <v>89301312</v>
      </c>
      <c r="D452" s="697" t="s">
        <v>2235</v>
      </c>
      <c r="E452" s="698" t="s">
        <v>1608</v>
      </c>
      <c r="F452" s="696" t="s">
        <v>1590</v>
      </c>
      <c r="G452" s="696" t="s">
        <v>1693</v>
      </c>
      <c r="H452" s="696" t="s">
        <v>558</v>
      </c>
      <c r="I452" s="696" t="s">
        <v>1697</v>
      </c>
      <c r="J452" s="696" t="s">
        <v>1698</v>
      </c>
      <c r="K452" s="696" t="s">
        <v>1699</v>
      </c>
      <c r="L452" s="699">
        <v>200</v>
      </c>
      <c r="M452" s="699">
        <v>800</v>
      </c>
      <c r="N452" s="696">
        <v>4</v>
      </c>
      <c r="O452" s="700">
        <v>2</v>
      </c>
      <c r="P452" s="699">
        <v>800</v>
      </c>
      <c r="Q452" s="701">
        <v>1</v>
      </c>
      <c r="R452" s="696">
        <v>4</v>
      </c>
      <c r="S452" s="701">
        <v>1</v>
      </c>
      <c r="T452" s="700">
        <v>2</v>
      </c>
      <c r="U452" s="702">
        <v>1</v>
      </c>
    </row>
    <row r="453" spans="1:21" ht="14.4" customHeight="1" x14ac:dyDescent="0.3">
      <c r="A453" s="695">
        <v>31</v>
      </c>
      <c r="B453" s="696" t="s">
        <v>557</v>
      </c>
      <c r="C453" s="696">
        <v>89301312</v>
      </c>
      <c r="D453" s="697" t="s">
        <v>2235</v>
      </c>
      <c r="E453" s="698" t="s">
        <v>1608</v>
      </c>
      <c r="F453" s="696" t="s">
        <v>1590</v>
      </c>
      <c r="G453" s="696" t="s">
        <v>1700</v>
      </c>
      <c r="H453" s="696" t="s">
        <v>558</v>
      </c>
      <c r="I453" s="696" t="s">
        <v>1908</v>
      </c>
      <c r="J453" s="696" t="s">
        <v>1909</v>
      </c>
      <c r="K453" s="696" t="s">
        <v>1910</v>
      </c>
      <c r="L453" s="699">
        <v>250</v>
      </c>
      <c r="M453" s="699">
        <v>250</v>
      </c>
      <c r="N453" s="696">
        <v>1</v>
      </c>
      <c r="O453" s="700">
        <v>1</v>
      </c>
      <c r="P453" s="699"/>
      <c r="Q453" s="701">
        <v>0</v>
      </c>
      <c r="R453" s="696"/>
      <c r="S453" s="701">
        <v>0</v>
      </c>
      <c r="T453" s="700"/>
      <c r="U453" s="702">
        <v>0</v>
      </c>
    </row>
    <row r="454" spans="1:21" ht="14.4" customHeight="1" x14ac:dyDescent="0.3">
      <c r="A454" s="695">
        <v>31</v>
      </c>
      <c r="B454" s="696" t="s">
        <v>557</v>
      </c>
      <c r="C454" s="696">
        <v>89301312</v>
      </c>
      <c r="D454" s="697" t="s">
        <v>2235</v>
      </c>
      <c r="E454" s="698" t="s">
        <v>1608</v>
      </c>
      <c r="F454" s="696" t="s">
        <v>1590</v>
      </c>
      <c r="G454" s="696" t="s">
        <v>1700</v>
      </c>
      <c r="H454" s="696" t="s">
        <v>558</v>
      </c>
      <c r="I454" s="696" t="s">
        <v>1710</v>
      </c>
      <c r="J454" s="696" t="s">
        <v>1711</v>
      </c>
      <c r="K454" s="696" t="s">
        <v>1712</v>
      </c>
      <c r="L454" s="699">
        <v>750</v>
      </c>
      <c r="M454" s="699">
        <v>750</v>
      </c>
      <c r="N454" s="696">
        <v>1</v>
      </c>
      <c r="O454" s="700">
        <v>1</v>
      </c>
      <c r="P454" s="699">
        <v>750</v>
      </c>
      <c r="Q454" s="701">
        <v>1</v>
      </c>
      <c r="R454" s="696">
        <v>1</v>
      </c>
      <c r="S454" s="701">
        <v>1</v>
      </c>
      <c r="T454" s="700">
        <v>1</v>
      </c>
      <c r="U454" s="702">
        <v>1</v>
      </c>
    </row>
    <row r="455" spans="1:21" ht="14.4" customHeight="1" x14ac:dyDescent="0.3">
      <c r="A455" s="695">
        <v>31</v>
      </c>
      <c r="B455" s="696" t="s">
        <v>557</v>
      </c>
      <c r="C455" s="696">
        <v>89301312</v>
      </c>
      <c r="D455" s="697" t="s">
        <v>2235</v>
      </c>
      <c r="E455" s="698" t="s">
        <v>1609</v>
      </c>
      <c r="F455" s="696" t="s">
        <v>1588</v>
      </c>
      <c r="G455" s="696" t="s">
        <v>2121</v>
      </c>
      <c r="H455" s="696" t="s">
        <v>558</v>
      </c>
      <c r="I455" s="696" t="s">
        <v>2122</v>
      </c>
      <c r="J455" s="696" t="s">
        <v>948</v>
      </c>
      <c r="K455" s="696" t="s">
        <v>2123</v>
      </c>
      <c r="L455" s="699">
        <v>0</v>
      </c>
      <c r="M455" s="699">
        <v>0</v>
      </c>
      <c r="N455" s="696">
        <v>2</v>
      </c>
      <c r="O455" s="700">
        <v>1</v>
      </c>
      <c r="P455" s="699">
        <v>0</v>
      </c>
      <c r="Q455" s="701"/>
      <c r="R455" s="696">
        <v>2</v>
      </c>
      <c r="S455" s="701">
        <v>1</v>
      </c>
      <c r="T455" s="700">
        <v>1</v>
      </c>
      <c r="U455" s="702">
        <v>1</v>
      </c>
    </row>
    <row r="456" spans="1:21" ht="14.4" customHeight="1" x14ac:dyDescent="0.3">
      <c r="A456" s="695">
        <v>31</v>
      </c>
      <c r="B456" s="696" t="s">
        <v>557</v>
      </c>
      <c r="C456" s="696">
        <v>89301312</v>
      </c>
      <c r="D456" s="697" t="s">
        <v>2235</v>
      </c>
      <c r="E456" s="698" t="s">
        <v>1609</v>
      </c>
      <c r="F456" s="696" t="s">
        <v>1588</v>
      </c>
      <c r="G456" s="696" t="s">
        <v>1632</v>
      </c>
      <c r="H456" s="696" t="s">
        <v>558</v>
      </c>
      <c r="I456" s="696" t="s">
        <v>907</v>
      </c>
      <c r="J456" s="696" t="s">
        <v>904</v>
      </c>
      <c r="K456" s="696" t="s">
        <v>908</v>
      </c>
      <c r="L456" s="699">
        <v>354.98</v>
      </c>
      <c r="M456" s="699">
        <v>354.98</v>
      </c>
      <c r="N456" s="696">
        <v>1</v>
      </c>
      <c r="O456" s="700">
        <v>1</v>
      </c>
      <c r="P456" s="699"/>
      <c r="Q456" s="701">
        <v>0</v>
      </c>
      <c r="R456" s="696"/>
      <c r="S456" s="701">
        <v>0</v>
      </c>
      <c r="T456" s="700"/>
      <c r="U456" s="702">
        <v>0</v>
      </c>
    </row>
    <row r="457" spans="1:21" ht="14.4" customHeight="1" x14ac:dyDescent="0.3">
      <c r="A457" s="695">
        <v>31</v>
      </c>
      <c r="B457" s="696" t="s">
        <v>557</v>
      </c>
      <c r="C457" s="696">
        <v>89301312</v>
      </c>
      <c r="D457" s="697" t="s">
        <v>2235</v>
      </c>
      <c r="E457" s="698" t="s">
        <v>1609</v>
      </c>
      <c r="F457" s="696" t="s">
        <v>1588</v>
      </c>
      <c r="G457" s="696" t="s">
        <v>1798</v>
      </c>
      <c r="H457" s="696" t="s">
        <v>914</v>
      </c>
      <c r="I457" s="696" t="s">
        <v>2124</v>
      </c>
      <c r="J457" s="696" t="s">
        <v>2125</v>
      </c>
      <c r="K457" s="696" t="s">
        <v>2126</v>
      </c>
      <c r="L457" s="699">
        <v>4283.43</v>
      </c>
      <c r="M457" s="699">
        <v>12850.29</v>
      </c>
      <c r="N457" s="696">
        <v>3</v>
      </c>
      <c r="O457" s="700">
        <v>1</v>
      </c>
      <c r="P457" s="699">
        <v>12850.29</v>
      </c>
      <c r="Q457" s="701">
        <v>1</v>
      </c>
      <c r="R457" s="696">
        <v>3</v>
      </c>
      <c r="S457" s="701">
        <v>1</v>
      </c>
      <c r="T457" s="700">
        <v>1</v>
      </c>
      <c r="U457" s="702">
        <v>1</v>
      </c>
    </row>
    <row r="458" spans="1:21" ht="14.4" customHeight="1" x14ac:dyDescent="0.3">
      <c r="A458" s="695">
        <v>31</v>
      </c>
      <c r="B458" s="696" t="s">
        <v>557</v>
      </c>
      <c r="C458" s="696">
        <v>89301312</v>
      </c>
      <c r="D458" s="697" t="s">
        <v>2235</v>
      </c>
      <c r="E458" s="698" t="s">
        <v>1609</v>
      </c>
      <c r="F458" s="696" t="s">
        <v>1588</v>
      </c>
      <c r="G458" s="696" t="s">
        <v>2127</v>
      </c>
      <c r="H458" s="696" t="s">
        <v>558</v>
      </c>
      <c r="I458" s="696" t="s">
        <v>2128</v>
      </c>
      <c r="J458" s="696" t="s">
        <v>2129</v>
      </c>
      <c r="K458" s="696" t="s">
        <v>2130</v>
      </c>
      <c r="L458" s="699">
        <v>117.71</v>
      </c>
      <c r="M458" s="699">
        <v>235.42</v>
      </c>
      <c r="N458" s="696">
        <v>2</v>
      </c>
      <c r="O458" s="700">
        <v>0.5</v>
      </c>
      <c r="P458" s="699">
        <v>235.42</v>
      </c>
      <c r="Q458" s="701">
        <v>1</v>
      </c>
      <c r="R458" s="696">
        <v>2</v>
      </c>
      <c r="S458" s="701">
        <v>1</v>
      </c>
      <c r="T458" s="700">
        <v>0.5</v>
      </c>
      <c r="U458" s="702">
        <v>1</v>
      </c>
    </row>
    <row r="459" spans="1:21" ht="14.4" customHeight="1" x14ac:dyDescent="0.3">
      <c r="A459" s="695">
        <v>31</v>
      </c>
      <c r="B459" s="696" t="s">
        <v>557</v>
      </c>
      <c r="C459" s="696">
        <v>89301312</v>
      </c>
      <c r="D459" s="697" t="s">
        <v>2235</v>
      </c>
      <c r="E459" s="698" t="s">
        <v>1609</v>
      </c>
      <c r="F459" s="696" t="s">
        <v>1588</v>
      </c>
      <c r="G459" s="696" t="s">
        <v>2131</v>
      </c>
      <c r="H459" s="696" t="s">
        <v>558</v>
      </c>
      <c r="I459" s="696" t="s">
        <v>2132</v>
      </c>
      <c r="J459" s="696" t="s">
        <v>2133</v>
      </c>
      <c r="K459" s="696" t="s">
        <v>2134</v>
      </c>
      <c r="L459" s="699">
        <v>0</v>
      </c>
      <c r="M459" s="699">
        <v>0</v>
      </c>
      <c r="N459" s="696">
        <v>2</v>
      </c>
      <c r="O459" s="700">
        <v>2</v>
      </c>
      <c r="P459" s="699">
        <v>0</v>
      </c>
      <c r="Q459" s="701"/>
      <c r="R459" s="696">
        <v>1</v>
      </c>
      <c r="S459" s="701">
        <v>0.5</v>
      </c>
      <c r="T459" s="700">
        <v>1</v>
      </c>
      <c r="U459" s="702">
        <v>0.5</v>
      </c>
    </row>
    <row r="460" spans="1:21" ht="14.4" customHeight="1" x14ac:dyDescent="0.3">
      <c r="A460" s="695">
        <v>31</v>
      </c>
      <c r="B460" s="696" t="s">
        <v>557</v>
      </c>
      <c r="C460" s="696">
        <v>89301312</v>
      </c>
      <c r="D460" s="697" t="s">
        <v>2235</v>
      </c>
      <c r="E460" s="698" t="s">
        <v>1609</v>
      </c>
      <c r="F460" s="696" t="s">
        <v>1588</v>
      </c>
      <c r="G460" s="696" t="s">
        <v>2098</v>
      </c>
      <c r="H460" s="696" t="s">
        <v>558</v>
      </c>
      <c r="I460" s="696" t="s">
        <v>2135</v>
      </c>
      <c r="J460" s="696" t="s">
        <v>2136</v>
      </c>
      <c r="K460" s="696" t="s">
        <v>725</v>
      </c>
      <c r="L460" s="699">
        <v>0</v>
      </c>
      <c r="M460" s="699">
        <v>0</v>
      </c>
      <c r="N460" s="696">
        <v>1</v>
      </c>
      <c r="O460" s="700">
        <v>0.5</v>
      </c>
      <c r="P460" s="699">
        <v>0</v>
      </c>
      <c r="Q460" s="701"/>
      <c r="R460" s="696">
        <v>1</v>
      </c>
      <c r="S460" s="701">
        <v>1</v>
      </c>
      <c r="T460" s="700">
        <v>0.5</v>
      </c>
      <c r="U460" s="702">
        <v>1</v>
      </c>
    </row>
    <row r="461" spans="1:21" ht="14.4" customHeight="1" x14ac:dyDescent="0.3">
      <c r="A461" s="695">
        <v>31</v>
      </c>
      <c r="B461" s="696" t="s">
        <v>557</v>
      </c>
      <c r="C461" s="696">
        <v>89301312</v>
      </c>
      <c r="D461" s="697" t="s">
        <v>2235</v>
      </c>
      <c r="E461" s="698" t="s">
        <v>1609</v>
      </c>
      <c r="F461" s="696" t="s">
        <v>1588</v>
      </c>
      <c r="G461" s="696" t="s">
        <v>1933</v>
      </c>
      <c r="H461" s="696" t="s">
        <v>558</v>
      </c>
      <c r="I461" s="696" t="s">
        <v>2137</v>
      </c>
      <c r="J461" s="696" t="s">
        <v>1935</v>
      </c>
      <c r="K461" s="696" t="s">
        <v>2138</v>
      </c>
      <c r="L461" s="699">
        <v>0</v>
      </c>
      <c r="M461" s="699">
        <v>0</v>
      </c>
      <c r="N461" s="696">
        <v>2</v>
      </c>
      <c r="O461" s="700">
        <v>0.5</v>
      </c>
      <c r="P461" s="699">
        <v>0</v>
      </c>
      <c r="Q461" s="701"/>
      <c r="R461" s="696">
        <v>2</v>
      </c>
      <c r="S461" s="701">
        <v>1</v>
      </c>
      <c r="T461" s="700">
        <v>0.5</v>
      </c>
      <c r="U461" s="702">
        <v>1</v>
      </c>
    </row>
    <row r="462" spans="1:21" ht="14.4" customHeight="1" x14ac:dyDescent="0.3">
      <c r="A462" s="695">
        <v>31</v>
      </c>
      <c r="B462" s="696" t="s">
        <v>557</v>
      </c>
      <c r="C462" s="696">
        <v>89301312</v>
      </c>
      <c r="D462" s="697" t="s">
        <v>2235</v>
      </c>
      <c r="E462" s="698" t="s">
        <v>1609</v>
      </c>
      <c r="F462" s="696" t="s">
        <v>1588</v>
      </c>
      <c r="G462" s="696" t="s">
        <v>1645</v>
      </c>
      <c r="H462" s="696" t="s">
        <v>558</v>
      </c>
      <c r="I462" s="696" t="s">
        <v>1835</v>
      </c>
      <c r="J462" s="696" t="s">
        <v>1046</v>
      </c>
      <c r="K462" s="696" t="s">
        <v>1346</v>
      </c>
      <c r="L462" s="699">
        <v>0</v>
      </c>
      <c r="M462" s="699">
        <v>0</v>
      </c>
      <c r="N462" s="696">
        <v>1</v>
      </c>
      <c r="O462" s="700">
        <v>1</v>
      </c>
      <c r="P462" s="699">
        <v>0</v>
      </c>
      <c r="Q462" s="701"/>
      <c r="R462" s="696">
        <v>1</v>
      </c>
      <c r="S462" s="701">
        <v>1</v>
      </c>
      <c r="T462" s="700">
        <v>1</v>
      </c>
      <c r="U462" s="702">
        <v>1</v>
      </c>
    </row>
    <row r="463" spans="1:21" ht="14.4" customHeight="1" x14ac:dyDescent="0.3">
      <c r="A463" s="695">
        <v>31</v>
      </c>
      <c r="B463" s="696" t="s">
        <v>557</v>
      </c>
      <c r="C463" s="696">
        <v>89301312</v>
      </c>
      <c r="D463" s="697" t="s">
        <v>2235</v>
      </c>
      <c r="E463" s="698" t="s">
        <v>1609</v>
      </c>
      <c r="F463" s="696" t="s">
        <v>1588</v>
      </c>
      <c r="G463" s="696" t="s">
        <v>1645</v>
      </c>
      <c r="H463" s="696" t="s">
        <v>558</v>
      </c>
      <c r="I463" s="696" t="s">
        <v>1836</v>
      </c>
      <c r="J463" s="696" t="s">
        <v>1046</v>
      </c>
      <c r="K463" s="696" t="s">
        <v>1047</v>
      </c>
      <c r="L463" s="699">
        <v>154.01</v>
      </c>
      <c r="M463" s="699">
        <v>462.03</v>
      </c>
      <c r="N463" s="696">
        <v>3</v>
      </c>
      <c r="O463" s="700">
        <v>0.5</v>
      </c>
      <c r="P463" s="699">
        <v>462.03</v>
      </c>
      <c r="Q463" s="701">
        <v>1</v>
      </c>
      <c r="R463" s="696">
        <v>3</v>
      </c>
      <c r="S463" s="701">
        <v>1</v>
      </c>
      <c r="T463" s="700">
        <v>0.5</v>
      </c>
      <c r="U463" s="702">
        <v>1</v>
      </c>
    </row>
    <row r="464" spans="1:21" ht="14.4" customHeight="1" x14ac:dyDescent="0.3">
      <c r="A464" s="695">
        <v>31</v>
      </c>
      <c r="B464" s="696" t="s">
        <v>557</v>
      </c>
      <c r="C464" s="696">
        <v>89301312</v>
      </c>
      <c r="D464" s="697" t="s">
        <v>2235</v>
      </c>
      <c r="E464" s="698" t="s">
        <v>1609</v>
      </c>
      <c r="F464" s="696" t="s">
        <v>1588</v>
      </c>
      <c r="G464" s="696" t="s">
        <v>2139</v>
      </c>
      <c r="H464" s="696" t="s">
        <v>558</v>
      </c>
      <c r="I464" s="696" t="s">
        <v>2140</v>
      </c>
      <c r="J464" s="696" t="s">
        <v>2141</v>
      </c>
      <c r="K464" s="696" t="s">
        <v>2142</v>
      </c>
      <c r="L464" s="699">
        <v>229.57</v>
      </c>
      <c r="M464" s="699">
        <v>459.14</v>
      </c>
      <c r="N464" s="696">
        <v>2</v>
      </c>
      <c r="O464" s="700">
        <v>0.5</v>
      </c>
      <c r="P464" s="699">
        <v>459.14</v>
      </c>
      <c r="Q464" s="701">
        <v>1</v>
      </c>
      <c r="R464" s="696">
        <v>2</v>
      </c>
      <c r="S464" s="701">
        <v>1</v>
      </c>
      <c r="T464" s="700">
        <v>0.5</v>
      </c>
      <c r="U464" s="702">
        <v>1</v>
      </c>
    </row>
    <row r="465" spans="1:21" ht="14.4" customHeight="1" x14ac:dyDescent="0.3">
      <c r="A465" s="695">
        <v>31</v>
      </c>
      <c r="B465" s="696" t="s">
        <v>557</v>
      </c>
      <c r="C465" s="696">
        <v>89301312</v>
      </c>
      <c r="D465" s="697" t="s">
        <v>2235</v>
      </c>
      <c r="E465" s="698" t="s">
        <v>1609</v>
      </c>
      <c r="F465" s="696" t="s">
        <v>1588</v>
      </c>
      <c r="G465" s="696" t="s">
        <v>2139</v>
      </c>
      <c r="H465" s="696" t="s">
        <v>558</v>
      </c>
      <c r="I465" s="696" t="s">
        <v>2143</v>
      </c>
      <c r="J465" s="696" t="s">
        <v>2141</v>
      </c>
      <c r="K465" s="696" t="s">
        <v>2144</v>
      </c>
      <c r="L465" s="699">
        <v>0</v>
      </c>
      <c r="M465" s="699">
        <v>0</v>
      </c>
      <c r="N465" s="696">
        <v>2</v>
      </c>
      <c r="O465" s="700">
        <v>0.5</v>
      </c>
      <c r="P465" s="699">
        <v>0</v>
      </c>
      <c r="Q465" s="701"/>
      <c r="R465" s="696">
        <v>2</v>
      </c>
      <c r="S465" s="701">
        <v>1</v>
      </c>
      <c r="T465" s="700">
        <v>0.5</v>
      </c>
      <c r="U465" s="702">
        <v>1</v>
      </c>
    </row>
    <row r="466" spans="1:21" ht="14.4" customHeight="1" x14ac:dyDescent="0.3">
      <c r="A466" s="695">
        <v>31</v>
      </c>
      <c r="B466" s="696" t="s">
        <v>557</v>
      </c>
      <c r="C466" s="696">
        <v>89301312</v>
      </c>
      <c r="D466" s="697" t="s">
        <v>2235</v>
      </c>
      <c r="E466" s="698" t="s">
        <v>1609</v>
      </c>
      <c r="F466" s="696" t="s">
        <v>1588</v>
      </c>
      <c r="G466" s="696" t="s">
        <v>1614</v>
      </c>
      <c r="H466" s="696" t="s">
        <v>914</v>
      </c>
      <c r="I466" s="696" t="s">
        <v>1367</v>
      </c>
      <c r="J466" s="696" t="s">
        <v>1317</v>
      </c>
      <c r="K466" s="696" t="s">
        <v>1368</v>
      </c>
      <c r="L466" s="699">
        <v>625.29</v>
      </c>
      <c r="M466" s="699">
        <v>5002.32</v>
      </c>
      <c r="N466" s="696">
        <v>8</v>
      </c>
      <c r="O466" s="700">
        <v>3.5</v>
      </c>
      <c r="P466" s="699">
        <v>5002.32</v>
      </c>
      <c r="Q466" s="701">
        <v>1</v>
      </c>
      <c r="R466" s="696">
        <v>8</v>
      </c>
      <c r="S466" s="701">
        <v>1</v>
      </c>
      <c r="T466" s="700">
        <v>3.5</v>
      </c>
      <c r="U466" s="702">
        <v>1</v>
      </c>
    </row>
    <row r="467" spans="1:21" ht="14.4" customHeight="1" x14ac:dyDescent="0.3">
      <c r="A467" s="695">
        <v>31</v>
      </c>
      <c r="B467" s="696" t="s">
        <v>557</v>
      </c>
      <c r="C467" s="696">
        <v>89301312</v>
      </c>
      <c r="D467" s="697" t="s">
        <v>2235</v>
      </c>
      <c r="E467" s="698" t="s">
        <v>1609</v>
      </c>
      <c r="F467" s="696" t="s">
        <v>1588</v>
      </c>
      <c r="G467" s="696" t="s">
        <v>1614</v>
      </c>
      <c r="H467" s="696" t="s">
        <v>914</v>
      </c>
      <c r="I467" s="696" t="s">
        <v>1316</v>
      </c>
      <c r="J467" s="696" t="s">
        <v>1317</v>
      </c>
      <c r="K467" s="696" t="s">
        <v>1318</v>
      </c>
      <c r="L467" s="699">
        <v>937.93</v>
      </c>
      <c r="M467" s="699">
        <v>1875.86</v>
      </c>
      <c r="N467" s="696">
        <v>2</v>
      </c>
      <c r="O467" s="700">
        <v>1</v>
      </c>
      <c r="P467" s="699">
        <v>1875.86</v>
      </c>
      <c r="Q467" s="701">
        <v>1</v>
      </c>
      <c r="R467" s="696">
        <v>2</v>
      </c>
      <c r="S467" s="701">
        <v>1</v>
      </c>
      <c r="T467" s="700">
        <v>1</v>
      </c>
      <c r="U467" s="702">
        <v>1</v>
      </c>
    </row>
    <row r="468" spans="1:21" ht="14.4" customHeight="1" x14ac:dyDescent="0.3">
      <c r="A468" s="695">
        <v>31</v>
      </c>
      <c r="B468" s="696" t="s">
        <v>557</v>
      </c>
      <c r="C468" s="696">
        <v>89301312</v>
      </c>
      <c r="D468" s="697" t="s">
        <v>2235</v>
      </c>
      <c r="E468" s="698" t="s">
        <v>1609</v>
      </c>
      <c r="F468" s="696" t="s">
        <v>1588</v>
      </c>
      <c r="G468" s="696" t="s">
        <v>1651</v>
      </c>
      <c r="H468" s="696" t="s">
        <v>914</v>
      </c>
      <c r="I468" s="696" t="s">
        <v>916</v>
      </c>
      <c r="J468" s="696" t="s">
        <v>917</v>
      </c>
      <c r="K468" s="696" t="s">
        <v>1543</v>
      </c>
      <c r="L468" s="699">
        <v>96.63</v>
      </c>
      <c r="M468" s="699">
        <v>193.26</v>
      </c>
      <c r="N468" s="696">
        <v>2</v>
      </c>
      <c r="O468" s="700">
        <v>0.5</v>
      </c>
      <c r="P468" s="699">
        <v>193.26</v>
      </c>
      <c r="Q468" s="701">
        <v>1</v>
      </c>
      <c r="R468" s="696">
        <v>2</v>
      </c>
      <c r="S468" s="701">
        <v>1</v>
      </c>
      <c r="T468" s="700">
        <v>0.5</v>
      </c>
      <c r="U468" s="702">
        <v>1</v>
      </c>
    </row>
    <row r="469" spans="1:21" ht="14.4" customHeight="1" x14ac:dyDescent="0.3">
      <c r="A469" s="695">
        <v>31</v>
      </c>
      <c r="B469" s="696" t="s">
        <v>557</v>
      </c>
      <c r="C469" s="696">
        <v>89301312</v>
      </c>
      <c r="D469" s="697" t="s">
        <v>2235</v>
      </c>
      <c r="E469" s="698" t="s">
        <v>1609</v>
      </c>
      <c r="F469" s="696" t="s">
        <v>1588</v>
      </c>
      <c r="G469" s="696" t="s">
        <v>1651</v>
      </c>
      <c r="H469" s="696" t="s">
        <v>914</v>
      </c>
      <c r="I469" s="696" t="s">
        <v>2038</v>
      </c>
      <c r="J469" s="696" t="s">
        <v>917</v>
      </c>
      <c r="K469" s="696" t="s">
        <v>2039</v>
      </c>
      <c r="L469" s="699">
        <v>193.26</v>
      </c>
      <c r="M469" s="699">
        <v>193.26</v>
      </c>
      <c r="N469" s="696">
        <v>1</v>
      </c>
      <c r="O469" s="700">
        <v>1</v>
      </c>
      <c r="P469" s="699"/>
      <c r="Q469" s="701">
        <v>0</v>
      </c>
      <c r="R469" s="696"/>
      <c r="S469" s="701">
        <v>0</v>
      </c>
      <c r="T469" s="700"/>
      <c r="U469" s="702">
        <v>0</v>
      </c>
    </row>
    <row r="470" spans="1:21" ht="14.4" customHeight="1" x14ac:dyDescent="0.3">
      <c r="A470" s="695">
        <v>31</v>
      </c>
      <c r="B470" s="696" t="s">
        <v>557</v>
      </c>
      <c r="C470" s="696">
        <v>89301312</v>
      </c>
      <c r="D470" s="697" t="s">
        <v>2235</v>
      </c>
      <c r="E470" s="698" t="s">
        <v>1609</v>
      </c>
      <c r="F470" s="696" t="s">
        <v>1588</v>
      </c>
      <c r="G470" s="696" t="s">
        <v>1651</v>
      </c>
      <c r="H470" s="696" t="s">
        <v>558</v>
      </c>
      <c r="I470" s="696" t="s">
        <v>1948</v>
      </c>
      <c r="J470" s="696" t="s">
        <v>1949</v>
      </c>
      <c r="K470" s="696" t="s">
        <v>1950</v>
      </c>
      <c r="L470" s="699">
        <v>96.63</v>
      </c>
      <c r="M470" s="699">
        <v>193.26</v>
      </c>
      <c r="N470" s="696">
        <v>2</v>
      </c>
      <c r="O470" s="700">
        <v>1</v>
      </c>
      <c r="P470" s="699">
        <v>193.26</v>
      </c>
      <c r="Q470" s="701">
        <v>1</v>
      </c>
      <c r="R470" s="696">
        <v>2</v>
      </c>
      <c r="S470" s="701">
        <v>1</v>
      </c>
      <c r="T470" s="700">
        <v>1</v>
      </c>
      <c r="U470" s="702">
        <v>1</v>
      </c>
    </row>
    <row r="471" spans="1:21" ht="14.4" customHeight="1" x14ac:dyDescent="0.3">
      <c r="A471" s="695">
        <v>31</v>
      </c>
      <c r="B471" s="696" t="s">
        <v>557</v>
      </c>
      <c r="C471" s="696">
        <v>89301312</v>
      </c>
      <c r="D471" s="697" t="s">
        <v>2235</v>
      </c>
      <c r="E471" s="698" t="s">
        <v>1609</v>
      </c>
      <c r="F471" s="696" t="s">
        <v>1588</v>
      </c>
      <c r="G471" s="696" t="s">
        <v>1770</v>
      </c>
      <c r="H471" s="696" t="s">
        <v>558</v>
      </c>
      <c r="I471" s="696" t="s">
        <v>2084</v>
      </c>
      <c r="J471" s="696" t="s">
        <v>2085</v>
      </c>
      <c r="K471" s="696" t="s">
        <v>1121</v>
      </c>
      <c r="L471" s="699">
        <v>314.89999999999998</v>
      </c>
      <c r="M471" s="699">
        <v>629.79999999999995</v>
      </c>
      <c r="N471" s="696">
        <v>2</v>
      </c>
      <c r="O471" s="700">
        <v>0.5</v>
      </c>
      <c r="P471" s="699">
        <v>629.79999999999995</v>
      </c>
      <c r="Q471" s="701">
        <v>1</v>
      </c>
      <c r="R471" s="696">
        <v>2</v>
      </c>
      <c r="S471" s="701">
        <v>1</v>
      </c>
      <c r="T471" s="700">
        <v>0.5</v>
      </c>
      <c r="U471" s="702">
        <v>1</v>
      </c>
    </row>
    <row r="472" spans="1:21" ht="14.4" customHeight="1" x14ac:dyDescent="0.3">
      <c r="A472" s="695">
        <v>31</v>
      </c>
      <c r="B472" s="696" t="s">
        <v>557</v>
      </c>
      <c r="C472" s="696">
        <v>89301312</v>
      </c>
      <c r="D472" s="697" t="s">
        <v>2235</v>
      </c>
      <c r="E472" s="698" t="s">
        <v>1609</v>
      </c>
      <c r="F472" s="696" t="s">
        <v>1588</v>
      </c>
      <c r="G472" s="696" t="s">
        <v>1665</v>
      </c>
      <c r="H472" s="696" t="s">
        <v>558</v>
      </c>
      <c r="I472" s="696" t="s">
        <v>730</v>
      </c>
      <c r="J472" s="696" t="s">
        <v>731</v>
      </c>
      <c r="K472" s="696" t="s">
        <v>732</v>
      </c>
      <c r="L472" s="699">
        <v>224.25</v>
      </c>
      <c r="M472" s="699">
        <v>224.25</v>
      </c>
      <c r="N472" s="696">
        <v>1</v>
      </c>
      <c r="O472" s="700">
        <v>0.5</v>
      </c>
      <c r="P472" s="699">
        <v>224.25</v>
      </c>
      <c r="Q472" s="701">
        <v>1</v>
      </c>
      <c r="R472" s="696">
        <v>1</v>
      </c>
      <c r="S472" s="701">
        <v>1</v>
      </c>
      <c r="T472" s="700">
        <v>0.5</v>
      </c>
      <c r="U472" s="702">
        <v>1</v>
      </c>
    </row>
    <row r="473" spans="1:21" ht="14.4" customHeight="1" x14ac:dyDescent="0.3">
      <c r="A473" s="695">
        <v>31</v>
      </c>
      <c r="B473" s="696" t="s">
        <v>557</v>
      </c>
      <c r="C473" s="696">
        <v>89301312</v>
      </c>
      <c r="D473" s="697" t="s">
        <v>2235</v>
      </c>
      <c r="E473" s="698" t="s">
        <v>1609</v>
      </c>
      <c r="F473" s="696" t="s">
        <v>1588</v>
      </c>
      <c r="G473" s="696" t="s">
        <v>2145</v>
      </c>
      <c r="H473" s="696" t="s">
        <v>914</v>
      </c>
      <c r="I473" s="696" t="s">
        <v>2146</v>
      </c>
      <c r="J473" s="696" t="s">
        <v>2147</v>
      </c>
      <c r="K473" s="696" t="s">
        <v>2148</v>
      </c>
      <c r="L473" s="699">
        <v>94.8</v>
      </c>
      <c r="M473" s="699">
        <v>189.6</v>
      </c>
      <c r="N473" s="696">
        <v>2</v>
      </c>
      <c r="O473" s="700">
        <v>1</v>
      </c>
      <c r="P473" s="699"/>
      <c r="Q473" s="701">
        <v>0</v>
      </c>
      <c r="R473" s="696"/>
      <c r="S473" s="701">
        <v>0</v>
      </c>
      <c r="T473" s="700"/>
      <c r="U473" s="702">
        <v>0</v>
      </c>
    </row>
    <row r="474" spans="1:21" ht="14.4" customHeight="1" x14ac:dyDescent="0.3">
      <c r="A474" s="695">
        <v>31</v>
      </c>
      <c r="B474" s="696" t="s">
        <v>557</v>
      </c>
      <c r="C474" s="696">
        <v>89301312</v>
      </c>
      <c r="D474" s="697" t="s">
        <v>2235</v>
      </c>
      <c r="E474" s="698" t="s">
        <v>1609</v>
      </c>
      <c r="F474" s="696" t="s">
        <v>1588</v>
      </c>
      <c r="G474" s="696" t="s">
        <v>1615</v>
      </c>
      <c r="H474" s="696" t="s">
        <v>558</v>
      </c>
      <c r="I474" s="696" t="s">
        <v>988</v>
      </c>
      <c r="J474" s="696" t="s">
        <v>989</v>
      </c>
      <c r="K474" s="696" t="s">
        <v>1616</v>
      </c>
      <c r="L474" s="699">
        <v>194.73</v>
      </c>
      <c r="M474" s="699">
        <v>778.92</v>
      </c>
      <c r="N474" s="696">
        <v>4</v>
      </c>
      <c r="O474" s="700">
        <v>1</v>
      </c>
      <c r="P474" s="699">
        <v>778.92</v>
      </c>
      <c r="Q474" s="701">
        <v>1</v>
      </c>
      <c r="R474" s="696">
        <v>4</v>
      </c>
      <c r="S474" s="701">
        <v>1</v>
      </c>
      <c r="T474" s="700">
        <v>1</v>
      </c>
      <c r="U474" s="702">
        <v>1</v>
      </c>
    </row>
    <row r="475" spans="1:21" ht="14.4" customHeight="1" x14ac:dyDescent="0.3">
      <c r="A475" s="695">
        <v>31</v>
      </c>
      <c r="B475" s="696" t="s">
        <v>557</v>
      </c>
      <c r="C475" s="696">
        <v>89301312</v>
      </c>
      <c r="D475" s="697" t="s">
        <v>2235</v>
      </c>
      <c r="E475" s="698" t="s">
        <v>1609</v>
      </c>
      <c r="F475" s="696" t="s">
        <v>1588</v>
      </c>
      <c r="G475" s="696" t="s">
        <v>2149</v>
      </c>
      <c r="H475" s="696" t="s">
        <v>558</v>
      </c>
      <c r="I475" s="696" t="s">
        <v>1186</v>
      </c>
      <c r="J475" s="696" t="s">
        <v>1128</v>
      </c>
      <c r="K475" s="696" t="s">
        <v>1187</v>
      </c>
      <c r="L475" s="699">
        <v>53.99</v>
      </c>
      <c r="M475" s="699">
        <v>107.98</v>
      </c>
      <c r="N475" s="696">
        <v>2</v>
      </c>
      <c r="O475" s="700">
        <v>1</v>
      </c>
      <c r="P475" s="699">
        <v>107.98</v>
      </c>
      <c r="Q475" s="701">
        <v>1</v>
      </c>
      <c r="R475" s="696">
        <v>2</v>
      </c>
      <c r="S475" s="701">
        <v>1</v>
      </c>
      <c r="T475" s="700">
        <v>1</v>
      </c>
      <c r="U475" s="702">
        <v>1</v>
      </c>
    </row>
    <row r="476" spans="1:21" ht="14.4" customHeight="1" x14ac:dyDescent="0.3">
      <c r="A476" s="695">
        <v>31</v>
      </c>
      <c r="B476" s="696" t="s">
        <v>557</v>
      </c>
      <c r="C476" s="696">
        <v>89301312</v>
      </c>
      <c r="D476" s="697" t="s">
        <v>2235</v>
      </c>
      <c r="E476" s="698" t="s">
        <v>1609</v>
      </c>
      <c r="F476" s="696" t="s">
        <v>1588</v>
      </c>
      <c r="G476" s="696" t="s">
        <v>2150</v>
      </c>
      <c r="H476" s="696" t="s">
        <v>558</v>
      </c>
      <c r="I476" s="696" t="s">
        <v>2151</v>
      </c>
      <c r="J476" s="696" t="s">
        <v>2152</v>
      </c>
      <c r="K476" s="696" t="s">
        <v>2153</v>
      </c>
      <c r="L476" s="699">
        <v>0</v>
      </c>
      <c r="M476" s="699">
        <v>0</v>
      </c>
      <c r="N476" s="696">
        <v>2</v>
      </c>
      <c r="O476" s="700">
        <v>1</v>
      </c>
      <c r="P476" s="699">
        <v>0</v>
      </c>
      <c r="Q476" s="701"/>
      <c r="R476" s="696">
        <v>2</v>
      </c>
      <c r="S476" s="701">
        <v>1</v>
      </c>
      <c r="T476" s="700">
        <v>1</v>
      </c>
      <c r="U476" s="702">
        <v>1</v>
      </c>
    </row>
    <row r="477" spans="1:21" ht="14.4" customHeight="1" x14ac:dyDescent="0.3">
      <c r="A477" s="695">
        <v>31</v>
      </c>
      <c r="B477" s="696" t="s">
        <v>557</v>
      </c>
      <c r="C477" s="696">
        <v>89301312</v>
      </c>
      <c r="D477" s="697" t="s">
        <v>2235</v>
      </c>
      <c r="E477" s="698" t="s">
        <v>1609</v>
      </c>
      <c r="F477" s="696" t="s">
        <v>1590</v>
      </c>
      <c r="G477" s="696" t="s">
        <v>1693</v>
      </c>
      <c r="H477" s="696" t="s">
        <v>558</v>
      </c>
      <c r="I477" s="696" t="s">
        <v>1697</v>
      </c>
      <c r="J477" s="696" t="s">
        <v>1698</v>
      </c>
      <c r="K477" s="696" t="s">
        <v>1699</v>
      </c>
      <c r="L477" s="699">
        <v>200</v>
      </c>
      <c r="M477" s="699">
        <v>400</v>
      </c>
      <c r="N477" s="696">
        <v>2</v>
      </c>
      <c r="O477" s="700">
        <v>1</v>
      </c>
      <c r="P477" s="699">
        <v>400</v>
      </c>
      <c r="Q477" s="701">
        <v>1</v>
      </c>
      <c r="R477" s="696">
        <v>2</v>
      </c>
      <c r="S477" s="701">
        <v>1</v>
      </c>
      <c r="T477" s="700">
        <v>1</v>
      </c>
      <c r="U477" s="702">
        <v>1</v>
      </c>
    </row>
    <row r="478" spans="1:21" ht="14.4" customHeight="1" x14ac:dyDescent="0.3">
      <c r="A478" s="695">
        <v>31</v>
      </c>
      <c r="B478" s="696" t="s">
        <v>557</v>
      </c>
      <c r="C478" s="696">
        <v>89301312</v>
      </c>
      <c r="D478" s="697" t="s">
        <v>2235</v>
      </c>
      <c r="E478" s="698" t="s">
        <v>1609</v>
      </c>
      <c r="F478" s="696" t="s">
        <v>1590</v>
      </c>
      <c r="G478" s="696" t="s">
        <v>2154</v>
      </c>
      <c r="H478" s="696" t="s">
        <v>558</v>
      </c>
      <c r="I478" s="696" t="s">
        <v>2155</v>
      </c>
      <c r="J478" s="696" t="s">
        <v>2156</v>
      </c>
      <c r="K478" s="696" t="s">
        <v>2157</v>
      </c>
      <c r="L478" s="699">
        <v>553.15</v>
      </c>
      <c r="M478" s="699">
        <v>34848.450000000004</v>
      </c>
      <c r="N478" s="696">
        <v>63</v>
      </c>
      <c r="O478" s="700">
        <v>22</v>
      </c>
      <c r="P478" s="699">
        <v>28763.800000000003</v>
      </c>
      <c r="Q478" s="701">
        <v>0.82539682539682535</v>
      </c>
      <c r="R478" s="696">
        <v>52</v>
      </c>
      <c r="S478" s="701">
        <v>0.82539682539682535</v>
      </c>
      <c r="T478" s="700">
        <v>19</v>
      </c>
      <c r="U478" s="702">
        <v>0.86363636363636365</v>
      </c>
    </row>
    <row r="479" spans="1:21" ht="14.4" customHeight="1" x14ac:dyDescent="0.3">
      <c r="A479" s="695">
        <v>31</v>
      </c>
      <c r="B479" s="696" t="s">
        <v>557</v>
      </c>
      <c r="C479" s="696">
        <v>89301312</v>
      </c>
      <c r="D479" s="697" t="s">
        <v>2235</v>
      </c>
      <c r="E479" s="698" t="s">
        <v>1609</v>
      </c>
      <c r="F479" s="696" t="s">
        <v>1590</v>
      </c>
      <c r="G479" s="696" t="s">
        <v>1700</v>
      </c>
      <c r="H479" s="696" t="s">
        <v>558</v>
      </c>
      <c r="I479" s="696" t="s">
        <v>1701</v>
      </c>
      <c r="J479" s="696" t="s">
        <v>1702</v>
      </c>
      <c r="K479" s="696" t="s">
        <v>1703</v>
      </c>
      <c r="L479" s="699">
        <v>3000</v>
      </c>
      <c r="M479" s="699">
        <v>3000</v>
      </c>
      <c r="N479" s="696">
        <v>1</v>
      </c>
      <c r="O479" s="700">
        <v>1</v>
      </c>
      <c r="P479" s="699">
        <v>3000</v>
      </c>
      <c r="Q479" s="701">
        <v>1</v>
      </c>
      <c r="R479" s="696">
        <v>1</v>
      </c>
      <c r="S479" s="701">
        <v>1</v>
      </c>
      <c r="T479" s="700">
        <v>1</v>
      </c>
      <c r="U479" s="702">
        <v>1</v>
      </c>
    </row>
    <row r="480" spans="1:21" ht="14.4" customHeight="1" x14ac:dyDescent="0.3">
      <c r="A480" s="695">
        <v>31</v>
      </c>
      <c r="B480" s="696" t="s">
        <v>557</v>
      </c>
      <c r="C480" s="696">
        <v>89301312</v>
      </c>
      <c r="D480" s="697" t="s">
        <v>2235</v>
      </c>
      <c r="E480" s="698" t="s">
        <v>1609</v>
      </c>
      <c r="F480" s="696" t="s">
        <v>1590</v>
      </c>
      <c r="G480" s="696" t="s">
        <v>1700</v>
      </c>
      <c r="H480" s="696" t="s">
        <v>558</v>
      </c>
      <c r="I480" s="696" t="s">
        <v>1786</v>
      </c>
      <c r="J480" s="696" t="s">
        <v>1787</v>
      </c>
      <c r="K480" s="696" t="s">
        <v>1788</v>
      </c>
      <c r="L480" s="699">
        <v>320.25</v>
      </c>
      <c r="M480" s="699">
        <v>320.25</v>
      </c>
      <c r="N480" s="696">
        <v>1</v>
      </c>
      <c r="O480" s="700">
        <v>1</v>
      </c>
      <c r="P480" s="699">
        <v>320.25</v>
      </c>
      <c r="Q480" s="701">
        <v>1</v>
      </c>
      <c r="R480" s="696">
        <v>1</v>
      </c>
      <c r="S480" s="701">
        <v>1</v>
      </c>
      <c r="T480" s="700">
        <v>1</v>
      </c>
      <c r="U480" s="702">
        <v>1</v>
      </c>
    </row>
    <row r="481" spans="1:21" ht="14.4" customHeight="1" x14ac:dyDescent="0.3">
      <c r="A481" s="695">
        <v>31</v>
      </c>
      <c r="B481" s="696" t="s">
        <v>557</v>
      </c>
      <c r="C481" s="696">
        <v>89301312</v>
      </c>
      <c r="D481" s="697" t="s">
        <v>2235</v>
      </c>
      <c r="E481" s="698" t="s">
        <v>1609</v>
      </c>
      <c r="F481" s="696" t="s">
        <v>1590</v>
      </c>
      <c r="G481" s="696" t="s">
        <v>1700</v>
      </c>
      <c r="H481" s="696" t="s">
        <v>558</v>
      </c>
      <c r="I481" s="696" t="s">
        <v>1905</v>
      </c>
      <c r="J481" s="696" t="s">
        <v>1906</v>
      </c>
      <c r="K481" s="696" t="s">
        <v>1907</v>
      </c>
      <c r="L481" s="699">
        <v>245.43</v>
      </c>
      <c r="M481" s="699">
        <v>490.86</v>
      </c>
      <c r="N481" s="696">
        <v>2</v>
      </c>
      <c r="O481" s="700">
        <v>2</v>
      </c>
      <c r="P481" s="699">
        <v>490.86</v>
      </c>
      <c r="Q481" s="701">
        <v>1</v>
      </c>
      <c r="R481" s="696">
        <v>2</v>
      </c>
      <c r="S481" s="701">
        <v>1</v>
      </c>
      <c r="T481" s="700">
        <v>2</v>
      </c>
      <c r="U481" s="702">
        <v>1</v>
      </c>
    </row>
    <row r="482" spans="1:21" ht="14.4" customHeight="1" x14ac:dyDescent="0.3">
      <c r="A482" s="695">
        <v>31</v>
      </c>
      <c r="B482" s="696" t="s">
        <v>557</v>
      </c>
      <c r="C482" s="696">
        <v>89301312</v>
      </c>
      <c r="D482" s="697" t="s">
        <v>2235</v>
      </c>
      <c r="E482" s="698" t="s">
        <v>1609</v>
      </c>
      <c r="F482" s="696" t="s">
        <v>1590</v>
      </c>
      <c r="G482" s="696" t="s">
        <v>1700</v>
      </c>
      <c r="H482" s="696" t="s">
        <v>558</v>
      </c>
      <c r="I482" s="696" t="s">
        <v>1891</v>
      </c>
      <c r="J482" s="696" t="s">
        <v>1892</v>
      </c>
      <c r="K482" s="696" t="s">
        <v>1893</v>
      </c>
      <c r="L482" s="699">
        <v>1575</v>
      </c>
      <c r="M482" s="699">
        <v>12600</v>
      </c>
      <c r="N482" s="696">
        <v>8</v>
      </c>
      <c r="O482" s="700">
        <v>8</v>
      </c>
      <c r="P482" s="699">
        <v>12600</v>
      </c>
      <c r="Q482" s="701">
        <v>1</v>
      </c>
      <c r="R482" s="696">
        <v>8</v>
      </c>
      <c r="S482" s="701">
        <v>1</v>
      </c>
      <c r="T482" s="700">
        <v>8</v>
      </c>
      <c r="U482" s="702">
        <v>1</v>
      </c>
    </row>
    <row r="483" spans="1:21" ht="14.4" customHeight="1" x14ac:dyDescent="0.3">
      <c r="A483" s="695">
        <v>31</v>
      </c>
      <c r="B483" s="696" t="s">
        <v>557</v>
      </c>
      <c r="C483" s="696">
        <v>89301312</v>
      </c>
      <c r="D483" s="697" t="s">
        <v>2235</v>
      </c>
      <c r="E483" s="698" t="s">
        <v>1609</v>
      </c>
      <c r="F483" s="696" t="s">
        <v>1590</v>
      </c>
      <c r="G483" s="696" t="s">
        <v>1700</v>
      </c>
      <c r="H483" s="696" t="s">
        <v>558</v>
      </c>
      <c r="I483" s="696" t="s">
        <v>2158</v>
      </c>
      <c r="J483" s="696" t="s">
        <v>2159</v>
      </c>
      <c r="K483" s="696" t="s">
        <v>2160</v>
      </c>
      <c r="L483" s="699">
        <v>400</v>
      </c>
      <c r="M483" s="699">
        <v>400</v>
      </c>
      <c r="N483" s="696">
        <v>1</v>
      </c>
      <c r="O483" s="700">
        <v>1</v>
      </c>
      <c r="P483" s="699">
        <v>400</v>
      </c>
      <c r="Q483" s="701">
        <v>1</v>
      </c>
      <c r="R483" s="696">
        <v>1</v>
      </c>
      <c r="S483" s="701">
        <v>1</v>
      </c>
      <c r="T483" s="700">
        <v>1</v>
      </c>
      <c r="U483" s="702">
        <v>1</v>
      </c>
    </row>
    <row r="484" spans="1:21" ht="14.4" customHeight="1" x14ac:dyDescent="0.3">
      <c r="A484" s="695">
        <v>31</v>
      </c>
      <c r="B484" s="696" t="s">
        <v>557</v>
      </c>
      <c r="C484" s="696">
        <v>89301312</v>
      </c>
      <c r="D484" s="697" t="s">
        <v>2235</v>
      </c>
      <c r="E484" s="698" t="s">
        <v>1609</v>
      </c>
      <c r="F484" s="696" t="s">
        <v>1590</v>
      </c>
      <c r="G484" s="696" t="s">
        <v>1700</v>
      </c>
      <c r="H484" s="696" t="s">
        <v>558</v>
      </c>
      <c r="I484" s="696" t="s">
        <v>1715</v>
      </c>
      <c r="J484" s="696" t="s">
        <v>1716</v>
      </c>
      <c r="K484" s="696" t="s">
        <v>1717</v>
      </c>
      <c r="L484" s="699">
        <v>971.25</v>
      </c>
      <c r="M484" s="699">
        <v>3885</v>
      </c>
      <c r="N484" s="696">
        <v>4</v>
      </c>
      <c r="O484" s="700">
        <v>4</v>
      </c>
      <c r="P484" s="699">
        <v>3885</v>
      </c>
      <c r="Q484" s="701">
        <v>1</v>
      </c>
      <c r="R484" s="696">
        <v>4</v>
      </c>
      <c r="S484" s="701">
        <v>1</v>
      </c>
      <c r="T484" s="700">
        <v>4</v>
      </c>
      <c r="U484" s="702">
        <v>1</v>
      </c>
    </row>
    <row r="485" spans="1:21" ht="14.4" customHeight="1" x14ac:dyDescent="0.3">
      <c r="A485" s="695">
        <v>31</v>
      </c>
      <c r="B485" s="696" t="s">
        <v>557</v>
      </c>
      <c r="C485" s="696">
        <v>89301312</v>
      </c>
      <c r="D485" s="697" t="s">
        <v>2235</v>
      </c>
      <c r="E485" s="698" t="s">
        <v>1609</v>
      </c>
      <c r="F485" s="696" t="s">
        <v>1590</v>
      </c>
      <c r="G485" s="696" t="s">
        <v>1700</v>
      </c>
      <c r="H485" s="696" t="s">
        <v>558</v>
      </c>
      <c r="I485" s="696" t="s">
        <v>1990</v>
      </c>
      <c r="J485" s="696" t="s">
        <v>1991</v>
      </c>
      <c r="K485" s="696" t="s">
        <v>1992</v>
      </c>
      <c r="L485" s="699">
        <v>1000</v>
      </c>
      <c r="M485" s="699">
        <v>1000</v>
      </c>
      <c r="N485" s="696">
        <v>1</v>
      </c>
      <c r="O485" s="700">
        <v>1</v>
      </c>
      <c r="P485" s="699"/>
      <c r="Q485" s="701">
        <v>0</v>
      </c>
      <c r="R485" s="696"/>
      <c r="S485" s="701">
        <v>0</v>
      </c>
      <c r="T485" s="700"/>
      <c r="U485" s="702">
        <v>0</v>
      </c>
    </row>
    <row r="486" spans="1:21" ht="14.4" customHeight="1" x14ac:dyDescent="0.3">
      <c r="A486" s="695">
        <v>31</v>
      </c>
      <c r="B486" s="696" t="s">
        <v>557</v>
      </c>
      <c r="C486" s="696">
        <v>89301312</v>
      </c>
      <c r="D486" s="697" t="s">
        <v>2235</v>
      </c>
      <c r="E486" s="698" t="s">
        <v>1609</v>
      </c>
      <c r="F486" s="696" t="s">
        <v>1590</v>
      </c>
      <c r="G486" s="696" t="s">
        <v>1700</v>
      </c>
      <c r="H486" s="696" t="s">
        <v>558</v>
      </c>
      <c r="I486" s="696" t="s">
        <v>2045</v>
      </c>
      <c r="J486" s="696" t="s">
        <v>2046</v>
      </c>
      <c r="K486" s="696" t="s">
        <v>2047</v>
      </c>
      <c r="L486" s="699">
        <v>600</v>
      </c>
      <c r="M486" s="699">
        <v>600</v>
      </c>
      <c r="N486" s="696">
        <v>1</v>
      </c>
      <c r="O486" s="700">
        <v>1</v>
      </c>
      <c r="P486" s="699">
        <v>600</v>
      </c>
      <c r="Q486" s="701">
        <v>1</v>
      </c>
      <c r="R486" s="696">
        <v>1</v>
      </c>
      <c r="S486" s="701">
        <v>1</v>
      </c>
      <c r="T486" s="700">
        <v>1</v>
      </c>
      <c r="U486" s="702">
        <v>1</v>
      </c>
    </row>
    <row r="487" spans="1:21" ht="14.4" customHeight="1" x14ac:dyDescent="0.3">
      <c r="A487" s="695">
        <v>31</v>
      </c>
      <c r="B487" s="696" t="s">
        <v>557</v>
      </c>
      <c r="C487" s="696">
        <v>89301312</v>
      </c>
      <c r="D487" s="697" t="s">
        <v>2235</v>
      </c>
      <c r="E487" s="698" t="s">
        <v>1609</v>
      </c>
      <c r="F487" s="696" t="s">
        <v>1590</v>
      </c>
      <c r="G487" s="696" t="s">
        <v>1700</v>
      </c>
      <c r="H487" s="696" t="s">
        <v>558</v>
      </c>
      <c r="I487" s="696" t="s">
        <v>1899</v>
      </c>
      <c r="J487" s="696" t="s">
        <v>1900</v>
      </c>
      <c r="K487" s="696" t="s">
        <v>1901</v>
      </c>
      <c r="L487" s="699">
        <v>750</v>
      </c>
      <c r="M487" s="699">
        <v>750</v>
      </c>
      <c r="N487" s="696">
        <v>1</v>
      </c>
      <c r="O487" s="700">
        <v>1</v>
      </c>
      <c r="P487" s="699"/>
      <c r="Q487" s="701">
        <v>0</v>
      </c>
      <c r="R487" s="696"/>
      <c r="S487" s="701">
        <v>0</v>
      </c>
      <c r="T487" s="700"/>
      <c r="U487" s="702">
        <v>0</v>
      </c>
    </row>
    <row r="488" spans="1:21" ht="14.4" customHeight="1" x14ac:dyDescent="0.3">
      <c r="A488" s="695">
        <v>31</v>
      </c>
      <c r="B488" s="696" t="s">
        <v>557</v>
      </c>
      <c r="C488" s="696">
        <v>89301312</v>
      </c>
      <c r="D488" s="697" t="s">
        <v>2235</v>
      </c>
      <c r="E488" s="698" t="s">
        <v>1609</v>
      </c>
      <c r="F488" s="696" t="s">
        <v>1590</v>
      </c>
      <c r="G488" s="696" t="s">
        <v>1700</v>
      </c>
      <c r="H488" s="696" t="s">
        <v>558</v>
      </c>
      <c r="I488" s="696" t="s">
        <v>2161</v>
      </c>
      <c r="J488" s="696" t="s">
        <v>2162</v>
      </c>
      <c r="K488" s="696"/>
      <c r="L488" s="699">
        <v>600</v>
      </c>
      <c r="M488" s="699">
        <v>600</v>
      </c>
      <c r="N488" s="696">
        <v>1</v>
      </c>
      <c r="O488" s="700">
        <v>1</v>
      </c>
      <c r="P488" s="699">
        <v>600</v>
      </c>
      <c r="Q488" s="701">
        <v>1</v>
      </c>
      <c r="R488" s="696">
        <v>1</v>
      </c>
      <c r="S488" s="701">
        <v>1</v>
      </c>
      <c r="T488" s="700">
        <v>1</v>
      </c>
      <c r="U488" s="702">
        <v>1</v>
      </c>
    </row>
    <row r="489" spans="1:21" ht="14.4" customHeight="1" x14ac:dyDescent="0.3">
      <c r="A489" s="695">
        <v>31</v>
      </c>
      <c r="B489" s="696" t="s">
        <v>557</v>
      </c>
      <c r="C489" s="696">
        <v>89301312</v>
      </c>
      <c r="D489" s="697" t="s">
        <v>2235</v>
      </c>
      <c r="E489" s="698" t="s">
        <v>1609</v>
      </c>
      <c r="F489" s="696" t="s">
        <v>1590</v>
      </c>
      <c r="G489" s="696" t="s">
        <v>1700</v>
      </c>
      <c r="H489" s="696" t="s">
        <v>558</v>
      </c>
      <c r="I489" s="696" t="s">
        <v>2092</v>
      </c>
      <c r="J489" s="696" t="s">
        <v>2093</v>
      </c>
      <c r="K489" s="696" t="s">
        <v>2094</v>
      </c>
      <c r="L489" s="699">
        <v>600</v>
      </c>
      <c r="M489" s="699">
        <v>600</v>
      </c>
      <c r="N489" s="696">
        <v>1</v>
      </c>
      <c r="O489" s="700">
        <v>1</v>
      </c>
      <c r="P489" s="699">
        <v>600</v>
      </c>
      <c r="Q489" s="701">
        <v>1</v>
      </c>
      <c r="R489" s="696">
        <v>1</v>
      </c>
      <c r="S489" s="701">
        <v>1</v>
      </c>
      <c r="T489" s="700">
        <v>1</v>
      </c>
      <c r="U489" s="702">
        <v>1</v>
      </c>
    </row>
    <row r="490" spans="1:21" ht="14.4" customHeight="1" x14ac:dyDescent="0.3">
      <c r="A490" s="695">
        <v>31</v>
      </c>
      <c r="B490" s="696" t="s">
        <v>557</v>
      </c>
      <c r="C490" s="696">
        <v>89301312</v>
      </c>
      <c r="D490" s="697" t="s">
        <v>2235</v>
      </c>
      <c r="E490" s="698" t="s">
        <v>1609</v>
      </c>
      <c r="F490" s="696" t="s">
        <v>1590</v>
      </c>
      <c r="G490" s="696" t="s">
        <v>2163</v>
      </c>
      <c r="H490" s="696" t="s">
        <v>558</v>
      </c>
      <c r="I490" s="696" t="s">
        <v>2164</v>
      </c>
      <c r="J490" s="696" t="s">
        <v>2165</v>
      </c>
      <c r="K490" s="696" t="s">
        <v>2166</v>
      </c>
      <c r="L490" s="699">
        <v>377</v>
      </c>
      <c r="M490" s="699">
        <v>3393</v>
      </c>
      <c r="N490" s="696">
        <v>9</v>
      </c>
      <c r="O490" s="700">
        <v>1</v>
      </c>
      <c r="P490" s="699">
        <v>3393</v>
      </c>
      <c r="Q490" s="701">
        <v>1</v>
      </c>
      <c r="R490" s="696">
        <v>9</v>
      </c>
      <c r="S490" s="701">
        <v>1</v>
      </c>
      <c r="T490" s="700">
        <v>1</v>
      </c>
      <c r="U490" s="702">
        <v>1</v>
      </c>
    </row>
    <row r="491" spans="1:21" ht="14.4" customHeight="1" x14ac:dyDescent="0.3">
      <c r="A491" s="695">
        <v>31</v>
      </c>
      <c r="B491" s="696" t="s">
        <v>557</v>
      </c>
      <c r="C491" s="696">
        <v>89301312</v>
      </c>
      <c r="D491" s="697" t="s">
        <v>2235</v>
      </c>
      <c r="E491" s="698" t="s">
        <v>1610</v>
      </c>
      <c r="F491" s="696" t="s">
        <v>1588</v>
      </c>
      <c r="G491" s="696" t="s">
        <v>1614</v>
      </c>
      <c r="H491" s="696" t="s">
        <v>914</v>
      </c>
      <c r="I491" s="696" t="s">
        <v>1367</v>
      </c>
      <c r="J491" s="696" t="s">
        <v>1317</v>
      </c>
      <c r="K491" s="696" t="s">
        <v>1368</v>
      </c>
      <c r="L491" s="699">
        <v>625.29</v>
      </c>
      <c r="M491" s="699">
        <v>5627.61</v>
      </c>
      <c r="N491" s="696">
        <v>9</v>
      </c>
      <c r="O491" s="700">
        <v>5</v>
      </c>
      <c r="P491" s="699">
        <v>5627.61</v>
      </c>
      <c r="Q491" s="701">
        <v>1</v>
      </c>
      <c r="R491" s="696">
        <v>9</v>
      </c>
      <c r="S491" s="701">
        <v>1</v>
      </c>
      <c r="T491" s="700">
        <v>5</v>
      </c>
      <c r="U491" s="702">
        <v>1</v>
      </c>
    </row>
    <row r="492" spans="1:21" ht="14.4" customHeight="1" x14ac:dyDescent="0.3">
      <c r="A492" s="695">
        <v>31</v>
      </c>
      <c r="B492" s="696" t="s">
        <v>557</v>
      </c>
      <c r="C492" s="696">
        <v>89301312</v>
      </c>
      <c r="D492" s="697" t="s">
        <v>2235</v>
      </c>
      <c r="E492" s="698" t="s">
        <v>1610</v>
      </c>
      <c r="F492" s="696" t="s">
        <v>1588</v>
      </c>
      <c r="G492" s="696" t="s">
        <v>1614</v>
      </c>
      <c r="H492" s="696" t="s">
        <v>914</v>
      </c>
      <c r="I492" s="696" t="s">
        <v>1316</v>
      </c>
      <c r="J492" s="696" t="s">
        <v>1317</v>
      </c>
      <c r="K492" s="696" t="s">
        <v>1318</v>
      </c>
      <c r="L492" s="699">
        <v>937.93</v>
      </c>
      <c r="M492" s="699">
        <v>1875.86</v>
      </c>
      <c r="N492" s="696">
        <v>2</v>
      </c>
      <c r="O492" s="700">
        <v>1</v>
      </c>
      <c r="P492" s="699">
        <v>1875.86</v>
      </c>
      <c r="Q492" s="701">
        <v>1</v>
      </c>
      <c r="R492" s="696">
        <v>2</v>
      </c>
      <c r="S492" s="701">
        <v>1</v>
      </c>
      <c r="T492" s="700">
        <v>1</v>
      </c>
      <c r="U492" s="702">
        <v>1</v>
      </c>
    </row>
    <row r="493" spans="1:21" ht="14.4" customHeight="1" x14ac:dyDescent="0.3">
      <c r="A493" s="695">
        <v>31</v>
      </c>
      <c r="B493" s="696" t="s">
        <v>557</v>
      </c>
      <c r="C493" s="696">
        <v>89301312</v>
      </c>
      <c r="D493" s="697" t="s">
        <v>2235</v>
      </c>
      <c r="E493" s="698" t="s">
        <v>1610</v>
      </c>
      <c r="F493" s="696" t="s">
        <v>1588</v>
      </c>
      <c r="G493" s="696" t="s">
        <v>1651</v>
      </c>
      <c r="H493" s="696" t="s">
        <v>914</v>
      </c>
      <c r="I493" s="696" t="s">
        <v>916</v>
      </c>
      <c r="J493" s="696" t="s">
        <v>917</v>
      </c>
      <c r="K493" s="696" t="s">
        <v>1543</v>
      </c>
      <c r="L493" s="699">
        <v>96.63</v>
      </c>
      <c r="M493" s="699">
        <v>96.63</v>
      </c>
      <c r="N493" s="696">
        <v>1</v>
      </c>
      <c r="O493" s="700">
        <v>1</v>
      </c>
      <c r="P493" s="699">
        <v>96.63</v>
      </c>
      <c r="Q493" s="701">
        <v>1</v>
      </c>
      <c r="R493" s="696">
        <v>1</v>
      </c>
      <c r="S493" s="701">
        <v>1</v>
      </c>
      <c r="T493" s="700">
        <v>1</v>
      </c>
      <c r="U493" s="702">
        <v>1</v>
      </c>
    </row>
    <row r="494" spans="1:21" ht="14.4" customHeight="1" x14ac:dyDescent="0.3">
      <c r="A494" s="695">
        <v>31</v>
      </c>
      <c r="B494" s="696" t="s">
        <v>557</v>
      </c>
      <c r="C494" s="696">
        <v>89301312</v>
      </c>
      <c r="D494" s="697" t="s">
        <v>2235</v>
      </c>
      <c r="E494" s="698" t="s">
        <v>1610</v>
      </c>
      <c r="F494" s="696" t="s">
        <v>1588</v>
      </c>
      <c r="G494" s="696" t="s">
        <v>1668</v>
      </c>
      <c r="H494" s="696" t="s">
        <v>558</v>
      </c>
      <c r="I494" s="696" t="s">
        <v>647</v>
      </c>
      <c r="J494" s="696" t="s">
        <v>1669</v>
      </c>
      <c r="K494" s="696" t="s">
        <v>1670</v>
      </c>
      <c r="L494" s="699">
        <v>0</v>
      </c>
      <c r="M494" s="699">
        <v>0</v>
      </c>
      <c r="N494" s="696">
        <v>2</v>
      </c>
      <c r="O494" s="700">
        <v>1</v>
      </c>
      <c r="P494" s="699">
        <v>0</v>
      </c>
      <c r="Q494" s="701"/>
      <c r="R494" s="696">
        <v>2</v>
      </c>
      <c r="S494" s="701">
        <v>1</v>
      </c>
      <c r="T494" s="700">
        <v>1</v>
      </c>
      <c r="U494" s="702">
        <v>1</v>
      </c>
    </row>
    <row r="495" spans="1:21" ht="14.4" customHeight="1" x14ac:dyDescent="0.3">
      <c r="A495" s="695">
        <v>31</v>
      </c>
      <c r="B495" s="696" t="s">
        <v>557</v>
      </c>
      <c r="C495" s="696">
        <v>89301312</v>
      </c>
      <c r="D495" s="697" t="s">
        <v>2235</v>
      </c>
      <c r="E495" s="698" t="s">
        <v>1610</v>
      </c>
      <c r="F495" s="696" t="s">
        <v>1588</v>
      </c>
      <c r="G495" s="696" t="s">
        <v>1970</v>
      </c>
      <c r="H495" s="696" t="s">
        <v>558</v>
      </c>
      <c r="I495" s="696" t="s">
        <v>1971</v>
      </c>
      <c r="J495" s="696" t="s">
        <v>1972</v>
      </c>
      <c r="K495" s="696" t="s">
        <v>1973</v>
      </c>
      <c r="L495" s="699">
        <v>472.71</v>
      </c>
      <c r="M495" s="699">
        <v>472.71</v>
      </c>
      <c r="N495" s="696">
        <v>1</v>
      </c>
      <c r="O495" s="700">
        <v>1</v>
      </c>
      <c r="P495" s="699">
        <v>472.71</v>
      </c>
      <c r="Q495" s="701">
        <v>1</v>
      </c>
      <c r="R495" s="696">
        <v>1</v>
      </c>
      <c r="S495" s="701">
        <v>1</v>
      </c>
      <c r="T495" s="700">
        <v>1</v>
      </c>
      <c r="U495" s="702">
        <v>1</v>
      </c>
    </row>
    <row r="496" spans="1:21" ht="14.4" customHeight="1" x14ac:dyDescent="0.3">
      <c r="A496" s="695">
        <v>31</v>
      </c>
      <c r="B496" s="696" t="s">
        <v>557</v>
      </c>
      <c r="C496" s="696">
        <v>89301312</v>
      </c>
      <c r="D496" s="697" t="s">
        <v>2235</v>
      </c>
      <c r="E496" s="698" t="s">
        <v>1610</v>
      </c>
      <c r="F496" s="696" t="s">
        <v>1588</v>
      </c>
      <c r="G496" s="696" t="s">
        <v>1675</v>
      </c>
      <c r="H496" s="696" t="s">
        <v>914</v>
      </c>
      <c r="I496" s="696" t="s">
        <v>1802</v>
      </c>
      <c r="J496" s="696" t="s">
        <v>1803</v>
      </c>
      <c r="K496" s="696" t="s">
        <v>1804</v>
      </c>
      <c r="L496" s="699">
        <v>32.74</v>
      </c>
      <c r="M496" s="699">
        <v>65.48</v>
      </c>
      <c r="N496" s="696">
        <v>2</v>
      </c>
      <c r="O496" s="700">
        <v>1</v>
      </c>
      <c r="P496" s="699"/>
      <c r="Q496" s="701">
        <v>0</v>
      </c>
      <c r="R496" s="696"/>
      <c r="S496" s="701">
        <v>0</v>
      </c>
      <c r="T496" s="700"/>
      <c r="U496" s="702">
        <v>0</v>
      </c>
    </row>
    <row r="497" spans="1:21" ht="14.4" customHeight="1" x14ac:dyDescent="0.3">
      <c r="A497" s="695">
        <v>31</v>
      </c>
      <c r="B497" s="696" t="s">
        <v>557</v>
      </c>
      <c r="C497" s="696">
        <v>89301312</v>
      </c>
      <c r="D497" s="697" t="s">
        <v>2235</v>
      </c>
      <c r="E497" s="698" t="s">
        <v>1610</v>
      </c>
      <c r="F497" s="696" t="s">
        <v>1588</v>
      </c>
      <c r="G497" s="696" t="s">
        <v>1758</v>
      </c>
      <c r="H497" s="696" t="s">
        <v>558</v>
      </c>
      <c r="I497" s="696" t="s">
        <v>2167</v>
      </c>
      <c r="J497" s="696" t="s">
        <v>1760</v>
      </c>
      <c r="K497" s="696" t="s">
        <v>2168</v>
      </c>
      <c r="L497" s="699">
        <v>0</v>
      </c>
      <c r="M497" s="699">
        <v>0</v>
      </c>
      <c r="N497" s="696">
        <v>1</v>
      </c>
      <c r="O497" s="700">
        <v>1</v>
      </c>
      <c r="P497" s="699"/>
      <c r="Q497" s="701"/>
      <c r="R497" s="696"/>
      <c r="S497" s="701">
        <v>0</v>
      </c>
      <c r="T497" s="700"/>
      <c r="U497" s="702">
        <v>0</v>
      </c>
    </row>
    <row r="498" spans="1:21" ht="14.4" customHeight="1" x14ac:dyDescent="0.3">
      <c r="A498" s="695">
        <v>31</v>
      </c>
      <c r="B498" s="696" t="s">
        <v>557</v>
      </c>
      <c r="C498" s="696">
        <v>89301312</v>
      </c>
      <c r="D498" s="697" t="s">
        <v>2235</v>
      </c>
      <c r="E498" s="698" t="s">
        <v>1610</v>
      </c>
      <c r="F498" s="696" t="s">
        <v>1588</v>
      </c>
      <c r="G498" s="696" t="s">
        <v>1979</v>
      </c>
      <c r="H498" s="696" t="s">
        <v>558</v>
      </c>
      <c r="I498" s="696" t="s">
        <v>2169</v>
      </c>
      <c r="J498" s="696" t="s">
        <v>2170</v>
      </c>
      <c r="K498" s="696" t="s">
        <v>2171</v>
      </c>
      <c r="L498" s="699">
        <v>0</v>
      </c>
      <c r="M498" s="699">
        <v>0</v>
      </c>
      <c r="N498" s="696">
        <v>1</v>
      </c>
      <c r="O498" s="700">
        <v>1</v>
      </c>
      <c r="P498" s="699">
        <v>0</v>
      </c>
      <c r="Q498" s="701"/>
      <c r="R498" s="696">
        <v>1</v>
      </c>
      <c r="S498" s="701">
        <v>1</v>
      </c>
      <c r="T498" s="700">
        <v>1</v>
      </c>
      <c r="U498" s="702">
        <v>1</v>
      </c>
    </row>
    <row r="499" spans="1:21" ht="14.4" customHeight="1" x14ac:dyDescent="0.3">
      <c r="A499" s="695">
        <v>31</v>
      </c>
      <c r="B499" s="696" t="s">
        <v>557</v>
      </c>
      <c r="C499" s="696">
        <v>89301312</v>
      </c>
      <c r="D499" s="697" t="s">
        <v>2235</v>
      </c>
      <c r="E499" s="698" t="s">
        <v>1610</v>
      </c>
      <c r="F499" s="696" t="s">
        <v>1590</v>
      </c>
      <c r="G499" s="696" t="s">
        <v>1700</v>
      </c>
      <c r="H499" s="696" t="s">
        <v>558</v>
      </c>
      <c r="I499" s="696" t="s">
        <v>1707</v>
      </c>
      <c r="J499" s="696" t="s">
        <v>1708</v>
      </c>
      <c r="K499" s="696" t="s">
        <v>1709</v>
      </c>
      <c r="L499" s="699">
        <v>492.18</v>
      </c>
      <c r="M499" s="699">
        <v>492.18</v>
      </c>
      <c r="N499" s="696">
        <v>1</v>
      </c>
      <c r="O499" s="700">
        <v>1</v>
      </c>
      <c r="P499" s="699">
        <v>492.18</v>
      </c>
      <c r="Q499" s="701">
        <v>1</v>
      </c>
      <c r="R499" s="696">
        <v>1</v>
      </c>
      <c r="S499" s="701">
        <v>1</v>
      </c>
      <c r="T499" s="700">
        <v>1</v>
      </c>
      <c r="U499" s="702">
        <v>1</v>
      </c>
    </row>
    <row r="500" spans="1:21" ht="14.4" customHeight="1" x14ac:dyDescent="0.3">
      <c r="A500" s="695">
        <v>31</v>
      </c>
      <c r="B500" s="696" t="s">
        <v>557</v>
      </c>
      <c r="C500" s="696">
        <v>89301312</v>
      </c>
      <c r="D500" s="697" t="s">
        <v>2235</v>
      </c>
      <c r="E500" s="698" t="s">
        <v>1610</v>
      </c>
      <c r="F500" s="696" t="s">
        <v>1590</v>
      </c>
      <c r="G500" s="696" t="s">
        <v>1700</v>
      </c>
      <c r="H500" s="696" t="s">
        <v>558</v>
      </c>
      <c r="I500" s="696" t="s">
        <v>1905</v>
      </c>
      <c r="J500" s="696" t="s">
        <v>1906</v>
      </c>
      <c r="K500" s="696" t="s">
        <v>1907</v>
      </c>
      <c r="L500" s="699">
        <v>245.43</v>
      </c>
      <c r="M500" s="699">
        <v>245.43</v>
      </c>
      <c r="N500" s="696">
        <v>1</v>
      </c>
      <c r="O500" s="700">
        <v>1</v>
      </c>
      <c r="P500" s="699">
        <v>245.43</v>
      </c>
      <c r="Q500" s="701">
        <v>1</v>
      </c>
      <c r="R500" s="696">
        <v>1</v>
      </c>
      <c r="S500" s="701">
        <v>1</v>
      </c>
      <c r="T500" s="700">
        <v>1</v>
      </c>
      <c r="U500" s="702">
        <v>1</v>
      </c>
    </row>
    <row r="501" spans="1:21" ht="14.4" customHeight="1" x14ac:dyDescent="0.3">
      <c r="A501" s="695">
        <v>31</v>
      </c>
      <c r="B501" s="696" t="s">
        <v>557</v>
      </c>
      <c r="C501" s="696">
        <v>89301312</v>
      </c>
      <c r="D501" s="697" t="s">
        <v>2235</v>
      </c>
      <c r="E501" s="698" t="s">
        <v>1610</v>
      </c>
      <c r="F501" s="696" t="s">
        <v>1590</v>
      </c>
      <c r="G501" s="696" t="s">
        <v>1700</v>
      </c>
      <c r="H501" s="696" t="s">
        <v>558</v>
      </c>
      <c r="I501" s="696" t="s">
        <v>1891</v>
      </c>
      <c r="J501" s="696" t="s">
        <v>1892</v>
      </c>
      <c r="K501" s="696" t="s">
        <v>1893</v>
      </c>
      <c r="L501" s="699">
        <v>1575</v>
      </c>
      <c r="M501" s="699">
        <v>1575</v>
      </c>
      <c r="N501" s="696">
        <v>1</v>
      </c>
      <c r="O501" s="700">
        <v>1</v>
      </c>
      <c r="P501" s="699">
        <v>1575</v>
      </c>
      <c r="Q501" s="701">
        <v>1</v>
      </c>
      <c r="R501" s="696">
        <v>1</v>
      </c>
      <c r="S501" s="701">
        <v>1</v>
      </c>
      <c r="T501" s="700">
        <v>1</v>
      </c>
      <c r="U501" s="702">
        <v>1</v>
      </c>
    </row>
    <row r="502" spans="1:21" ht="14.4" customHeight="1" x14ac:dyDescent="0.3">
      <c r="A502" s="695">
        <v>31</v>
      </c>
      <c r="B502" s="696" t="s">
        <v>557</v>
      </c>
      <c r="C502" s="696">
        <v>89301312</v>
      </c>
      <c r="D502" s="697" t="s">
        <v>2235</v>
      </c>
      <c r="E502" s="698" t="s">
        <v>1610</v>
      </c>
      <c r="F502" s="696" t="s">
        <v>1590</v>
      </c>
      <c r="G502" s="696" t="s">
        <v>1700</v>
      </c>
      <c r="H502" s="696" t="s">
        <v>558</v>
      </c>
      <c r="I502" s="696" t="s">
        <v>1715</v>
      </c>
      <c r="J502" s="696" t="s">
        <v>1716</v>
      </c>
      <c r="K502" s="696" t="s">
        <v>1717</v>
      </c>
      <c r="L502" s="699">
        <v>971.25</v>
      </c>
      <c r="M502" s="699">
        <v>971.25</v>
      </c>
      <c r="N502" s="696">
        <v>1</v>
      </c>
      <c r="O502" s="700">
        <v>1</v>
      </c>
      <c r="P502" s="699">
        <v>971.25</v>
      </c>
      <c r="Q502" s="701">
        <v>1</v>
      </c>
      <c r="R502" s="696">
        <v>1</v>
      </c>
      <c r="S502" s="701">
        <v>1</v>
      </c>
      <c r="T502" s="700">
        <v>1</v>
      </c>
      <c r="U502" s="702">
        <v>1</v>
      </c>
    </row>
    <row r="503" spans="1:21" ht="14.4" customHeight="1" x14ac:dyDescent="0.3">
      <c r="A503" s="695">
        <v>31</v>
      </c>
      <c r="B503" s="696" t="s">
        <v>557</v>
      </c>
      <c r="C503" s="696">
        <v>89301312</v>
      </c>
      <c r="D503" s="697" t="s">
        <v>2235</v>
      </c>
      <c r="E503" s="698" t="s">
        <v>1610</v>
      </c>
      <c r="F503" s="696" t="s">
        <v>1590</v>
      </c>
      <c r="G503" s="696" t="s">
        <v>1700</v>
      </c>
      <c r="H503" s="696" t="s">
        <v>558</v>
      </c>
      <c r="I503" s="696" t="s">
        <v>1812</v>
      </c>
      <c r="J503" s="696" t="s">
        <v>1813</v>
      </c>
      <c r="K503" s="696" t="s">
        <v>1814</v>
      </c>
      <c r="L503" s="699">
        <v>350</v>
      </c>
      <c r="M503" s="699">
        <v>350</v>
      </c>
      <c r="N503" s="696">
        <v>1</v>
      </c>
      <c r="O503" s="700">
        <v>1</v>
      </c>
      <c r="P503" s="699">
        <v>350</v>
      </c>
      <c r="Q503" s="701">
        <v>1</v>
      </c>
      <c r="R503" s="696">
        <v>1</v>
      </c>
      <c r="S503" s="701">
        <v>1</v>
      </c>
      <c r="T503" s="700">
        <v>1</v>
      </c>
      <c r="U503" s="702">
        <v>1</v>
      </c>
    </row>
    <row r="504" spans="1:21" ht="14.4" customHeight="1" x14ac:dyDescent="0.3">
      <c r="A504" s="695">
        <v>31</v>
      </c>
      <c r="B504" s="696" t="s">
        <v>557</v>
      </c>
      <c r="C504" s="696">
        <v>89301312</v>
      </c>
      <c r="D504" s="697" t="s">
        <v>2235</v>
      </c>
      <c r="E504" s="698" t="s">
        <v>1611</v>
      </c>
      <c r="F504" s="696" t="s">
        <v>1588</v>
      </c>
      <c r="G504" s="696" t="s">
        <v>1620</v>
      </c>
      <c r="H504" s="696" t="s">
        <v>914</v>
      </c>
      <c r="I504" s="696" t="s">
        <v>1019</v>
      </c>
      <c r="J504" s="696" t="s">
        <v>1525</v>
      </c>
      <c r="K504" s="696" t="s">
        <v>1526</v>
      </c>
      <c r="L504" s="699">
        <v>333.31</v>
      </c>
      <c r="M504" s="699">
        <v>666.62</v>
      </c>
      <c r="N504" s="696">
        <v>2</v>
      </c>
      <c r="O504" s="700">
        <v>2</v>
      </c>
      <c r="P504" s="699">
        <v>666.62</v>
      </c>
      <c r="Q504" s="701">
        <v>1</v>
      </c>
      <c r="R504" s="696">
        <v>2</v>
      </c>
      <c r="S504" s="701">
        <v>1</v>
      </c>
      <c r="T504" s="700">
        <v>2</v>
      </c>
      <c r="U504" s="702">
        <v>1</v>
      </c>
    </row>
    <row r="505" spans="1:21" ht="14.4" customHeight="1" x14ac:dyDescent="0.3">
      <c r="A505" s="695">
        <v>31</v>
      </c>
      <c r="B505" s="696" t="s">
        <v>557</v>
      </c>
      <c r="C505" s="696">
        <v>89301312</v>
      </c>
      <c r="D505" s="697" t="s">
        <v>2235</v>
      </c>
      <c r="E505" s="698" t="s">
        <v>1611</v>
      </c>
      <c r="F505" s="696" t="s">
        <v>1588</v>
      </c>
      <c r="G505" s="696" t="s">
        <v>1620</v>
      </c>
      <c r="H505" s="696" t="s">
        <v>914</v>
      </c>
      <c r="I505" s="696" t="s">
        <v>2172</v>
      </c>
      <c r="J505" s="696" t="s">
        <v>2173</v>
      </c>
      <c r="K505" s="696" t="s">
        <v>2174</v>
      </c>
      <c r="L505" s="699">
        <v>152.36000000000001</v>
      </c>
      <c r="M505" s="699">
        <v>152.36000000000001</v>
      </c>
      <c r="N505" s="696">
        <v>1</v>
      </c>
      <c r="O505" s="700">
        <v>0.5</v>
      </c>
      <c r="P505" s="699">
        <v>152.36000000000001</v>
      </c>
      <c r="Q505" s="701">
        <v>1</v>
      </c>
      <c r="R505" s="696">
        <v>1</v>
      </c>
      <c r="S505" s="701">
        <v>1</v>
      </c>
      <c r="T505" s="700">
        <v>0.5</v>
      </c>
      <c r="U505" s="702">
        <v>1</v>
      </c>
    </row>
    <row r="506" spans="1:21" ht="14.4" customHeight="1" x14ac:dyDescent="0.3">
      <c r="A506" s="695">
        <v>31</v>
      </c>
      <c r="B506" s="696" t="s">
        <v>557</v>
      </c>
      <c r="C506" s="696">
        <v>89301312</v>
      </c>
      <c r="D506" s="697" t="s">
        <v>2235</v>
      </c>
      <c r="E506" s="698" t="s">
        <v>1611</v>
      </c>
      <c r="F506" s="696" t="s">
        <v>1588</v>
      </c>
      <c r="G506" s="696" t="s">
        <v>1627</v>
      </c>
      <c r="H506" s="696" t="s">
        <v>558</v>
      </c>
      <c r="I506" s="696" t="s">
        <v>1628</v>
      </c>
      <c r="J506" s="696" t="s">
        <v>1629</v>
      </c>
      <c r="K506" s="696" t="s">
        <v>1537</v>
      </c>
      <c r="L506" s="699">
        <v>69.86</v>
      </c>
      <c r="M506" s="699">
        <v>279.44</v>
      </c>
      <c r="N506" s="696">
        <v>4</v>
      </c>
      <c r="O506" s="700">
        <v>0.5</v>
      </c>
      <c r="P506" s="699">
        <v>279.44</v>
      </c>
      <c r="Q506" s="701">
        <v>1</v>
      </c>
      <c r="R506" s="696">
        <v>4</v>
      </c>
      <c r="S506" s="701">
        <v>1</v>
      </c>
      <c r="T506" s="700">
        <v>0.5</v>
      </c>
      <c r="U506" s="702">
        <v>1</v>
      </c>
    </row>
    <row r="507" spans="1:21" ht="14.4" customHeight="1" x14ac:dyDescent="0.3">
      <c r="A507" s="695">
        <v>31</v>
      </c>
      <c r="B507" s="696" t="s">
        <v>557</v>
      </c>
      <c r="C507" s="696">
        <v>89301312</v>
      </c>
      <c r="D507" s="697" t="s">
        <v>2235</v>
      </c>
      <c r="E507" s="698" t="s">
        <v>1611</v>
      </c>
      <c r="F507" s="696" t="s">
        <v>1588</v>
      </c>
      <c r="G507" s="696" t="s">
        <v>1627</v>
      </c>
      <c r="H507" s="696" t="s">
        <v>558</v>
      </c>
      <c r="I507" s="696" t="s">
        <v>2175</v>
      </c>
      <c r="J507" s="696" t="s">
        <v>2176</v>
      </c>
      <c r="K507" s="696" t="s">
        <v>2177</v>
      </c>
      <c r="L507" s="699">
        <v>52.4</v>
      </c>
      <c r="M507" s="699">
        <v>209.6</v>
      </c>
      <c r="N507" s="696">
        <v>4</v>
      </c>
      <c r="O507" s="700">
        <v>0.5</v>
      </c>
      <c r="P507" s="699">
        <v>209.6</v>
      </c>
      <c r="Q507" s="701">
        <v>1</v>
      </c>
      <c r="R507" s="696">
        <v>4</v>
      </c>
      <c r="S507" s="701">
        <v>1</v>
      </c>
      <c r="T507" s="700">
        <v>0.5</v>
      </c>
      <c r="U507" s="702">
        <v>1</v>
      </c>
    </row>
    <row r="508" spans="1:21" ht="14.4" customHeight="1" x14ac:dyDescent="0.3">
      <c r="A508" s="695">
        <v>31</v>
      </c>
      <c r="B508" s="696" t="s">
        <v>557</v>
      </c>
      <c r="C508" s="696">
        <v>89301312</v>
      </c>
      <c r="D508" s="697" t="s">
        <v>2235</v>
      </c>
      <c r="E508" s="698" t="s">
        <v>1611</v>
      </c>
      <c r="F508" s="696" t="s">
        <v>1588</v>
      </c>
      <c r="G508" s="696" t="s">
        <v>2178</v>
      </c>
      <c r="H508" s="696" t="s">
        <v>558</v>
      </c>
      <c r="I508" s="696" t="s">
        <v>2179</v>
      </c>
      <c r="J508" s="696" t="s">
        <v>2180</v>
      </c>
      <c r="K508" s="696" t="s">
        <v>2181</v>
      </c>
      <c r="L508" s="699">
        <v>55.1</v>
      </c>
      <c r="M508" s="699">
        <v>110.2</v>
      </c>
      <c r="N508" s="696">
        <v>2</v>
      </c>
      <c r="O508" s="700">
        <v>1</v>
      </c>
      <c r="P508" s="699">
        <v>110.2</v>
      </c>
      <c r="Q508" s="701">
        <v>1</v>
      </c>
      <c r="R508" s="696">
        <v>2</v>
      </c>
      <c r="S508" s="701">
        <v>1</v>
      </c>
      <c r="T508" s="700">
        <v>1</v>
      </c>
      <c r="U508" s="702">
        <v>1</v>
      </c>
    </row>
    <row r="509" spans="1:21" ht="14.4" customHeight="1" x14ac:dyDescent="0.3">
      <c r="A509" s="695">
        <v>31</v>
      </c>
      <c r="B509" s="696" t="s">
        <v>557</v>
      </c>
      <c r="C509" s="696">
        <v>89301312</v>
      </c>
      <c r="D509" s="697" t="s">
        <v>2235</v>
      </c>
      <c r="E509" s="698" t="s">
        <v>1611</v>
      </c>
      <c r="F509" s="696" t="s">
        <v>1588</v>
      </c>
      <c r="G509" s="696" t="s">
        <v>1632</v>
      </c>
      <c r="H509" s="696" t="s">
        <v>558</v>
      </c>
      <c r="I509" s="696" t="s">
        <v>2182</v>
      </c>
      <c r="J509" s="696" t="s">
        <v>2183</v>
      </c>
      <c r="K509" s="696" t="s">
        <v>2077</v>
      </c>
      <c r="L509" s="699">
        <v>0</v>
      </c>
      <c r="M509" s="699">
        <v>0</v>
      </c>
      <c r="N509" s="696">
        <v>1</v>
      </c>
      <c r="O509" s="700">
        <v>1</v>
      </c>
      <c r="P509" s="699">
        <v>0</v>
      </c>
      <c r="Q509" s="701"/>
      <c r="R509" s="696">
        <v>1</v>
      </c>
      <c r="S509" s="701">
        <v>1</v>
      </c>
      <c r="T509" s="700">
        <v>1</v>
      </c>
      <c r="U509" s="702">
        <v>1</v>
      </c>
    </row>
    <row r="510" spans="1:21" ht="14.4" customHeight="1" x14ac:dyDescent="0.3">
      <c r="A510" s="695">
        <v>31</v>
      </c>
      <c r="B510" s="696" t="s">
        <v>557</v>
      </c>
      <c r="C510" s="696">
        <v>89301312</v>
      </c>
      <c r="D510" s="697" t="s">
        <v>2235</v>
      </c>
      <c r="E510" s="698" t="s">
        <v>1611</v>
      </c>
      <c r="F510" s="696" t="s">
        <v>1588</v>
      </c>
      <c r="G510" s="696" t="s">
        <v>1638</v>
      </c>
      <c r="H510" s="696" t="s">
        <v>558</v>
      </c>
      <c r="I510" s="696" t="s">
        <v>1639</v>
      </c>
      <c r="J510" s="696" t="s">
        <v>1640</v>
      </c>
      <c r="K510" s="696"/>
      <c r="L510" s="699">
        <v>0</v>
      </c>
      <c r="M510" s="699">
        <v>0</v>
      </c>
      <c r="N510" s="696">
        <v>2</v>
      </c>
      <c r="O510" s="700">
        <v>1</v>
      </c>
      <c r="P510" s="699"/>
      <c r="Q510" s="701"/>
      <c r="R510" s="696"/>
      <c r="S510" s="701">
        <v>0</v>
      </c>
      <c r="T510" s="700"/>
      <c r="U510" s="702">
        <v>0</v>
      </c>
    </row>
    <row r="511" spans="1:21" ht="14.4" customHeight="1" x14ac:dyDescent="0.3">
      <c r="A511" s="695">
        <v>31</v>
      </c>
      <c r="B511" s="696" t="s">
        <v>557</v>
      </c>
      <c r="C511" s="696">
        <v>89301312</v>
      </c>
      <c r="D511" s="697" t="s">
        <v>2235</v>
      </c>
      <c r="E511" s="698" t="s">
        <v>1611</v>
      </c>
      <c r="F511" s="696" t="s">
        <v>1588</v>
      </c>
      <c r="G511" s="696" t="s">
        <v>1641</v>
      </c>
      <c r="H511" s="696" t="s">
        <v>558</v>
      </c>
      <c r="I511" s="696" t="s">
        <v>2184</v>
      </c>
      <c r="J511" s="696" t="s">
        <v>2185</v>
      </c>
      <c r="K511" s="696" t="s">
        <v>2186</v>
      </c>
      <c r="L511" s="699">
        <v>41.07</v>
      </c>
      <c r="M511" s="699">
        <v>41.07</v>
      </c>
      <c r="N511" s="696">
        <v>1</v>
      </c>
      <c r="O511" s="700">
        <v>0.5</v>
      </c>
      <c r="P511" s="699">
        <v>41.07</v>
      </c>
      <c r="Q511" s="701">
        <v>1</v>
      </c>
      <c r="R511" s="696">
        <v>1</v>
      </c>
      <c r="S511" s="701">
        <v>1</v>
      </c>
      <c r="T511" s="700">
        <v>0.5</v>
      </c>
      <c r="U511" s="702">
        <v>1</v>
      </c>
    </row>
    <row r="512" spans="1:21" ht="14.4" customHeight="1" x14ac:dyDescent="0.3">
      <c r="A512" s="695">
        <v>31</v>
      </c>
      <c r="B512" s="696" t="s">
        <v>557</v>
      </c>
      <c r="C512" s="696">
        <v>89301312</v>
      </c>
      <c r="D512" s="697" t="s">
        <v>2235</v>
      </c>
      <c r="E512" s="698" t="s">
        <v>1611</v>
      </c>
      <c r="F512" s="696" t="s">
        <v>1588</v>
      </c>
      <c r="G512" s="696" t="s">
        <v>2187</v>
      </c>
      <c r="H512" s="696" t="s">
        <v>558</v>
      </c>
      <c r="I512" s="696" t="s">
        <v>2188</v>
      </c>
      <c r="J512" s="696" t="s">
        <v>2189</v>
      </c>
      <c r="K512" s="696" t="s">
        <v>2190</v>
      </c>
      <c r="L512" s="699">
        <v>0</v>
      </c>
      <c r="M512" s="699">
        <v>0</v>
      </c>
      <c r="N512" s="696">
        <v>4</v>
      </c>
      <c r="O512" s="700">
        <v>0.5</v>
      </c>
      <c r="P512" s="699"/>
      <c r="Q512" s="701"/>
      <c r="R512" s="696"/>
      <c r="S512" s="701">
        <v>0</v>
      </c>
      <c r="T512" s="700"/>
      <c r="U512" s="702">
        <v>0</v>
      </c>
    </row>
    <row r="513" spans="1:21" ht="14.4" customHeight="1" x14ac:dyDescent="0.3">
      <c r="A513" s="695">
        <v>31</v>
      </c>
      <c r="B513" s="696" t="s">
        <v>557</v>
      </c>
      <c r="C513" s="696">
        <v>89301312</v>
      </c>
      <c r="D513" s="697" t="s">
        <v>2235</v>
      </c>
      <c r="E513" s="698" t="s">
        <v>1611</v>
      </c>
      <c r="F513" s="696" t="s">
        <v>1588</v>
      </c>
      <c r="G513" s="696" t="s">
        <v>1933</v>
      </c>
      <c r="H513" s="696" t="s">
        <v>558</v>
      </c>
      <c r="I513" s="696" t="s">
        <v>1934</v>
      </c>
      <c r="J513" s="696" t="s">
        <v>1935</v>
      </c>
      <c r="K513" s="696" t="s">
        <v>1936</v>
      </c>
      <c r="L513" s="699">
        <v>77.08</v>
      </c>
      <c r="M513" s="699">
        <v>77.08</v>
      </c>
      <c r="N513" s="696">
        <v>1</v>
      </c>
      <c r="O513" s="700">
        <v>1</v>
      </c>
      <c r="P513" s="699">
        <v>77.08</v>
      </c>
      <c r="Q513" s="701">
        <v>1</v>
      </c>
      <c r="R513" s="696">
        <v>1</v>
      </c>
      <c r="S513" s="701">
        <v>1</v>
      </c>
      <c r="T513" s="700">
        <v>1</v>
      </c>
      <c r="U513" s="702">
        <v>1</v>
      </c>
    </row>
    <row r="514" spans="1:21" ht="14.4" customHeight="1" x14ac:dyDescent="0.3">
      <c r="A514" s="695">
        <v>31</v>
      </c>
      <c r="B514" s="696" t="s">
        <v>557</v>
      </c>
      <c r="C514" s="696">
        <v>89301312</v>
      </c>
      <c r="D514" s="697" t="s">
        <v>2235</v>
      </c>
      <c r="E514" s="698" t="s">
        <v>1611</v>
      </c>
      <c r="F514" s="696" t="s">
        <v>1588</v>
      </c>
      <c r="G514" s="696" t="s">
        <v>1645</v>
      </c>
      <c r="H514" s="696" t="s">
        <v>914</v>
      </c>
      <c r="I514" s="696" t="s">
        <v>1045</v>
      </c>
      <c r="J514" s="696" t="s">
        <v>1046</v>
      </c>
      <c r="K514" s="696" t="s">
        <v>1047</v>
      </c>
      <c r="L514" s="699">
        <v>154.01</v>
      </c>
      <c r="M514" s="699">
        <v>154.01</v>
      </c>
      <c r="N514" s="696">
        <v>1</v>
      </c>
      <c r="O514" s="700">
        <v>1</v>
      </c>
      <c r="P514" s="699">
        <v>154.01</v>
      </c>
      <c r="Q514" s="701">
        <v>1</v>
      </c>
      <c r="R514" s="696">
        <v>1</v>
      </c>
      <c r="S514" s="701">
        <v>1</v>
      </c>
      <c r="T514" s="700">
        <v>1</v>
      </c>
      <c r="U514" s="702">
        <v>1</v>
      </c>
    </row>
    <row r="515" spans="1:21" ht="14.4" customHeight="1" x14ac:dyDescent="0.3">
      <c r="A515" s="695">
        <v>31</v>
      </c>
      <c r="B515" s="696" t="s">
        <v>557</v>
      </c>
      <c r="C515" s="696">
        <v>89301312</v>
      </c>
      <c r="D515" s="697" t="s">
        <v>2235</v>
      </c>
      <c r="E515" s="698" t="s">
        <v>1611</v>
      </c>
      <c r="F515" s="696" t="s">
        <v>1588</v>
      </c>
      <c r="G515" s="696" t="s">
        <v>1614</v>
      </c>
      <c r="H515" s="696" t="s">
        <v>914</v>
      </c>
      <c r="I515" s="696" t="s">
        <v>1367</v>
      </c>
      <c r="J515" s="696" t="s">
        <v>1317</v>
      </c>
      <c r="K515" s="696" t="s">
        <v>1368</v>
      </c>
      <c r="L515" s="699">
        <v>625.29</v>
      </c>
      <c r="M515" s="699">
        <v>10004.64</v>
      </c>
      <c r="N515" s="696">
        <v>16</v>
      </c>
      <c r="O515" s="700">
        <v>6.5</v>
      </c>
      <c r="P515" s="699">
        <v>8128.7699999999995</v>
      </c>
      <c r="Q515" s="701">
        <v>0.8125</v>
      </c>
      <c r="R515" s="696">
        <v>13</v>
      </c>
      <c r="S515" s="701">
        <v>0.8125</v>
      </c>
      <c r="T515" s="700">
        <v>5</v>
      </c>
      <c r="U515" s="702">
        <v>0.76923076923076927</v>
      </c>
    </row>
    <row r="516" spans="1:21" ht="14.4" customHeight="1" x14ac:dyDescent="0.3">
      <c r="A516" s="695">
        <v>31</v>
      </c>
      <c r="B516" s="696" t="s">
        <v>557</v>
      </c>
      <c r="C516" s="696">
        <v>89301312</v>
      </c>
      <c r="D516" s="697" t="s">
        <v>2235</v>
      </c>
      <c r="E516" s="698" t="s">
        <v>1611</v>
      </c>
      <c r="F516" s="696" t="s">
        <v>1588</v>
      </c>
      <c r="G516" s="696" t="s">
        <v>1651</v>
      </c>
      <c r="H516" s="696" t="s">
        <v>914</v>
      </c>
      <c r="I516" s="696" t="s">
        <v>916</v>
      </c>
      <c r="J516" s="696" t="s">
        <v>917</v>
      </c>
      <c r="K516" s="696" t="s">
        <v>1543</v>
      </c>
      <c r="L516" s="699">
        <v>96.63</v>
      </c>
      <c r="M516" s="699">
        <v>386.52</v>
      </c>
      <c r="N516" s="696">
        <v>4</v>
      </c>
      <c r="O516" s="700">
        <v>3.5</v>
      </c>
      <c r="P516" s="699">
        <v>193.26</v>
      </c>
      <c r="Q516" s="701">
        <v>0.5</v>
      </c>
      <c r="R516" s="696">
        <v>2</v>
      </c>
      <c r="S516" s="701">
        <v>0.5</v>
      </c>
      <c r="T516" s="700">
        <v>2</v>
      </c>
      <c r="U516" s="702">
        <v>0.5714285714285714</v>
      </c>
    </row>
    <row r="517" spans="1:21" ht="14.4" customHeight="1" x14ac:dyDescent="0.3">
      <c r="A517" s="695">
        <v>31</v>
      </c>
      <c r="B517" s="696" t="s">
        <v>557</v>
      </c>
      <c r="C517" s="696">
        <v>89301312</v>
      </c>
      <c r="D517" s="697" t="s">
        <v>2235</v>
      </c>
      <c r="E517" s="698" t="s">
        <v>1611</v>
      </c>
      <c r="F517" s="696" t="s">
        <v>1588</v>
      </c>
      <c r="G517" s="696" t="s">
        <v>1651</v>
      </c>
      <c r="H517" s="696" t="s">
        <v>558</v>
      </c>
      <c r="I517" s="696" t="s">
        <v>1948</v>
      </c>
      <c r="J517" s="696" t="s">
        <v>1949</v>
      </c>
      <c r="K517" s="696" t="s">
        <v>1950</v>
      </c>
      <c r="L517" s="699">
        <v>96.63</v>
      </c>
      <c r="M517" s="699">
        <v>193.26</v>
      </c>
      <c r="N517" s="696">
        <v>2</v>
      </c>
      <c r="O517" s="700">
        <v>2</v>
      </c>
      <c r="P517" s="699">
        <v>193.26</v>
      </c>
      <c r="Q517" s="701">
        <v>1</v>
      </c>
      <c r="R517" s="696">
        <v>2</v>
      </c>
      <c r="S517" s="701">
        <v>1</v>
      </c>
      <c r="T517" s="700">
        <v>2</v>
      </c>
      <c r="U517" s="702">
        <v>1</v>
      </c>
    </row>
    <row r="518" spans="1:21" ht="14.4" customHeight="1" x14ac:dyDescent="0.3">
      <c r="A518" s="695">
        <v>31</v>
      </c>
      <c r="B518" s="696" t="s">
        <v>557</v>
      </c>
      <c r="C518" s="696">
        <v>89301312</v>
      </c>
      <c r="D518" s="697" t="s">
        <v>2235</v>
      </c>
      <c r="E518" s="698" t="s">
        <v>1611</v>
      </c>
      <c r="F518" s="696" t="s">
        <v>1588</v>
      </c>
      <c r="G518" s="696" t="s">
        <v>1869</v>
      </c>
      <c r="H518" s="696" t="s">
        <v>558</v>
      </c>
      <c r="I518" s="696" t="s">
        <v>2040</v>
      </c>
      <c r="J518" s="696" t="s">
        <v>2041</v>
      </c>
      <c r="K518" s="696" t="s">
        <v>2042</v>
      </c>
      <c r="L518" s="699">
        <v>121.59</v>
      </c>
      <c r="M518" s="699">
        <v>121.59</v>
      </c>
      <c r="N518" s="696">
        <v>1</v>
      </c>
      <c r="O518" s="700">
        <v>1</v>
      </c>
      <c r="P518" s="699">
        <v>121.59</v>
      </c>
      <c r="Q518" s="701">
        <v>1</v>
      </c>
      <c r="R518" s="696">
        <v>1</v>
      </c>
      <c r="S518" s="701">
        <v>1</v>
      </c>
      <c r="T518" s="700">
        <v>1</v>
      </c>
      <c r="U518" s="702">
        <v>1</v>
      </c>
    </row>
    <row r="519" spans="1:21" ht="14.4" customHeight="1" x14ac:dyDescent="0.3">
      <c r="A519" s="695">
        <v>31</v>
      </c>
      <c r="B519" s="696" t="s">
        <v>557</v>
      </c>
      <c r="C519" s="696">
        <v>89301312</v>
      </c>
      <c r="D519" s="697" t="s">
        <v>2235</v>
      </c>
      <c r="E519" s="698" t="s">
        <v>1611</v>
      </c>
      <c r="F519" s="696" t="s">
        <v>1588</v>
      </c>
      <c r="G519" s="696" t="s">
        <v>1770</v>
      </c>
      <c r="H519" s="696" t="s">
        <v>558</v>
      </c>
      <c r="I519" s="696" t="s">
        <v>2084</v>
      </c>
      <c r="J519" s="696" t="s">
        <v>2085</v>
      </c>
      <c r="K519" s="696" t="s">
        <v>1121</v>
      </c>
      <c r="L519" s="699">
        <v>314.89999999999998</v>
      </c>
      <c r="M519" s="699">
        <v>314.89999999999998</v>
      </c>
      <c r="N519" s="696">
        <v>1</v>
      </c>
      <c r="O519" s="700">
        <v>0.5</v>
      </c>
      <c r="P519" s="699"/>
      <c r="Q519" s="701">
        <v>0</v>
      </c>
      <c r="R519" s="696"/>
      <c r="S519" s="701">
        <v>0</v>
      </c>
      <c r="T519" s="700"/>
      <c r="U519" s="702">
        <v>0</v>
      </c>
    </row>
    <row r="520" spans="1:21" ht="14.4" customHeight="1" x14ac:dyDescent="0.3">
      <c r="A520" s="695">
        <v>31</v>
      </c>
      <c r="B520" s="696" t="s">
        <v>557</v>
      </c>
      <c r="C520" s="696">
        <v>89301312</v>
      </c>
      <c r="D520" s="697" t="s">
        <v>2235</v>
      </c>
      <c r="E520" s="698" t="s">
        <v>1611</v>
      </c>
      <c r="F520" s="696" t="s">
        <v>1588</v>
      </c>
      <c r="G520" s="696" t="s">
        <v>1657</v>
      </c>
      <c r="H520" s="696" t="s">
        <v>558</v>
      </c>
      <c r="I520" s="696" t="s">
        <v>2191</v>
      </c>
      <c r="J520" s="696" t="s">
        <v>2192</v>
      </c>
      <c r="K520" s="696" t="s">
        <v>2193</v>
      </c>
      <c r="L520" s="699">
        <v>169</v>
      </c>
      <c r="M520" s="699">
        <v>338</v>
      </c>
      <c r="N520" s="696">
        <v>2</v>
      </c>
      <c r="O520" s="700">
        <v>2</v>
      </c>
      <c r="P520" s="699">
        <v>338</v>
      </c>
      <c r="Q520" s="701">
        <v>1</v>
      </c>
      <c r="R520" s="696">
        <v>2</v>
      </c>
      <c r="S520" s="701">
        <v>1</v>
      </c>
      <c r="T520" s="700">
        <v>2</v>
      </c>
      <c r="U520" s="702">
        <v>1</v>
      </c>
    </row>
    <row r="521" spans="1:21" ht="14.4" customHeight="1" x14ac:dyDescent="0.3">
      <c r="A521" s="695">
        <v>31</v>
      </c>
      <c r="B521" s="696" t="s">
        <v>557</v>
      </c>
      <c r="C521" s="696">
        <v>89301312</v>
      </c>
      <c r="D521" s="697" t="s">
        <v>2235</v>
      </c>
      <c r="E521" s="698" t="s">
        <v>1611</v>
      </c>
      <c r="F521" s="696" t="s">
        <v>1588</v>
      </c>
      <c r="G521" s="696" t="s">
        <v>2194</v>
      </c>
      <c r="H521" s="696" t="s">
        <v>558</v>
      </c>
      <c r="I521" s="696" t="s">
        <v>2195</v>
      </c>
      <c r="J521" s="696" t="s">
        <v>1176</v>
      </c>
      <c r="K521" s="696" t="s">
        <v>2196</v>
      </c>
      <c r="L521" s="699">
        <v>202.25</v>
      </c>
      <c r="M521" s="699">
        <v>202.25</v>
      </c>
      <c r="N521" s="696">
        <v>1</v>
      </c>
      <c r="O521" s="700">
        <v>1</v>
      </c>
      <c r="P521" s="699"/>
      <c r="Q521" s="701">
        <v>0</v>
      </c>
      <c r="R521" s="696"/>
      <c r="S521" s="701">
        <v>0</v>
      </c>
      <c r="T521" s="700"/>
      <c r="U521" s="702">
        <v>0</v>
      </c>
    </row>
    <row r="522" spans="1:21" ht="14.4" customHeight="1" x14ac:dyDescent="0.3">
      <c r="A522" s="695">
        <v>31</v>
      </c>
      <c r="B522" s="696" t="s">
        <v>557</v>
      </c>
      <c r="C522" s="696">
        <v>89301312</v>
      </c>
      <c r="D522" s="697" t="s">
        <v>2235</v>
      </c>
      <c r="E522" s="698" t="s">
        <v>1611</v>
      </c>
      <c r="F522" s="696" t="s">
        <v>1588</v>
      </c>
      <c r="G522" s="696" t="s">
        <v>1955</v>
      </c>
      <c r="H522" s="696" t="s">
        <v>914</v>
      </c>
      <c r="I522" s="696" t="s">
        <v>2197</v>
      </c>
      <c r="J522" s="696" t="s">
        <v>2198</v>
      </c>
      <c r="K522" s="696" t="s">
        <v>2199</v>
      </c>
      <c r="L522" s="699">
        <v>140.03</v>
      </c>
      <c r="M522" s="699">
        <v>140.03</v>
      </c>
      <c r="N522" s="696">
        <v>1</v>
      </c>
      <c r="O522" s="700">
        <v>1</v>
      </c>
      <c r="P522" s="699"/>
      <c r="Q522" s="701">
        <v>0</v>
      </c>
      <c r="R522" s="696"/>
      <c r="S522" s="701">
        <v>0</v>
      </c>
      <c r="T522" s="700"/>
      <c r="U522" s="702">
        <v>0</v>
      </c>
    </row>
    <row r="523" spans="1:21" ht="14.4" customHeight="1" x14ac:dyDescent="0.3">
      <c r="A523" s="695">
        <v>31</v>
      </c>
      <c r="B523" s="696" t="s">
        <v>557</v>
      </c>
      <c r="C523" s="696">
        <v>89301312</v>
      </c>
      <c r="D523" s="697" t="s">
        <v>2235</v>
      </c>
      <c r="E523" s="698" t="s">
        <v>1611</v>
      </c>
      <c r="F523" s="696" t="s">
        <v>1588</v>
      </c>
      <c r="G523" s="696" t="s">
        <v>1668</v>
      </c>
      <c r="H523" s="696" t="s">
        <v>558</v>
      </c>
      <c r="I523" s="696" t="s">
        <v>647</v>
      </c>
      <c r="J523" s="696" t="s">
        <v>1669</v>
      </c>
      <c r="K523" s="696" t="s">
        <v>1670</v>
      </c>
      <c r="L523" s="699">
        <v>0</v>
      </c>
      <c r="M523" s="699">
        <v>0</v>
      </c>
      <c r="N523" s="696">
        <v>7</v>
      </c>
      <c r="O523" s="700">
        <v>3.5</v>
      </c>
      <c r="P523" s="699">
        <v>0</v>
      </c>
      <c r="Q523" s="701"/>
      <c r="R523" s="696">
        <v>2</v>
      </c>
      <c r="S523" s="701">
        <v>0.2857142857142857</v>
      </c>
      <c r="T523" s="700">
        <v>1</v>
      </c>
      <c r="U523" s="702">
        <v>0.2857142857142857</v>
      </c>
    </row>
    <row r="524" spans="1:21" ht="14.4" customHeight="1" x14ac:dyDescent="0.3">
      <c r="A524" s="695">
        <v>31</v>
      </c>
      <c r="B524" s="696" t="s">
        <v>557</v>
      </c>
      <c r="C524" s="696">
        <v>89301312</v>
      </c>
      <c r="D524" s="697" t="s">
        <v>2235</v>
      </c>
      <c r="E524" s="698" t="s">
        <v>1611</v>
      </c>
      <c r="F524" s="696" t="s">
        <v>1588</v>
      </c>
      <c r="G524" s="696" t="s">
        <v>1671</v>
      </c>
      <c r="H524" s="696" t="s">
        <v>558</v>
      </c>
      <c r="I524" s="696" t="s">
        <v>980</v>
      </c>
      <c r="J524" s="696" t="s">
        <v>981</v>
      </c>
      <c r="K524" s="696" t="s">
        <v>1674</v>
      </c>
      <c r="L524" s="699">
        <v>23.46</v>
      </c>
      <c r="M524" s="699">
        <v>23.46</v>
      </c>
      <c r="N524" s="696">
        <v>1</v>
      </c>
      <c r="O524" s="700">
        <v>1</v>
      </c>
      <c r="P524" s="699">
        <v>23.46</v>
      </c>
      <c r="Q524" s="701">
        <v>1</v>
      </c>
      <c r="R524" s="696">
        <v>1</v>
      </c>
      <c r="S524" s="701">
        <v>1</v>
      </c>
      <c r="T524" s="700">
        <v>1</v>
      </c>
      <c r="U524" s="702">
        <v>1</v>
      </c>
    </row>
    <row r="525" spans="1:21" ht="14.4" customHeight="1" x14ac:dyDescent="0.3">
      <c r="A525" s="695">
        <v>31</v>
      </c>
      <c r="B525" s="696" t="s">
        <v>557</v>
      </c>
      <c r="C525" s="696">
        <v>89301312</v>
      </c>
      <c r="D525" s="697" t="s">
        <v>2235</v>
      </c>
      <c r="E525" s="698" t="s">
        <v>1611</v>
      </c>
      <c r="F525" s="696" t="s">
        <v>1588</v>
      </c>
      <c r="G525" s="696" t="s">
        <v>1758</v>
      </c>
      <c r="H525" s="696" t="s">
        <v>558</v>
      </c>
      <c r="I525" s="696" t="s">
        <v>2087</v>
      </c>
      <c r="J525" s="696" t="s">
        <v>2088</v>
      </c>
      <c r="K525" s="696" t="s">
        <v>740</v>
      </c>
      <c r="L525" s="699">
        <v>154.33000000000001</v>
      </c>
      <c r="M525" s="699">
        <v>154.33000000000001</v>
      </c>
      <c r="N525" s="696">
        <v>1</v>
      </c>
      <c r="O525" s="700">
        <v>1</v>
      </c>
      <c r="P525" s="699">
        <v>154.33000000000001</v>
      </c>
      <c r="Q525" s="701">
        <v>1</v>
      </c>
      <c r="R525" s="696">
        <v>1</v>
      </c>
      <c r="S525" s="701">
        <v>1</v>
      </c>
      <c r="T525" s="700">
        <v>1</v>
      </c>
      <c r="U525" s="702">
        <v>1</v>
      </c>
    </row>
    <row r="526" spans="1:21" ht="14.4" customHeight="1" x14ac:dyDescent="0.3">
      <c r="A526" s="695">
        <v>31</v>
      </c>
      <c r="B526" s="696" t="s">
        <v>557</v>
      </c>
      <c r="C526" s="696">
        <v>89301312</v>
      </c>
      <c r="D526" s="697" t="s">
        <v>2235</v>
      </c>
      <c r="E526" s="698" t="s">
        <v>1611</v>
      </c>
      <c r="F526" s="696" t="s">
        <v>1588</v>
      </c>
      <c r="G526" s="696" t="s">
        <v>1979</v>
      </c>
      <c r="H526" s="696" t="s">
        <v>558</v>
      </c>
      <c r="I526" s="696" t="s">
        <v>2200</v>
      </c>
      <c r="J526" s="696" t="s">
        <v>2201</v>
      </c>
      <c r="K526" s="696" t="s">
        <v>1840</v>
      </c>
      <c r="L526" s="699">
        <v>0</v>
      </c>
      <c r="M526" s="699">
        <v>0</v>
      </c>
      <c r="N526" s="696">
        <v>1</v>
      </c>
      <c r="O526" s="700">
        <v>0.5</v>
      </c>
      <c r="P526" s="699"/>
      <c r="Q526" s="701"/>
      <c r="R526" s="696"/>
      <c r="S526" s="701">
        <v>0</v>
      </c>
      <c r="T526" s="700"/>
      <c r="U526" s="702">
        <v>0</v>
      </c>
    </row>
    <row r="527" spans="1:21" ht="14.4" customHeight="1" x14ac:dyDescent="0.3">
      <c r="A527" s="695">
        <v>31</v>
      </c>
      <c r="B527" s="696" t="s">
        <v>557</v>
      </c>
      <c r="C527" s="696">
        <v>89301312</v>
      </c>
      <c r="D527" s="697" t="s">
        <v>2235</v>
      </c>
      <c r="E527" s="698" t="s">
        <v>1611</v>
      </c>
      <c r="F527" s="696" t="s">
        <v>1588</v>
      </c>
      <c r="G527" s="696" t="s">
        <v>1979</v>
      </c>
      <c r="H527" s="696" t="s">
        <v>558</v>
      </c>
      <c r="I527" s="696" t="s">
        <v>1980</v>
      </c>
      <c r="J527" s="696" t="s">
        <v>1981</v>
      </c>
      <c r="K527" s="696" t="s">
        <v>1982</v>
      </c>
      <c r="L527" s="699">
        <v>0</v>
      </c>
      <c r="M527" s="699">
        <v>0</v>
      </c>
      <c r="N527" s="696">
        <v>1</v>
      </c>
      <c r="O527" s="700">
        <v>1</v>
      </c>
      <c r="P527" s="699"/>
      <c r="Q527" s="701"/>
      <c r="R527" s="696"/>
      <c r="S527" s="701">
        <v>0</v>
      </c>
      <c r="T527" s="700"/>
      <c r="U527" s="702">
        <v>0</v>
      </c>
    </row>
    <row r="528" spans="1:21" ht="14.4" customHeight="1" x14ac:dyDescent="0.3">
      <c r="A528" s="695">
        <v>31</v>
      </c>
      <c r="B528" s="696" t="s">
        <v>557</v>
      </c>
      <c r="C528" s="696">
        <v>89301312</v>
      </c>
      <c r="D528" s="697" t="s">
        <v>2235</v>
      </c>
      <c r="E528" s="698" t="s">
        <v>1611</v>
      </c>
      <c r="F528" s="696" t="s">
        <v>1588</v>
      </c>
      <c r="G528" s="696" t="s">
        <v>2202</v>
      </c>
      <c r="H528" s="696" t="s">
        <v>558</v>
      </c>
      <c r="I528" s="696" t="s">
        <v>2203</v>
      </c>
      <c r="J528" s="696" t="s">
        <v>2204</v>
      </c>
      <c r="K528" s="696" t="s">
        <v>2205</v>
      </c>
      <c r="L528" s="699">
        <v>0</v>
      </c>
      <c r="M528" s="699">
        <v>0</v>
      </c>
      <c r="N528" s="696">
        <v>1</v>
      </c>
      <c r="O528" s="700">
        <v>1</v>
      </c>
      <c r="P528" s="699">
        <v>0</v>
      </c>
      <c r="Q528" s="701"/>
      <c r="R528" s="696">
        <v>1</v>
      </c>
      <c r="S528" s="701">
        <v>1</v>
      </c>
      <c r="T528" s="700">
        <v>1</v>
      </c>
      <c r="U528" s="702">
        <v>1</v>
      </c>
    </row>
    <row r="529" spans="1:21" ht="14.4" customHeight="1" x14ac:dyDescent="0.3">
      <c r="A529" s="695">
        <v>31</v>
      </c>
      <c r="B529" s="696" t="s">
        <v>557</v>
      </c>
      <c r="C529" s="696">
        <v>89301312</v>
      </c>
      <c r="D529" s="697" t="s">
        <v>2235</v>
      </c>
      <c r="E529" s="698" t="s">
        <v>1611</v>
      </c>
      <c r="F529" s="696" t="s">
        <v>1588</v>
      </c>
      <c r="G529" s="696" t="s">
        <v>2202</v>
      </c>
      <c r="H529" s="696" t="s">
        <v>558</v>
      </c>
      <c r="I529" s="696" t="s">
        <v>2206</v>
      </c>
      <c r="J529" s="696" t="s">
        <v>2207</v>
      </c>
      <c r="K529" s="696" t="s">
        <v>2208</v>
      </c>
      <c r="L529" s="699">
        <v>0</v>
      </c>
      <c r="M529" s="699">
        <v>0</v>
      </c>
      <c r="N529" s="696">
        <v>1</v>
      </c>
      <c r="O529" s="700">
        <v>1</v>
      </c>
      <c r="P529" s="699"/>
      <c r="Q529" s="701"/>
      <c r="R529" s="696"/>
      <c r="S529" s="701">
        <v>0</v>
      </c>
      <c r="T529" s="700"/>
      <c r="U529" s="702">
        <v>0</v>
      </c>
    </row>
    <row r="530" spans="1:21" ht="14.4" customHeight="1" x14ac:dyDescent="0.3">
      <c r="A530" s="695">
        <v>31</v>
      </c>
      <c r="B530" s="696" t="s">
        <v>557</v>
      </c>
      <c r="C530" s="696">
        <v>89301312</v>
      </c>
      <c r="D530" s="697" t="s">
        <v>2235</v>
      </c>
      <c r="E530" s="698" t="s">
        <v>1611</v>
      </c>
      <c r="F530" s="696" t="s">
        <v>1590</v>
      </c>
      <c r="G530" s="696" t="s">
        <v>1693</v>
      </c>
      <c r="H530" s="696" t="s">
        <v>558</v>
      </c>
      <c r="I530" s="696" t="s">
        <v>1697</v>
      </c>
      <c r="J530" s="696" t="s">
        <v>1698</v>
      </c>
      <c r="K530" s="696" t="s">
        <v>1699</v>
      </c>
      <c r="L530" s="699">
        <v>200</v>
      </c>
      <c r="M530" s="699">
        <v>800</v>
      </c>
      <c r="N530" s="696">
        <v>4</v>
      </c>
      <c r="O530" s="700">
        <v>2</v>
      </c>
      <c r="P530" s="699">
        <v>800</v>
      </c>
      <c r="Q530" s="701">
        <v>1</v>
      </c>
      <c r="R530" s="696">
        <v>4</v>
      </c>
      <c r="S530" s="701">
        <v>1</v>
      </c>
      <c r="T530" s="700">
        <v>2</v>
      </c>
      <c r="U530" s="702">
        <v>1</v>
      </c>
    </row>
    <row r="531" spans="1:21" ht="14.4" customHeight="1" x14ac:dyDescent="0.3">
      <c r="A531" s="695">
        <v>31</v>
      </c>
      <c r="B531" s="696" t="s">
        <v>557</v>
      </c>
      <c r="C531" s="696">
        <v>89301312</v>
      </c>
      <c r="D531" s="697" t="s">
        <v>2235</v>
      </c>
      <c r="E531" s="698" t="s">
        <v>1611</v>
      </c>
      <c r="F531" s="696" t="s">
        <v>1590</v>
      </c>
      <c r="G531" s="696" t="s">
        <v>1700</v>
      </c>
      <c r="H531" s="696" t="s">
        <v>558</v>
      </c>
      <c r="I531" s="696" t="s">
        <v>1701</v>
      </c>
      <c r="J531" s="696" t="s">
        <v>1702</v>
      </c>
      <c r="K531" s="696" t="s">
        <v>1703</v>
      </c>
      <c r="L531" s="699">
        <v>3000</v>
      </c>
      <c r="M531" s="699">
        <v>6000</v>
      </c>
      <c r="N531" s="696">
        <v>2</v>
      </c>
      <c r="O531" s="700">
        <v>2</v>
      </c>
      <c r="P531" s="699">
        <v>6000</v>
      </c>
      <c r="Q531" s="701">
        <v>1</v>
      </c>
      <c r="R531" s="696">
        <v>2</v>
      </c>
      <c r="S531" s="701">
        <v>1</v>
      </c>
      <c r="T531" s="700">
        <v>2</v>
      </c>
      <c r="U531" s="702">
        <v>1</v>
      </c>
    </row>
    <row r="532" spans="1:21" ht="14.4" customHeight="1" x14ac:dyDescent="0.3">
      <c r="A532" s="695">
        <v>31</v>
      </c>
      <c r="B532" s="696" t="s">
        <v>557</v>
      </c>
      <c r="C532" s="696">
        <v>89301312</v>
      </c>
      <c r="D532" s="697" t="s">
        <v>2235</v>
      </c>
      <c r="E532" s="698" t="s">
        <v>1611</v>
      </c>
      <c r="F532" s="696" t="s">
        <v>1590</v>
      </c>
      <c r="G532" s="696" t="s">
        <v>1700</v>
      </c>
      <c r="H532" s="696" t="s">
        <v>558</v>
      </c>
      <c r="I532" s="696" t="s">
        <v>1704</v>
      </c>
      <c r="J532" s="696" t="s">
        <v>1705</v>
      </c>
      <c r="K532" s="696" t="s">
        <v>1706</v>
      </c>
      <c r="L532" s="699">
        <v>199.5</v>
      </c>
      <c r="M532" s="699">
        <v>199.5</v>
      </c>
      <c r="N532" s="696">
        <v>1</v>
      </c>
      <c r="O532" s="700">
        <v>1</v>
      </c>
      <c r="P532" s="699">
        <v>199.5</v>
      </c>
      <c r="Q532" s="701">
        <v>1</v>
      </c>
      <c r="R532" s="696">
        <v>1</v>
      </c>
      <c r="S532" s="701">
        <v>1</v>
      </c>
      <c r="T532" s="700">
        <v>1</v>
      </c>
      <c r="U532" s="702">
        <v>1</v>
      </c>
    </row>
    <row r="533" spans="1:21" ht="14.4" customHeight="1" x14ac:dyDescent="0.3">
      <c r="A533" s="695">
        <v>31</v>
      </c>
      <c r="B533" s="696" t="s">
        <v>557</v>
      </c>
      <c r="C533" s="696">
        <v>89301312</v>
      </c>
      <c r="D533" s="697" t="s">
        <v>2235</v>
      </c>
      <c r="E533" s="698" t="s">
        <v>1611</v>
      </c>
      <c r="F533" s="696" t="s">
        <v>1590</v>
      </c>
      <c r="G533" s="696" t="s">
        <v>1700</v>
      </c>
      <c r="H533" s="696" t="s">
        <v>558</v>
      </c>
      <c r="I533" s="696" t="s">
        <v>1707</v>
      </c>
      <c r="J533" s="696" t="s">
        <v>1708</v>
      </c>
      <c r="K533" s="696" t="s">
        <v>1709</v>
      </c>
      <c r="L533" s="699">
        <v>492.18</v>
      </c>
      <c r="M533" s="699">
        <v>4921.8</v>
      </c>
      <c r="N533" s="696">
        <v>10</v>
      </c>
      <c r="O533" s="700">
        <v>10</v>
      </c>
      <c r="P533" s="699">
        <v>4921.8</v>
      </c>
      <c r="Q533" s="701">
        <v>1</v>
      </c>
      <c r="R533" s="696">
        <v>10</v>
      </c>
      <c r="S533" s="701">
        <v>1</v>
      </c>
      <c r="T533" s="700">
        <v>10</v>
      </c>
      <c r="U533" s="702">
        <v>1</v>
      </c>
    </row>
    <row r="534" spans="1:21" ht="14.4" customHeight="1" x14ac:dyDescent="0.3">
      <c r="A534" s="695">
        <v>31</v>
      </c>
      <c r="B534" s="696" t="s">
        <v>557</v>
      </c>
      <c r="C534" s="696">
        <v>89301312</v>
      </c>
      <c r="D534" s="697" t="s">
        <v>2235</v>
      </c>
      <c r="E534" s="698" t="s">
        <v>1611</v>
      </c>
      <c r="F534" s="696" t="s">
        <v>1590</v>
      </c>
      <c r="G534" s="696" t="s">
        <v>1700</v>
      </c>
      <c r="H534" s="696" t="s">
        <v>558</v>
      </c>
      <c r="I534" s="696" t="s">
        <v>1783</v>
      </c>
      <c r="J534" s="696" t="s">
        <v>1784</v>
      </c>
      <c r="K534" s="696" t="s">
        <v>1785</v>
      </c>
      <c r="L534" s="699">
        <v>2296.87</v>
      </c>
      <c r="M534" s="699">
        <v>2296.87</v>
      </c>
      <c r="N534" s="696">
        <v>1</v>
      </c>
      <c r="O534" s="700">
        <v>1</v>
      </c>
      <c r="P534" s="699">
        <v>2296.87</v>
      </c>
      <c r="Q534" s="701">
        <v>1</v>
      </c>
      <c r="R534" s="696">
        <v>1</v>
      </c>
      <c r="S534" s="701">
        <v>1</v>
      </c>
      <c r="T534" s="700">
        <v>1</v>
      </c>
      <c r="U534" s="702">
        <v>1</v>
      </c>
    </row>
    <row r="535" spans="1:21" ht="14.4" customHeight="1" x14ac:dyDescent="0.3">
      <c r="A535" s="695">
        <v>31</v>
      </c>
      <c r="B535" s="696" t="s">
        <v>557</v>
      </c>
      <c r="C535" s="696">
        <v>89301312</v>
      </c>
      <c r="D535" s="697" t="s">
        <v>2235</v>
      </c>
      <c r="E535" s="698" t="s">
        <v>1611</v>
      </c>
      <c r="F535" s="696" t="s">
        <v>1590</v>
      </c>
      <c r="G535" s="696" t="s">
        <v>1700</v>
      </c>
      <c r="H535" s="696" t="s">
        <v>558</v>
      </c>
      <c r="I535" s="696" t="s">
        <v>1786</v>
      </c>
      <c r="J535" s="696" t="s">
        <v>1787</v>
      </c>
      <c r="K535" s="696" t="s">
        <v>1788</v>
      </c>
      <c r="L535" s="699">
        <v>320.25</v>
      </c>
      <c r="M535" s="699">
        <v>640.5</v>
      </c>
      <c r="N535" s="696">
        <v>2</v>
      </c>
      <c r="O535" s="700">
        <v>2</v>
      </c>
      <c r="P535" s="699">
        <v>640.5</v>
      </c>
      <c r="Q535" s="701">
        <v>1</v>
      </c>
      <c r="R535" s="696">
        <v>2</v>
      </c>
      <c r="S535" s="701">
        <v>1</v>
      </c>
      <c r="T535" s="700">
        <v>2</v>
      </c>
      <c r="U535" s="702">
        <v>1</v>
      </c>
    </row>
    <row r="536" spans="1:21" ht="14.4" customHeight="1" x14ac:dyDescent="0.3">
      <c r="A536" s="695">
        <v>31</v>
      </c>
      <c r="B536" s="696" t="s">
        <v>557</v>
      </c>
      <c r="C536" s="696">
        <v>89301312</v>
      </c>
      <c r="D536" s="697" t="s">
        <v>2235</v>
      </c>
      <c r="E536" s="698" t="s">
        <v>1611</v>
      </c>
      <c r="F536" s="696" t="s">
        <v>1590</v>
      </c>
      <c r="G536" s="696" t="s">
        <v>1700</v>
      </c>
      <c r="H536" s="696" t="s">
        <v>558</v>
      </c>
      <c r="I536" s="696" t="s">
        <v>1891</v>
      </c>
      <c r="J536" s="696" t="s">
        <v>1892</v>
      </c>
      <c r="K536" s="696" t="s">
        <v>1893</v>
      </c>
      <c r="L536" s="699">
        <v>1575</v>
      </c>
      <c r="M536" s="699">
        <v>1575</v>
      </c>
      <c r="N536" s="696">
        <v>1</v>
      </c>
      <c r="O536" s="700">
        <v>1</v>
      </c>
      <c r="P536" s="699">
        <v>1575</v>
      </c>
      <c r="Q536" s="701">
        <v>1</v>
      </c>
      <c r="R536" s="696">
        <v>1</v>
      </c>
      <c r="S536" s="701">
        <v>1</v>
      </c>
      <c r="T536" s="700">
        <v>1</v>
      </c>
      <c r="U536" s="702">
        <v>1</v>
      </c>
    </row>
    <row r="537" spans="1:21" ht="14.4" customHeight="1" x14ac:dyDescent="0.3">
      <c r="A537" s="695">
        <v>31</v>
      </c>
      <c r="B537" s="696" t="s">
        <v>557</v>
      </c>
      <c r="C537" s="696">
        <v>89301312</v>
      </c>
      <c r="D537" s="697" t="s">
        <v>2235</v>
      </c>
      <c r="E537" s="698" t="s">
        <v>1611</v>
      </c>
      <c r="F537" s="696" t="s">
        <v>1590</v>
      </c>
      <c r="G537" s="696" t="s">
        <v>1700</v>
      </c>
      <c r="H537" s="696" t="s">
        <v>558</v>
      </c>
      <c r="I537" s="696" t="s">
        <v>1710</v>
      </c>
      <c r="J537" s="696" t="s">
        <v>1711</v>
      </c>
      <c r="K537" s="696" t="s">
        <v>1712</v>
      </c>
      <c r="L537" s="699">
        <v>750</v>
      </c>
      <c r="M537" s="699">
        <v>1500</v>
      </c>
      <c r="N537" s="696">
        <v>2</v>
      </c>
      <c r="O537" s="700">
        <v>2</v>
      </c>
      <c r="P537" s="699">
        <v>750</v>
      </c>
      <c r="Q537" s="701">
        <v>0.5</v>
      </c>
      <c r="R537" s="696">
        <v>1</v>
      </c>
      <c r="S537" s="701">
        <v>0.5</v>
      </c>
      <c r="T537" s="700">
        <v>1</v>
      </c>
      <c r="U537" s="702">
        <v>0.5</v>
      </c>
    </row>
    <row r="538" spans="1:21" ht="14.4" customHeight="1" x14ac:dyDescent="0.3">
      <c r="A538" s="695">
        <v>31</v>
      </c>
      <c r="B538" s="696" t="s">
        <v>557</v>
      </c>
      <c r="C538" s="696">
        <v>89301312</v>
      </c>
      <c r="D538" s="697" t="s">
        <v>2235</v>
      </c>
      <c r="E538" s="698" t="s">
        <v>1611</v>
      </c>
      <c r="F538" s="696" t="s">
        <v>1590</v>
      </c>
      <c r="G538" s="696" t="s">
        <v>1700</v>
      </c>
      <c r="H538" s="696" t="s">
        <v>558</v>
      </c>
      <c r="I538" s="696" t="s">
        <v>1715</v>
      </c>
      <c r="J538" s="696" t="s">
        <v>1716</v>
      </c>
      <c r="K538" s="696" t="s">
        <v>1717</v>
      </c>
      <c r="L538" s="699">
        <v>971.25</v>
      </c>
      <c r="M538" s="699">
        <v>1942.5</v>
      </c>
      <c r="N538" s="696">
        <v>2</v>
      </c>
      <c r="O538" s="700">
        <v>2</v>
      </c>
      <c r="P538" s="699">
        <v>1942.5</v>
      </c>
      <c r="Q538" s="701">
        <v>1</v>
      </c>
      <c r="R538" s="696">
        <v>2</v>
      </c>
      <c r="S538" s="701">
        <v>1</v>
      </c>
      <c r="T538" s="700">
        <v>2</v>
      </c>
      <c r="U538" s="702">
        <v>1</v>
      </c>
    </row>
    <row r="539" spans="1:21" ht="14.4" customHeight="1" x14ac:dyDescent="0.3">
      <c r="A539" s="695">
        <v>31</v>
      </c>
      <c r="B539" s="696" t="s">
        <v>557</v>
      </c>
      <c r="C539" s="696">
        <v>89301312</v>
      </c>
      <c r="D539" s="697" t="s">
        <v>2235</v>
      </c>
      <c r="E539" s="698" t="s">
        <v>1611</v>
      </c>
      <c r="F539" s="696" t="s">
        <v>1590</v>
      </c>
      <c r="G539" s="696" t="s">
        <v>1700</v>
      </c>
      <c r="H539" s="696" t="s">
        <v>558</v>
      </c>
      <c r="I539" s="696" t="s">
        <v>1744</v>
      </c>
      <c r="J539" s="696" t="s">
        <v>1745</v>
      </c>
      <c r="K539" s="696" t="s">
        <v>1746</v>
      </c>
      <c r="L539" s="699">
        <v>2010.55</v>
      </c>
      <c r="M539" s="699">
        <v>2010.55</v>
      </c>
      <c r="N539" s="696">
        <v>1</v>
      </c>
      <c r="O539" s="700">
        <v>1</v>
      </c>
      <c r="P539" s="699">
        <v>2010.55</v>
      </c>
      <c r="Q539" s="701">
        <v>1</v>
      </c>
      <c r="R539" s="696">
        <v>1</v>
      </c>
      <c r="S539" s="701">
        <v>1</v>
      </c>
      <c r="T539" s="700">
        <v>1</v>
      </c>
      <c r="U539" s="702">
        <v>1</v>
      </c>
    </row>
    <row r="540" spans="1:21" ht="14.4" customHeight="1" x14ac:dyDescent="0.3">
      <c r="A540" s="695">
        <v>31</v>
      </c>
      <c r="B540" s="696" t="s">
        <v>557</v>
      </c>
      <c r="C540" s="696">
        <v>89301312</v>
      </c>
      <c r="D540" s="697" t="s">
        <v>2235</v>
      </c>
      <c r="E540" s="698" t="s">
        <v>1611</v>
      </c>
      <c r="F540" s="696" t="s">
        <v>1590</v>
      </c>
      <c r="G540" s="696" t="s">
        <v>1700</v>
      </c>
      <c r="H540" s="696" t="s">
        <v>558</v>
      </c>
      <c r="I540" s="696" t="s">
        <v>1899</v>
      </c>
      <c r="J540" s="696" t="s">
        <v>1900</v>
      </c>
      <c r="K540" s="696" t="s">
        <v>1901</v>
      </c>
      <c r="L540" s="699">
        <v>750</v>
      </c>
      <c r="M540" s="699">
        <v>750</v>
      </c>
      <c r="N540" s="696">
        <v>1</v>
      </c>
      <c r="O540" s="700">
        <v>1</v>
      </c>
      <c r="P540" s="699"/>
      <c r="Q540" s="701">
        <v>0</v>
      </c>
      <c r="R540" s="696"/>
      <c r="S540" s="701">
        <v>0</v>
      </c>
      <c r="T540" s="700"/>
      <c r="U540" s="702">
        <v>0</v>
      </c>
    </row>
    <row r="541" spans="1:21" ht="14.4" customHeight="1" x14ac:dyDescent="0.3">
      <c r="A541" s="695">
        <v>31</v>
      </c>
      <c r="B541" s="696" t="s">
        <v>557</v>
      </c>
      <c r="C541" s="696">
        <v>89301312</v>
      </c>
      <c r="D541" s="697" t="s">
        <v>2235</v>
      </c>
      <c r="E541" s="698" t="s">
        <v>1611</v>
      </c>
      <c r="F541" s="696" t="s">
        <v>1590</v>
      </c>
      <c r="G541" s="696" t="s">
        <v>1700</v>
      </c>
      <c r="H541" s="696" t="s">
        <v>558</v>
      </c>
      <c r="I541" s="696" t="s">
        <v>1747</v>
      </c>
      <c r="J541" s="696" t="s">
        <v>1748</v>
      </c>
      <c r="K541" s="696" t="s">
        <v>1749</v>
      </c>
      <c r="L541" s="699">
        <v>349.12</v>
      </c>
      <c r="M541" s="699">
        <v>349.12</v>
      </c>
      <c r="N541" s="696">
        <v>1</v>
      </c>
      <c r="O541" s="700">
        <v>1</v>
      </c>
      <c r="P541" s="699"/>
      <c r="Q541" s="701">
        <v>0</v>
      </c>
      <c r="R541" s="696"/>
      <c r="S541" s="701">
        <v>0</v>
      </c>
      <c r="T541" s="700"/>
      <c r="U541" s="702">
        <v>0</v>
      </c>
    </row>
    <row r="542" spans="1:21" ht="14.4" customHeight="1" x14ac:dyDescent="0.3">
      <c r="A542" s="695">
        <v>31</v>
      </c>
      <c r="B542" s="696" t="s">
        <v>557</v>
      </c>
      <c r="C542" s="696">
        <v>89301312</v>
      </c>
      <c r="D542" s="697" t="s">
        <v>2235</v>
      </c>
      <c r="E542" s="698" t="s">
        <v>1611</v>
      </c>
      <c r="F542" s="696" t="s">
        <v>1590</v>
      </c>
      <c r="G542" s="696" t="s">
        <v>1700</v>
      </c>
      <c r="H542" s="696" t="s">
        <v>558</v>
      </c>
      <c r="I542" s="696" t="s">
        <v>1812</v>
      </c>
      <c r="J542" s="696" t="s">
        <v>1813</v>
      </c>
      <c r="K542" s="696" t="s">
        <v>1814</v>
      </c>
      <c r="L542" s="699">
        <v>350</v>
      </c>
      <c r="M542" s="699">
        <v>1400</v>
      </c>
      <c r="N542" s="696">
        <v>4</v>
      </c>
      <c r="O542" s="700">
        <v>4</v>
      </c>
      <c r="P542" s="699">
        <v>1400</v>
      </c>
      <c r="Q542" s="701">
        <v>1</v>
      </c>
      <c r="R542" s="696">
        <v>4</v>
      </c>
      <c r="S542" s="701">
        <v>1</v>
      </c>
      <c r="T542" s="700">
        <v>4</v>
      </c>
      <c r="U542" s="702">
        <v>1</v>
      </c>
    </row>
    <row r="543" spans="1:21" ht="14.4" customHeight="1" x14ac:dyDescent="0.3">
      <c r="A543" s="695">
        <v>31</v>
      </c>
      <c r="B543" s="696" t="s">
        <v>557</v>
      </c>
      <c r="C543" s="696">
        <v>89301312</v>
      </c>
      <c r="D543" s="697" t="s">
        <v>2235</v>
      </c>
      <c r="E543" s="698" t="s">
        <v>1611</v>
      </c>
      <c r="F543" s="696" t="s">
        <v>1590</v>
      </c>
      <c r="G543" s="696" t="s">
        <v>1700</v>
      </c>
      <c r="H543" s="696" t="s">
        <v>558</v>
      </c>
      <c r="I543" s="696" t="s">
        <v>2209</v>
      </c>
      <c r="J543" s="696" t="s">
        <v>2210</v>
      </c>
      <c r="K543" s="696" t="s">
        <v>2211</v>
      </c>
      <c r="L543" s="699">
        <v>336.5</v>
      </c>
      <c r="M543" s="699">
        <v>336.5</v>
      </c>
      <c r="N543" s="696">
        <v>1</v>
      </c>
      <c r="O543" s="700">
        <v>1</v>
      </c>
      <c r="P543" s="699">
        <v>336.5</v>
      </c>
      <c r="Q543" s="701">
        <v>1</v>
      </c>
      <c r="R543" s="696">
        <v>1</v>
      </c>
      <c r="S543" s="701">
        <v>1</v>
      </c>
      <c r="T543" s="700">
        <v>1</v>
      </c>
      <c r="U543" s="702">
        <v>1</v>
      </c>
    </row>
    <row r="544" spans="1:21" ht="14.4" customHeight="1" x14ac:dyDescent="0.3">
      <c r="A544" s="695">
        <v>31</v>
      </c>
      <c r="B544" s="696" t="s">
        <v>557</v>
      </c>
      <c r="C544" s="696">
        <v>89301312</v>
      </c>
      <c r="D544" s="697" t="s">
        <v>2235</v>
      </c>
      <c r="E544" s="698" t="s">
        <v>1612</v>
      </c>
      <c r="F544" s="696" t="s">
        <v>1588</v>
      </c>
      <c r="G544" s="696" t="s">
        <v>1627</v>
      </c>
      <c r="H544" s="696" t="s">
        <v>914</v>
      </c>
      <c r="I544" s="696" t="s">
        <v>1030</v>
      </c>
      <c r="J544" s="696" t="s">
        <v>1031</v>
      </c>
      <c r="K544" s="696" t="s">
        <v>1537</v>
      </c>
      <c r="L544" s="699">
        <v>69.86</v>
      </c>
      <c r="M544" s="699">
        <v>209.57999999999998</v>
      </c>
      <c r="N544" s="696">
        <v>3</v>
      </c>
      <c r="O544" s="700">
        <v>3</v>
      </c>
      <c r="P544" s="699">
        <v>209.57999999999998</v>
      </c>
      <c r="Q544" s="701">
        <v>1</v>
      </c>
      <c r="R544" s="696">
        <v>3</v>
      </c>
      <c r="S544" s="701">
        <v>1</v>
      </c>
      <c r="T544" s="700">
        <v>3</v>
      </c>
      <c r="U544" s="702">
        <v>1</v>
      </c>
    </row>
    <row r="545" spans="1:21" ht="14.4" customHeight="1" x14ac:dyDescent="0.3">
      <c r="A545" s="695">
        <v>31</v>
      </c>
      <c r="B545" s="696" t="s">
        <v>557</v>
      </c>
      <c r="C545" s="696">
        <v>89301312</v>
      </c>
      <c r="D545" s="697" t="s">
        <v>2235</v>
      </c>
      <c r="E545" s="698" t="s">
        <v>1612</v>
      </c>
      <c r="F545" s="696" t="s">
        <v>1588</v>
      </c>
      <c r="G545" s="696" t="s">
        <v>2098</v>
      </c>
      <c r="H545" s="696" t="s">
        <v>558</v>
      </c>
      <c r="I545" s="696" t="s">
        <v>2212</v>
      </c>
      <c r="J545" s="696" t="s">
        <v>2136</v>
      </c>
      <c r="K545" s="696" t="s">
        <v>728</v>
      </c>
      <c r="L545" s="699">
        <v>0</v>
      </c>
      <c r="M545" s="699">
        <v>0</v>
      </c>
      <c r="N545" s="696">
        <v>1</v>
      </c>
      <c r="O545" s="700">
        <v>1</v>
      </c>
      <c r="P545" s="699"/>
      <c r="Q545" s="701"/>
      <c r="R545" s="696"/>
      <c r="S545" s="701">
        <v>0</v>
      </c>
      <c r="T545" s="700"/>
      <c r="U545" s="702">
        <v>0</v>
      </c>
    </row>
    <row r="546" spans="1:21" ht="14.4" customHeight="1" x14ac:dyDescent="0.3">
      <c r="A546" s="695">
        <v>31</v>
      </c>
      <c r="B546" s="696" t="s">
        <v>557</v>
      </c>
      <c r="C546" s="696">
        <v>89301312</v>
      </c>
      <c r="D546" s="697" t="s">
        <v>2235</v>
      </c>
      <c r="E546" s="698" t="s">
        <v>1612</v>
      </c>
      <c r="F546" s="696" t="s">
        <v>1588</v>
      </c>
      <c r="G546" s="696" t="s">
        <v>1614</v>
      </c>
      <c r="H546" s="696" t="s">
        <v>914</v>
      </c>
      <c r="I546" s="696" t="s">
        <v>1367</v>
      </c>
      <c r="J546" s="696" t="s">
        <v>1317</v>
      </c>
      <c r="K546" s="696" t="s">
        <v>1368</v>
      </c>
      <c r="L546" s="699">
        <v>625.29</v>
      </c>
      <c r="M546" s="699">
        <v>625.29</v>
      </c>
      <c r="N546" s="696">
        <v>1</v>
      </c>
      <c r="O546" s="700">
        <v>0.5</v>
      </c>
      <c r="P546" s="699">
        <v>625.29</v>
      </c>
      <c r="Q546" s="701">
        <v>1</v>
      </c>
      <c r="R546" s="696">
        <v>1</v>
      </c>
      <c r="S546" s="701">
        <v>1</v>
      </c>
      <c r="T546" s="700">
        <v>0.5</v>
      </c>
      <c r="U546" s="702">
        <v>1</v>
      </c>
    </row>
    <row r="547" spans="1:21" ht="14.4" customHeight="1" x14ac:dyDescent="0.3">
      <c r="A547" s="695">
        <v>31</v>
      </c>
      <c r="B547" s="696" t="s">
        <v>557</v>
      </c>
      <c r="C547" s="696">
        <v>89301312</v>
      </c>
      <c r="D547" s="697" t="s">
        <v>2235</v>
      </c>
      <c r="E547" s="698" t="s">
        <v>1612</v>
      </c>
      <c r="F547" s="696" t="s">
        <v>1588</v>
      </c>
      <c r="G547" s="696" t="s">
        <v>1651</v>
      </c>
      <c r="H547" s="696" t="s">
        <v>914</v>
      </c>
      <c r="I547" s="696" t="s">
        <v>2038</v>
      </c>
      <c r="J547" s="696" t="s">
        <v>917</v>
      </c>
      <c r="K547" s="696" t="s">
        <v>2039</v>
      </c>
      <c r="L547" s="699">
        <v>193.26</v>
      </c>
      <c r="M547" s="699">
        <v>386.52</v>
      </c>
      <c r="N547" s="696">
        <v>2</v>
      </c>
      <c r="O547" s="700">
        <v>1</v>
      </c>
      <c r="P547" s="699">
        <v>386.52</v>
      </c>
      <c r="Q547" s="701">
        <v>1</v>
      </c>
      <c r="R547" s="696">
        <v>2</v>
      </c>
      <c r="S547" s="701">
        <v>1</v>
      </c>
      <c r="T547" s="700">
        <v>1</v>
      </c>
      <c r="U547" s="702">
        <v>1</v>
      </c>
    </row>
    <row r="548" spans="1:21" ht="14.4" customHeight="1" x14ac:dyDescent="0.3">
      <c r="A548" s="695">
        <v>31</v>
      </c>
      <c r="B548" s="696" t="s">
        <v>557</v>
      </c>
      <c r="C548" s="696">
        <v>89301312</v>
      </c>
      <c r="D548" s="697" t="s">
        <v>2235</v>
      </c>
      <c r="E548" s="698" t="s">
        <v>1612</v>
      </c>
      <c r="F548" s="696" t="s">
        <v>1588</v>
      </c>
      <c r="G548" s="696" t="s">
        <v>1615</v>
      </c>
      <c r="H548" s="696" t="s">
        <v>558</v>
      </c>
      <c r="I548" s="696" t="s">
        <v>988</v>
      </c>
      <c r="J548" s="696" t="s">
        <v>989</v>
      </c>
      <c r="K548" s="696" t="s">
        <v>1616</v>
      </c>
      <c r="L548" s="699">
        <v>194.73</v>
      </c>
      <c r="M548" s="699">
        <v>584.18999999999994</v>
      </c>
      <c r="N548" s="696">
        <v>3</v>
      </c>
      <c r="O548" s="700">
        <v>1.5</v>
      </c>
      <c r="P548" s="699">
        <v>584.18999999999994</v>
      </c>
      <c r="Q548" s="701">
        <v>1</v>
      </c>
      <c r="R548" s="696">
        <v>3</v>
      </c>
      <c r="S548" s="701">
        <v>1</v>
      </c>
      <c r="T548" s="700">
        <v>1.5</v>
      </c>
      <c r="U548" s="702">
        <v>1</v>
      </c>
    </row>
    <row r="549" spans="1:21" ht="14.4" customHeight="1" x14ac:dyDescent="0.3">
      <c r="A549" s="695">
        <v>31</v>
      </c>
      <c r="B549" s="696" t="s">
        <v>557</v>
      </c>
      <c r="C549" s="696">
        <v>89301312</v>
      </c>
      <c r="D549" s="697" t="s">
        <v>2235</v>
      </c>
      <c r="E549" s="698" t="s">
        <v>1612</v>
      </c>
      <c r="F549" s="696" t="s">
        <v>1588</v>
      </c>
      <c r="G549" s="696" t="s">
        <v>2213</v>
      </c>
      <c r="H549" s="696" t="s">
        <v>558</v>
      </c>
      <c r="I549" s="696" t="s">
        <v>2214</v>
      </c>
      <c r="J549" s="696" t="s">
        <v>2215</v>
      </c>
      <c r="K549" s="696" t="s">
        <v>2216</v>
      </c>
      <c r="L549" s="699">
        <v>0</v>
      </c>
      <c r="M549" s="699">
        <v>0</v>
      </c>
      <c r="N549" s="696">
        <v>1</v>
      </c>
      <c r="O549" s="700">
        <v>1</v>
      </c>
      <c r="P549" s="699">
        <v>0</v>
      </c>
      <c r="Q549" s="701"/>
      <c r="R549" s="696">
        <v>1</v>
      </c>
      <c r="S549" s="701">
        <v>1</v>
      </c>
      <c r="T549" s="700">
        <v>1</v>
      </c>
      <c r="U549" s="702">
        <v>1</v>
      </c>
    </row>
    <row r="550" spans="1:21" ht="14.4" customHeight="1" x14ac:dyDescent="0.3">
      <c r="A550" s="695">
        <v>31</v>
      </c>
      <c r="B550" s="696" t="s">
        <v>557</v>
      </c>
      <c r="C550" s="696">
        <v>89301312</v>
      </c>
      <c r="D550" s="697" t="s">
        <v>2235</v>
      </c>
      <c r="E550" s="698" t="s">
        <v>1612</v>
      </c>
      <c r="F550" s="696" t="s">
        <v>1590</v>
      </c>
      <c r="G550" s="696" t="s">
        <v>1689</v>
      </c>
      <c r="H550" s="696" t="s">
        <v>558</v>
      </c>
      <c r="I550" s="696" t="s">
        <v>2012</v>
      </c>
      <c r="J550" s="696" t="s">
        <v>1883</v>
      </c>
      <c r="K550" s="696" t="s">
        <v>2013</v>
      </c>
      <c r="L550" s="699">
        <v>30.99</v>
      </c>
      <c r="M550" s="699">
        <v>30.99</v>
      </c>
      <c r="N550" s="696">
        <v>1</v>
      </c>
      <c r="O550" s="700">
        <v>1</v>
      </c>
      <c r="P550" s="699">
        <v>30.99</v>
      </c>
      <c r="Q550" s="701">
        <v>1</v>
      </c>
      <c r="R550" s="696">
        <v>1</v>
      </c>
      <c r="S550" s="701">
        <v>1</v>
      </c>
      <c r="T550" s="700">
        <v>1</v>
      </c>
      <c r="U550" s="702">
        <v>1</v>
      </c>
    </row>
    <row r="551" spans="1:21" ht="14.4" customHeight="1" x14ac:dyDescent="0.3">
      <c r="A551" s="695">
        <v>31</v>
      </c>
      <c r="B551" s="696" t="s">
        <v>557</v>
      </c>
      <c r="C551" s="696">
        <v>89301312</v>
      </c>
      <c r="D551" s="697" t="s">
        <v>2235</v>
      </c>
      <c r="E551" s="698" t="s">
        <v>1612</v>
      </c>
      <c r="F551" s="696" t="s">
        <v>1590</v>
      </c>
      <c r="G551" s="696" t="s">
        <v>1689</v>
      </c>
      <c r="H551" s="696" t="s">
        <v>558</v>
      </c>
      <c r="I551" s="696" t="s">
        <v>1882</v>
      </c>
      <c r="J551" s="696" t="s">
        <v>1883</v>
      </c>
      <c r="K551" s="696" t="s">
        <v>1884</v>
      </c>
      <c r="L551" s="699">
        <v>24.77</v>
      </c>
      <c r="M551" s="699">
        <v>396.31999999999994</v>
      </c>
      <c r="N551" s="696">
        <v>16</v>
      </c>
      <c r="O551" s="700">
        <v>16</v>
      </c>
      <c r="P551" s="699">
        <v>396.31999999999994</v>
      </c>
      <c r="Q551" s="701">
        <v>1</v>
      </c>
      <c r="R551" s="696">
        <v>16</v>
      </c>
      <c r="S551" s="701">
        <v>1</v>
      </c>
      <c r="T551" s="700">
        <v>16</v>
      </c>
      <c r="U551" s="702">
        <v>1</v>
      </c>
    </row>
    <row r="552" spans="1:21" ht="14.4" customHeight="1" x14ac:dyDescent="0.3">
      <c r="A552" s="695">
        <v>31</v>
      </c>
      <c r="B552" s="696" t="s">
        <v>557</v>
      </c>
      <c r="C552" s="696">
        <v>89301312</v>
      </c>
      <c r="D552" s="697" t="s">
        <v>2235</v>
      </c>
      <c r="E552" s="698" t="s">
        <v>1612</v>
      </c>
      <c r="F552" s="696" t="s">
        <v>1590</v>
      </c>
      <c r="G552" s="696" t="s">
        <v>1689</v>
      </c>
      <c r="H552" s="696" t="s">
        <v>558</v>
      </c>
      <c r="I552" s="696" t="s">
        <v>2217</v>
      </c>
      <c r="J552" s="696" t="s">
        <v>2218</v>
      </c>
      <c r="K552" s="696" t="s">
        <v>2219</v>
      </c>
      <c r="L552" s="699">
        <v>50</v>
      </c>
      <c r="M552" s="699">
        <v>50</v>
      </c>
      <c r="N552" s="696">
        <v>1</v>
      </c>
      <c r="O552" s="700">
        <v>1</v>
      </c>
      <c r="P552" s="699"/>
      <c r="Q552" s="701">
        <v>0</v>
      </c>
      <c r="R552" s="696"/>
      <c r="S552" s="701">
        <v>0</v>
      </c>
      <c r="T552" s="700"/>
      <c r="U552" s="702">
        <v>0</v>
      </c>
    </row>
    <row r="553" spans="1:21" ht="14.4" customHeight="1" x14ac:dyDescent="0.3">
      <c r="A553" s="695">
        <v>31</v>
      </c>
      <c r="B553" s="696" t="s">
        <v>557</v>
      </c>
      <c r="C553" s="696">
        <v>89301312</v>
      </c>
      <c r="D553" s="697" t="s">
        <v>2235</v>
      </c>
      <c r="E553" s="698" t="s">
        <v>1612</v>
      </c>
      <c r="F553" s="696" t="s">
        <v>1590</v>
      </c>
      <c r="G553" s="696" t="s">
        <v>1693</v>
      </c>
      <c r="H553" s="696" t="s">
        <v>558</v>
      </c>
      <c r="I553" s="696" t="s">
        <v>1694</v>
      </c>
      <c r="J553" s="696" t="s">
        <v>1695</v>
      </c>
      <c r="K553" s="696" t="s">
        <v>1696</v>
      </c>
      <c r="L553" s="699">
        <v>260</v>
      </c>
      <c r="M553" s="699">
        <v>1560</v>
      </c>
      <c r="N553" s="696">
        <v>6</v>
      </c>
      <c r="O553" s="700">
        <v>3</v>
      </c>
      <c r="P553" s="699">
        <v>1560</v>
      </c>
      <c r="Q553" s="701">
        <v>1</v>
      </c>
      <c r="R553" s="696">
        <v>6</v>
      </c>
      <c r="S553" s="701">
        <v>1</v>
      </c>
      <c r="T553" s="700">
        <v>3</v>
      </c>
      <c r="U553" s="702">
        <v>1</v>
      </c>
    </row>
    <row r="554" spans="1:21" ht="14.4" customHeight="1" x14ac:dyDescent="0.3">
      <c r="A554" s="695">
        <v>31</v>
      </c>
      <c r="B554" s="696" t="s">
        <v>557</v>
      </c>
      <c r="C554" s="696">
        <v>89301312</v>
      </c>
      <c r="D554" s="697" t="s">
        <v>2235</v>
      </c>
      <c r="E554" s="698" t="s">
        <v>1612</v>
      </c>
      <c r="F554" s="696" t="s">
        <v>1590</v>
      </c>
      <c r="G554" s="696" t="s">
        <v>1693</v>
      </c>
      <c r="H554" s="696" t="s">
        <v>558</v>
      </c>
      <c r="I554" s="696" t="s">
        <v>1697</v>
      </c>
      <c r="J554" s="696" t="s">
        <v>1698</v>
      </c>
      <c r="K554" s="696" t="s">
        <v>1699</v>
      </c>
      <c r="L554" s="699">
        <v>200</v>
      </c>
      <c r="M554" s="699">
        <v>400</v>
      </c>
      <c r="N554" s="696">
        <v>2</v>
      </c>
      <c r="O554" s="700">
        <v>1</v>
      </c>
      <c r="P554" s="699">
        <v>400</v>
      </c>
      <c r="Q554" s="701">
        <v>1</v>
      </c>
      <c r="R554" s="696">
        <v>2</v>
      </c>
      <c r="S554" s="701">
        <v>1</v>
      </c>
      <c r="T554" s="700">
        <v>1</v>
      </c>
      <c r="U554" s="702">
        <v>1</v>
      </c>
    </row>
    <row r="555" spans="1:21" ht="14.4" customHeight="1" x14ac:dyDescent="0.3">
      <c r="A555" s="695">
        <v>31</v>
      </c>
      <c r="B555" s="696" t="s">
        <v>557</v>
      </c>
      <c r="C555" s="696">
        <v>89301312</v>
      </c>
      <c r="D555" s="697" t="s">
        <v>2235</v>
      </c>
      <c r="E555" s="698" t="s">
        <v>1612</v>
      </c>
      <c r="F555" s="696" t="s">
        <v>1590</v>
      </c>
      <c r="G555" s="696" t="s">
        <v>1700</v>
      </c>
      <c r="H555" s="696" t="s">
        <v>558</v>
      </c>
      <c r="I555" s="696" t="s">
        <v>1704</v>
      </c>
      <c r="J555" s="696" t="s">
        <v>1705</v>
      </c>
      <c r="K555" s="696" t="s">
        <v>1706</v>
      </c>
      <c r="L555" s="699">
        <v>199.5</v>
      </c>
      <c r="M555" s="699">
        <v>199.5</v>
      </c>
      <c r="N555" s="696">
        <v>1</v>
      </c>
      <c r="O555" s="700">
        <v>1</v>
      </c>
      <c r="P555" s="699">
        <v>199.5</v>
      </c>
      <c r="Q555" s="701">
        <v>1</v>
      </c>
      <c r="R555" s="696">
        <v>1</v>
      </c>
      <c r="S555" s="701">
        <v>1</v>
      </c>
      <c r="T555" s="700">
        <v>1</v>
      </c>
      <c r="U555" s="702">
        <v>1</v>
      </c>
    </row>
    <row r="556" spans="1:21" ht="14.4" customHeight="1" x14ac:dyDescent="0.3">
      <c r="A556" s="695">
        <v>31</v>
      </c>
      <c r="B556" s="696" t="s">
        <v>557</v>
      </c>
      <c r="C556" s="696">
        <v>89301312</v>
      </c>
      <c r="D556" s="697" t="s">
        <v>2235</v>
      </c>
      <c r="E556" s="698" t="s">
        <v>1612</v>
      </c>
      <c r="F556" s="696" t="s">
        <v>1590</v>
      </c>
      <c r="G556" s="696" t="s">
        <v>1700</v>
      </c>
      <c r="H556" s="696" t="s">
        <v>558</v>
      </c>
      <c r="I556" s="696" t="s">
        <v>1715</v>
      </c>
      <c r="J556" s="696" t="s">
        <v>1716</v>
      </c>
      <c r="K556" s="696" t="s">
        <v>1717</v>
      </c>
      <c r="L556" s="699">
        <v>971.25</v>
      </c>
      <c r="M556" s="699">
        <v>2913.75</v>
      </c>
      <c r="N556" s="696">
        <v>3</v>
      </c>
      <c r="O556" s="700">
        <v>3</v>
      </c>
      <c r="P556" s="699">
        <v>2913.75</v>
      </c>
      <c r="Q556" s="701">
        <v>1</v>
      </c>
      <c r="R556" s="696">
        <v>3</v>
      </c>
      <c r="S556" s="701">
        <v>1</v>
      </c>
      <c r="T556" s="700">
        <v>3</v>
      </c>
      <c r="U556" s="702">
        <v>1</v>
      </c>
    </row>
    <row r="557" spans="1:21" ht="14.4" customHeight="1" x14ac:dyDescent="0.3">
      <c r="A557" s="695">
        <v>31</v>
      </c>
      <c r="B557" s="696" t="s">
        <v>557</v>
      </c>
      <c r="C557" s="696">
        <v>89301312</v>
      </c>
      <c r="D557" s="697" t="s">
        <v>2235</v>
      </c>
      <c r="E557" s="698" t="s">
        <v>1612</v>
      </c>
      <c r="F557" s="696" t="s">
        <v>1590</v>
      </c>
      <c r="G557" s="696" t="s">
        <v>1700</v>
      </c>
      <c r="H557" s="696" t="s">
        <v>558</v>
      </c>
      <c r="I557" s="696" t="s">
        <v>1913</v>
      </c>
      <c r="J557" s="696" t="s">
        <v>1914</v>
      </c>
      <c r="K557" s="696"/>
      <c r="L557" s="699">
        <v>80.349999999999994</v>
      </c>
      <c r="M557" s="699">
        <v>80.349999999999994</v>
      </c>
      <c r="N557" s="696">
        <v>1</v>
      </c>
      <c r="O557" s="700">
        <v>1</v>
      </c>
      <c r="P557" s="699">
        <v>80.349999999999994</v>
      </c>
      <c r="Q557" s="701">
        <v>1</v>
      </c>
      <c r="R557" s="696">
        <v>1</v>
      </c>
      <c r="S557" s="701">
        <v>1</v>
      </c>
      <c r="T557" s="700">
        <v>1</v>
      </c>
      <c r="U557" s="702">
        <v>1</v>
      </c>
    </row>
    <row r="558" spans="1:21" ht="14.4" customHeight="1" x14ac:dyDescent="0.3">
      <c r="A558" s="695">
        <v>31</v>
      </c>
      <c r="B558" s="696" t="s">
        <v>557</v>
      </c>
      <c r="C558" s="696">
        <v>89301312</v>
      </c>
      <c r="D558" s="697" t="s">
        <v>2235</v>
      </c>
      <c r="E558" s="698" t="s">
        <v>1612</v>
      </c>
      <c r="F558" s="696" t="s">
        <v>1590</v>
      </c>
      <c r="G558" s="696" t="s">
        <v>1700</v>
      </c>
      <c r="H558" s="696" t="s">
        <v>558</v>
      </c>
      <c r="I558" s="696" t="s">
        <v>2092</v>
      </c>
      <c r="J558" s="696" t="s">
        <v>2093</v>
      </c>
      <c r="K558" s="696" t="s">
        <v>2094</v>
      </c>
      <c r="L558" s="699">
        <v>600</v>
      </c>
      <c r="M558" s="699">
        <v>1200</v>
      </c>
      <c r="N558" s="696">
        <v>2</v>
      </c>
      <c r="O558" s="700">
        <v>2</v>
      </c>
      <c r="P558" s="699">
        <v>1200</v>
      </c>
      <c r="Q558" s="701">
        <v>1</v>
      </c>
      <c r="R558" s="696">
        <v>2</v>
      </c>
      <c r="S558" s="701">
        <v>1</v>
      </c>
      <c r="T558" s="700">
        <v>2</v>
      </c>
      <c r="U558" s="702">
        <v>1</v>
      </c>
    </row>
    <row r="559" spans="1:21" ht="14.4" customHeight="1" x14ac:dyDescent="0.3">
      <c r="A559" s="695">
        <v>31</v>
      </c>
      <c r="B559" s="696" t="s">
        <v>557</v>
      </c>
      <c r="C559" s="696">
        <v>89301312</v>
      </c>
      <c r="D559" s="697" t="s">
        <v>2235</v>
      </c>
      <c r="E559" s="698" t="s">
        <v>1612</v>
      </c>
      <c r="F559" s="696" t="s">
        <v>1590</v>
      </c>
      <c r="G559" s="696" t="s">
        <v>1700</v>
      </c>
      <c r="H559" s="696" t="s">
        <v>558</v>
      </c>
      <c r="I559" s="696" t="s">
        <v>1747</v>
      </c>
      <c r="J559" s="696" t="s">
        <v>1748</v>
      </c>
      <c r="K559" s="696" t="s">
        <v>1749</v>
      </c>
      <c r="L559" s="699">
        <v>349.12</v>
      </c>
      <c r="M559" s="699">
        <v>349.12</v>
      </c>
      <c r="N559" s="696">
        <v>1</v>
      </c>
      <c r="O559" s="700">
        <v>1</v>
      </c>
      <c r="P559" s="699">
        <v>349.12</v>
      </c>
      <c r="Q559" s="701">
        <v>1</v>
      </c>
      <c r="R559" s="696">
        <v>1</v>
      </c>
      <c r="S559" s="701">
        <v>1</v>
      </c>
      <c r="T559" s="700">
        <v>1</v>
      </c>
      <c r="U559" s="702">
        <v>1</v>
      </c>
    </row>
    <row r="560" spans="1:21" ht="14.4" customHeight="1" x14ac:dyDescent="0.3">
      <c r="A560" s="695">
        <v>31</v>
      </c>
      <c r="B560" s="696" t="s">
        <v>557</v>
      </c>
      <c r="C560" s="696">
        <v>89301312</v>
      </c>
      <c r="D560" s="697" t="s">
        <v>2235</v>
      </c>
      <c r="E560" s="698" t="s">
        <v>1612</v>
      </c>
      <c r="F560" s="696" t="s">
        <v>1590</v>
      </c>
      <c r="G560" s="696" t="s">
        <v>1700</v>
      </c>
      <c r="H560" s="696" t="s">
        <v>558</v>
      </c>
      <c r="I560" s="696" t="s">
        <v>1812</v>
      </c>
      <c r="J560" s="696" t="s">
        <v>1813</v>
      </c>
      <c r="K560" s="696" t="s">
        <v>1814</v>
      </c>
      <c r="L560" s="699">
        <v>350</v>
      </c>
      <c r="M560" s="699">
        <v>700</v>
      </c>
      <c r="N560" s="696">
        <v>2</v>
      </c>
      <c r="O560" s="700">
        <v>2</v>
      </c>
      <c r="P560" s="699">
        <v>700</v>
      </c>
      <c r="Q560" s="701">
        <v>1</v>
      </c>
      <c r="R560" s="696">
        <v>2</v>
      </c>
      <c r="S560" s="701">
        <v>1</v>
      </c>
      <c r="T560" s="700">
        <v>2</v>
      </c>
      <c r="U560" s="702">
        <v>1</v>
      </c>
    </row>
    <row r="561" spans="1:21" ht="14.4" customHeight="1" x14ac:dyDescent="0.3">
      <c r="A561" s="695">
        <v>31</v>
      </c>
      <c r="B561" s="696" t="s">
        <v>557</v>
      </c>
      <c r="C561" s="696">
        <v>89301312</v>
      </c>
      <c r="D561" s="697" t="s">
        <v>2235</v>
      </c>
      <c r="E561" s="698" t="s">
        <v>1612</v>
      </c>
      <c r="F561" s="696" t="s">
        <v>1590</v>
      </c>
      <c r="G561" s="696" t="s">
        <v>1700</v>
      </c>
      <c r="H561" s="696" t="s">
        <v>558</v>
      </c>
      <c r="I561" s="696" t="s">
        <v>2220</v>
      </c>
      <c r="J561" s="696" t="s">
        <v>2221</v>
      </c>
      <c r="K561" s="696" t="s">
        <v>2222</v>
      </c>
      <c r="L561" s="699">
        <v>1000</v>
      </c>
      <c r="M561" s="699">
        <v>1000</v>
      </c>
      <c r="N561" s="696">
        <v>1</v>
      </c>
      <c r="O561" s="700">
        <v>1</v>
      </c>
      <c r="P561" s="699">
        <v>1000</v>
      </c>
      <c r="Q561" s="701">
        <v>1</v>
      </c>
      <c r="R561" s="696">
        <v>1</v>
      </c>
      <c r="S561" s="701">
        <v>1</v>
      </c>
      <c r="T561" s="700">
        <v>1</v>
      </c>
      <c r="U561" s="702">
        <v>1</v>
      </c>
    </row>
    <row r="562" spans="1:21" ht="14.4" customHeight="1" x14ac:dyDescent="0.3">
      <c r="A562" s="695">
        <v>31</v>
      </c>
      <c r="B562" s="696" t="s">
        <v>557</v>
      </c>
      <c r="C562" s="696">
        <v>89301312</v>
      </c>
      <c r="D562" s="697" t="s">
        <v>2235</v>
      </c>
      <c r="E562" s="698" t="s">
        <v>1612</v>
      </c>
      <c r="F562" s="696" t="s">
        <v>1590</v>
      </c>
      <c r="G562" s="696" t="s">
        <v>1828</v>
      </c>
      <c r="H562" s="696" t="s">
        <v>558</v>
      </c>
      <c r="I562" s="696" t="s">
        <v>1829</v>
      </c>
      <c r="J562" s="696" t="s">
        <v>1830</v>
      </c>
      <c r="K562" s="696" t="s">
        <v>1831</v>
      </c>
      <c r="L562" s="699">
        <v>0</v>
      </c>
      <c r="M562" s="699">
        <v>0</v>
      </c>
      <c r="N562" s="696">
        <v>2</v>
      </c>
      <c r="O562" s="700">
        <v>2</v>
      </c>
      <c r="P562" s="699"/>
      <c r="Q562" s="701"/>
      <c r="R562" s="696"/>
      <c r="S562" s="701">
        <v>0</v>
      </c>
      <c r="T562" s="700"/>
      <c r="U562" s="702">
        <v>0</v>
      </c>
    </row>
    <row r="563" spans="1:21" ht="14.4" customHeight="1" x14ac:dyDescent="0.3">
      <c r="A563" s="695">
        <v>31</v>
      </c>
      <c r="B563" s="696" t="s">
        <v>557</v>
      </c>
      <c r="C563" s="696">
        <v>89301312</v>
      </c>
      <c r="D563" s="697" t="s">
        <v>2235</v>
      </c>
      <c r="E563" s="698" t="s">
        <v>1613</v>
      </c>
      <c r="F563" s="696" t="s">
        <v>1588</v>
      </c>
      <c r="G563" s="696" t="s">
        <v>1620</v>
      </c>
      <c r="H563" s="696" t="s">
        <v>914</v>
      </c>
      <c r="I563" s="696" t="s">
        <v>1041</v>
      </c>
      <c r="J563" s="696" t="s">
        <v>1529</v>
      </c>
      <c r="K563" s="696" t="s">
        <v>1530</v>
      </c>
      <c r="L563" s="699">
        <v>333.31</v>
      </c>
      <c r="M563" s="699">
        <v>333.31</v>
      </c>
      <c r="N563" s="696">
        <v>1</v>
      </c>
      <c r="O563" s="700">
        <v>1</v>
      </c>
      <c r="P563" s="699">
        <v>333.31</v>
      </c>
      <c r="Q563" s="701">
        <v>1</v>
      </c>
      <c r="R563" s="696">
        <v>1</v>
      </c>
      <c r="S563" s="701">
        <v>1</v>
      </c>
      <c r="T563" s="700">
        <v>1</v>
      </c>
      <c r="U563" s="702">
        <v>1</v>
      </c>
    </row>
    <row r="564" spans="1:21" ht="14.4" customHeight="1" x14ac:dyDescent="0.3">
      <c r="A564" s="695">
        <v>31</v>
      </c>
      <c r="B564" s="696" t="s">
        <v>557</v>
      </c>
      <c r="C564" s="696">
        <v>89301312</v>
      </c>
      <c r="D564" s="697" t="s">
        <v>2235</v>
      </c>
      <c r="E564" s="698" t="s">
        <v>1613</v>
      </c>
      <c r="F564" s="696" t="s">
        <v>1588</v>
      </c>
      <c r="G564" s="696" t="s">
        <v>1624</v>
      </c>
      <c r="H564" s="696" t="s">
        <v>914</v>
      </c>
      <c r="I564" s="696" t="s">
        <v>1417</v>
      </c>
      <c r="J564" s="696" t="s">
        <v>1418</v>
      </c>
      <c r="K564" s="696" t="s">
        <v>1537</v>
      </c>
      <c r="L564" s="699">
        <v>184.22</v>
      </c>
      <c r="M564" s="699">
        <v>368.44</v>
      </c>
      <c r="N564" s="696">
        <v>2</v>
      </c>
      <c r="O564" s="700">
        <v>0.5</v>
      </c>
      <c r="P564" s="699">
        <v>368.44</v>
      </c>
      <c r="Q564" s="701">
        <v>1</v>
      </c>
      <c r="R564" s="696">
        <v>2</v>
      </c>
      <c r="S564" s="701">
        <v>1</v>
      </c>
      <c r="T564" s="700">
        <v>0.5</v>
      </c>
      <c r="U564" s="702">
        <v>1</v>
      </c>
    </row>
    <row r="565" spans="1:21" ht="14.4" customHeight="1" x14ac:dyDescent="0.3">
      <c r="A565" s="695">
        <v>31</v>
      </c>
      <c r="B565" s="696" t="s">
        <v>557</v>
      </c>
      <c r="C565" s="696">
        <v>89301312</v>
      </c>
      <c r="D565" s="697" t="s">
        <v>2235</v>
      </c>
      <c r="E565" s="698" t="s">
        <v>1613</v>
      </c>
      <c r="F565" s="696" t="s">
        <v>1588</v>
      </c>
      <c r="G565" s="696" t="s">
        <v>1645</v>
      </c>
      <c r="H565" s="696" t="s">
        <v>914</v>
      </c>
      <c r="I565" s="696" t="s">
        <v>1045</v>
      </c>
      <c r="J565" s="696" t="s">
        <v>1046</v>
      </c>
      <c r="K565" s="696" t="s">
        <v>1047</v>
      </c>
      <c r="L565" s="699">
        <v>154.01</v>
      </c>
      <c r="M565" s="699">
        <v>154.01</v>
      </c>
      <c r="N565" s="696">
        <v>1</v>
      </c>
      <c r="O565" s="700">
        <v>1</v>
      </c>
      <c r="P565" s="699">
        <v>154.01</v>
      </c>
      <c r="Q565" s="701">
        <v>1</v>
      </c>
      <c r="R565" s="696">
        <v>1</v>
      </c>
      <c r="S565" s="701">
        <v>1</v>
      </c>
      <c r="T565" s="700">
        <v>1</v>
      </c>
      <c r="U565" s="702">
        <v>1</v>
      </c>
    </row>
    <row r="566" spans="1:21" ht="14.4" customHeight="1" x14ac:dyDescent="0.3">
      <c r="A566" s="695">
        <v>31</v>
      </c>
      <c r="B566" s="696" t="s">
        <v>557</v>
      </c>
      <c r="C566" s="696">
        <v>89301312</v>
      </c>
      <c r="D566" s="697" t="s">
        <v>2235</v>
      </c>
      <c r="E566" s="698" t="s">
        <v>1613</v>
      </c>
      <c r="F566" s="696" t="s">
        <v>1588</v>
      </c>
      <c r="G566" s="696" t="s">
        <v>2223</v>
      </c>
      <c r="H566" s="696" t="s">
        <v>914</v>
      </c>
      <c r="I566" s="696" t="s">
        <v>2224</v>
      </c>
      <c r="J566" s="696" t="s">
        <v>2225</v>
      </c>
      <c r="K566" s="696" t="s">
        <v>2226</v>
      </c>
      <c r="L566" s="699">
        <v>413.22</v>
      </c>
      <c r="M566" s="699">
        <v>413.22</v>
      </c>
      <c r="N566" s="696">
        <v>1</v>
      </c>
      <c r="O566" s="700">
        <v>0.5</v>
      </c>
      <c r="P566" s="699">
        <v>413.22</v>
      </c>
      <c r="Q566" s="701">
        <v>1</v>
      </c>
      <c r="R566" s="696">
        <v>1</v>
      </c>
      <c r="S566" s="701">
        <v>1</v>
      </c>
      <c r="T566" s="700">
        <v>0.5</v>
      </c>
      <c r="U566" s="702">
        <v>1</v>
      </c>
    </row>
    <row r="567" spans="1:21" ht="14.4" customHeight="1" x14ac:dyDescent="0.3">
      <c r="A567" s="695">
        <v>31</v>
      </c>
      <c r="B567" s="696" t="s">
        <v>557</v>
      </c>
      <c r="C567" s="696">
        <v>89301312</v>
      </c>
      <c r="D567" s="697" t="s">
        <v>2235</v>
      </c>
      <c r="E567" s="698" t="s">
        <v>1613</v>
      </c>
      <c r="F567" s="696" t="s">
        <v>1588</v>
      </c>
      <c r="G567" s="696" t="s">
        <v>1756</v>
      </c>
      <c r="H567" s="696" t="s">
        <v>558</v>
      </c>
      <c r="I567" s="696" t="s">
        <v>2227</v>
      </c>
      <c r="J567" s="696" t="s">
        <v>2228</v>
      </c>
      <c r="K567" s="696" t="s">
        <v>1874</v>
      </c>
      <c r="L567" s="699">
        <v>155.53</v>
      </c>
      <c r="M567" s="699">
        <v>155.53</v>
      </c>
      <c r="N567" s="696">
        <v>1</v>
      </c>
      <c r="O567" s="700">
        <v>0.5</v>
      </c>
      <c r="P567" s="699">
        <v>155.53</v>
      </c>
      <c r="Q567" s="701">
        <v>1</v>
      </c>
      <c r="R567" s="696">
        <v>1</v>
      </c>
      <c r="S567" s="701">
        <v>1</v>
      </c>
      <c r="T567" s="700">
        <v>0.5</v>
      </c>
      <c r="U567" s="702">
        <v>1</v>
      </c>
    </row>
    <row r="568" spans="1:21" ht="14.4" customHeight="1" x14ac:dyDescent="0.3">
      <c r="A568" s="695">
        <v>31</v>
      </c>
      <c r="B568" s="696" t="s">
        <v>557</v>
      </c>
      <c r="C568" s="696">
        <v>89301312</v>
      </c>
      <c r="D568" s="697" t="s">
        <v>2235</v>
      </c>
      <c r="E568" s="698" t="s">
        <v>1613</v>
      </c>
      <c r="F568" s="696" t="s">
        <v>1588</v>
      </c>
      <c r="G568" s="696" t="s">
        <v>1614</v>
      </c>
      <c r="H568" s="696" t="s">
        <v>914</v>
      </c>
      <c r="I568" s="696" t="s">
        <v>2229</v>
      </c>
      <c r="J568" s="696" t="s">
        <v>1317</v>
      </c>
      <c r="K568" s="696" t="s">
        <v>2230</v>
      </c>
      <c r="L568" s="699">
        <v>468.96</v>
      </c>
      <c r="M568" s="699">
        <v>468.96</v>
      </c>
      <c r="N568" s="696">
        <v>1</v>
      </c>
      <c r="O568" s="700">
        <v>1</v>
      </c>
      <c r="P568" s="699">
        <v>468.96</v>
      </c>
      <c r="Q568" s="701">
        <v>1</v>
      </c>
      <c r="R568" s="696">
        <v>1</v>
      </c>
      <c r="S568" s="701">
        <v>1</v>
      </c>
      <c r="T568" s="700">
        <v>1</v>
      </c>
      <c r="U568" s="702">
        <v>1</v>
      </c>
    </row>
    <row r="569" spans="1:21" ht="14.4" customHeight="1" x14ac:dyDescent="0.3">
      <c r="A569" s="695">
        <v>31</v>
      </c>
      <c r="B569" s="696" t="s">
        <v>557</v>
      </c>
      <c r="C569" s="696">
        <v>89301312</v>
      </c>
      <c r="D569" s="697" t="s">
        <v>2235</v>
      </c>
      <c r="E569" s="698" t="s">
        <v>1613</v>
      </c>
      <c r="F569" s="696" t="s">
        <v>1588</v>
      </c>
      <c r="G569" s="696" t="s">
        <v>1614</v>
      </c>
      <c r="H569" s="696" t="s">
        <v>914</v>
      </c>
      <c r="I569" s="696" t="s">
        <v>1367</v>
      </c>
      <c r="J569" s="696" t="s">
        <v>1317</v>
      </c>
      <c r="K569" s="696" t="s">
        <v>1368</v>
      </c>
      <c r="L569" s="699">
        <v>625.29</v>
      </c>
      <c r="M569" s="699">
        <v>15632.249999999996</v>
      </c>
      <c r="N569" s="696">
        <v>25</v>
      </c>
      <c r="O569" s="700">
        <v>18</v>
      </c>
      <c r="P569" s="699">
        <v>13131.089999999997</v>
      </c>
      <c r="Q569" s="701">
        <v>0.84</v>
      </c>
      <c r="R569" s="696">
        <v>21</v>
      </c>
      <c r="S569" s="701">
        <v>0.84</v>
      </c>
      <c r="T569" s="700">
        <v>14</v>
      </c>
      <c r="U569" s="702">
        <v>0.77777777777777779</v>
      </c>
    </row>
    <row r="570" spans="1:21" ht="14.4" customHeight="1" x14ac:dyDescent="0.3">
      <c r="A570" s="695">
        <v>31</v>
      </c>
      <c r="B570" s="696" t="s">
        <v>557</v>
      </c>
      <c r="C570" s="696">
        <v>89301312</v>
      </c>
      <c r="D570" s="697" t="s">
        <v>2235</v>
      </c>
      <c r="E570" s="698" t="s">
        <v>1613</v>
      </c>
      <c r="F570" s="696" t="s">
        <v>1588</v>
      </c>
      <c r="G570" s="696" t="s">
        <v>1651</v>
      </c>
      <c r="H570" s="696" t="s">
        <v>914</v>
      </c>
      <c r="I570" s="696" t="s">
        <v>916</v>
      </c>
      <c r="J570" s="696" t="s">
        <v>917</v>
      </c>
      <c r="K570" s="696" t="s">
        <v>1543</v>
      </c>
      <c r="L570" s="699">
        <v>96.63</v>
      </c>
      <c r="M570" s="699">
        <v>193.26</v>
      </c>
      <c r="N570" s="696">
        <v>2</v>
      </c>
      <c r="O570" s="700">
        <v>2</v>
      </c>
      <c r="P570" s="699">
        <v>96.63</v>
      </c>
      <c r="Q570" s="701">
        <v>0.5</v>
      </c>
      <c r="R570" s="696">
        <v>1</v>
      </c>
      <c r="S570" s="701">
        <v>0.5</v>
      </c>
      <c r="T570" s="700">
        <v>1</v>
      </c>
      <c r="U570" s="702">
        <v>0.5</v>
      </c>
    </row>
    <row r="571" spans="1:21" ht="14.4" customHeight="1" x14ac:dyDescent="0.3">
      <c r="A571" s="695">
        <v>31</v>
      </c>
      <c r="B571" s="696" t="s">
        <v>557</v>
      </c>
      <c r="C571" s="696">
        <v>89301312</v>
      </c>
      <c r="D571" s="697" t="s">
        <v>2235</v>
      </c>
      <c r="E571" s="698" t="s">
        <v>1613</v>
      </c>
      <c r="F571" s="696" t="s">
        <v>1588</v>
      </c>
      <c r="G571" s="696" t="s">
        <v>1668</v>
      </c>
      <c r="H571" s="696" t="s">
        <v>558</v>
      </c>
      <c r="I571" s="696" t="s">
        <v>647</v>
      </c>
      <c r="J571" s="696" t="s">
        <v>1669</v>
      </c>
      <c r="K571" s="696" t="s">
        <v>1670</v>
      </c>
      <c r="L571" s="699">
        <v>0</v>
      </c>
      <c r="M571" s="699">
        <v>0</v>
      </c>
      <c r="N571" s="696">
        <v>1</v>
      </c>
      <c r="O571" s="700">
        <v>1</v>
      </c>
      <c r="P571" s="699"/>
      <c r="Q571" s="701"/>
      <c r="R571" s="696"/>
      <c r="S571" s="701">
        <v>0</v>
      </c>
      <c r="T571" s="700"/>
      <c r="U571" s="702">
        <v>0</v>
      </c>
    </row>
    <row r="572" spans="1:21" ht="14.4" customHeight="1" x14ac:dyDescent="0.3">
      <c r="A572" s="695">
        <v>31</v>
      </c>
      <c r="B572" s="696" t="s">
        <v>557</v>
      </c>
      <c r="C572" s="696">
        <v>89301312</v>
      </c>
      <c r="D572" s="697" t="s">
        <v>2235</v>
      </c>
      <c r="E572" s="698" t="s">
        <v>1613</v>
      </c>
      <c r="F572" s="696" t="s">
        <v>1588</v>
      </c>
      <c r="G572" s="696" t="s">
        <v>1671</v>
      </c>
      <c r="H572" s="696" t="s">
        <v>558</v>
      </c>
      <c r="I572" s="696" t="s">
        <v>1672</v>
      </c>
      <c r="J572" s="696" t="s">
        <v>1673</v>
      </c>
      <c r="K572" s="696" t="s">
        <v>1674</v>
      </c>
      <c r="L572" s="699">
        <v>23.46</v>
      </c>
      <c r="M572" s="699">
        <v>23.46</v>
      </c>
      <c r="N572" s="696">
        <v>1</v>
      </c>
      <c r="O572" s="700">
        <v>0.5</v>
      </c>
      <c r="P572" s="699">
        <v>23.46</v>
      </c>
      <c r="Q572" s="701">
        <v>1</v>
      </c>
      <c r="R572" s="696">
        <v>1</v>
      </c>
      <c r="S572" s="701">
        <v>1</v>
      </c>
      <c r="T572" s="700">
        <v>0.5</v>
      </c>
      <c r="U572" s="702">
        <v>1</v>
      </c>
    </row>
    <row r="573" spans="1:21" ht="14.4" customHeight="1" x14ac:dyDescent="0.3">
      <c r="A573" s="695">
        <v>31</v>
      </c>
      <c r="B573" s="696" t="s">
        <v>557</v>
      </c>
      <c r="C573" s="696">
        <v>89301312</v>
      </c>
      <c r="D573" s="697" t="s">
        <v>2235</v>
      </c>
      <c r="E573" s="698" t="s">
        <v>1613</v>
      </c>
      <c r="F573" s="696" t="s">
        <v>1588</v>
      </c>
      <c r="G573" s="696" t="s">
        <v>1675</v>
      </c>
      <c r="H573" s="696" t="s">
        <v>914</v>
      </c>
      <c r="I573" s="696" t="s">
        <v>1679</v>
      </c>
      <c r="J573" s="696" t="s">
        <v>929</v>
      </c>
      <c r="K573" s="696" t="s">
        <v>1678</v>
      </c>
      <c r="L573" s="699">
        <v>98.23</v>
      </c>
      <c r="M573" s="699">
        <v>98.23</v>
      </c>
      <c r="N573" s="696">
        <v>1</v>
      </c>
      <c r="O573" s="700">
        <v>1</v>
      </c>
      <c r="P573" s="699">
        <v>98.23</v>
      </c>
      <c r="Q573" s="701">
        <v>1</v>
      </c>
      <c r="R573" s="696">
        <v>1</v>
      </c>
      <c r="S573" s="701">
        <v>1</v>
      </c>
      <c r="T573" s="700">
        <v>1</v>
      </c>
      <c r="U573" s="702">
        <v>1</v>
      </c>
    </row>
    <row r="574" spans="1:21" ht="14.4" customHeight="1" x14ac:dyDescent="0.3">
      <c r="A574" s="695">
        <v>31</v>
      </c>
      <c r="B574" s="696" t="s">
        <v>557</v>
      </c>
      <c r="C574" s="696">
        <v>89301312</v>
      </c>
      <c r="D574" s="697" t="s">
        <v>2235</v>
      </c>
      <c r="E574" s="698" t="s">
        <v>1613</v>
      </c>
      <c r="F574" s="696" t="s">
        <v>1590</v>
      </c>
      <c r="G574" s="696" t="s">
        <v>1693</v>
      </c>
      <c r="H574" s="696" t="s">
        <v>558</v>
      </c>
      <c r="I574" s="696" t="s">
        <v>1697</v>
      </c>
      <c r="J574" s="696" t="s">
        <v>1698</v>
      </c>
      <c r="K574" s="696" t="s">
        <v>1699</v>
      </c>
      <c r="L574" s="699">
        <v>200</v>
      </c>
      <c r="M574" s="699">
        <v>400</v>
      </c>
      <c r="N574" s="696">
        <v>2</v>
      </c>
      <c r="O574" s="700">
        <v>1</v>
      </c>
      <c r="P574" s="699">
        <v>400</v>
      </c>
      <c r="Q574" s="701">
        <v>1</v>
      </c>
      <c r="R574" s="696">
        <v>2</v>
      </c>
      <c r="S574" s="701">
        <v>1</v>
      </c>
      <c r="T574" s="700">
        <v>1</v>
      </c>
      <c r="U574" s="702">
        <v>1</v>
      </c>
    </row>
    <row r="575" spans="1:21" ht="14.4" customHeight="1" x14ac:dyDescent="0.3">
      <c r="A575" s="695">
        <v>31</v>
      </c>
      <c r="B575" s="696" t="s">
        <v>557</v>
      </c>
      <c r="C575" s="696">
        <v>89301312</v>
      </c>
      <c r="D575" s="697" t="s">
        <v>2235</v>
      </c>
      <c r="E575" s="698" t="s">
        <v>1613</v>
      </c>
      <c r="F575" s="696" t="s">
        <v>1590</v>
      </c>
      <c r="G575" s="696" t="s">
        <v>1700</v>
      </c>
      <c r="H575" s="696" t="s">
        <v>558</v>
      </c>
      <c r="I575" s="696" t="s">
        <v>1701</v>
      </c>
      <c r="J575" s="696" t="s">
        <v>1702</v>
      </c>
      <c r="K575" s="696" t="s">
        <v>1703</v>
      </c>
      <c r="L575" s="699">
        <v>3000</v>
      </c>
      <c r="M575" s="699">
        <v>3000</v>
      </c>
      <c r="N575" s="696">
        <v>1</v>
      </c>
      <c r="O575" s="700">
        <v>1</v>
      </c>
      <c r="P575" s="699">
        <v>3000</v>
      </c>
      <c r="Q575" s="701">
        <v>1</v>
      </c>
      <c r="R575" s="696">
        <v>1</v>
      </c>
      <c r="S575" s="701">
        <v>1</v>
      </c>
      <c r="T575" s="700">
        <v>1</v>
      </c>
      <c r="U575" s="702">
        <v>1</v>
      </c>
    </row>
    <row r="576" spans="1:21" ht="14.4" customHeight="1" x14ac:dyDescent="0.3">
      <c r="A576" s="695">
        <v>31</v>
      </c>
      <c r="B576" s="696" t="s">
        <v>557</v>
      </c>
      <c r="C576" s="696">
        <v>89301312</v>
      </c>
      <c r="D576" s="697" t="s">
        <v>2235</v>
      </c>
      <c r="E576" s="698" t="s">
        <v>1613</v>
      </c>
      <c r="F576" s="696" t="s">
        <v>1590</v>
      </c>
      <c r="G576" s="696" t="s">
        <v>1700</v>
      </c>
      <c r="H576" s="696" t="s">
        <v>558</v>
      </c>
      <c r="I576" s="696" t="s">
        <v>1704</v>
      </c>
      <c r="J576" s="696" t="s">
        <v>1705</v>
      </c>
      <c r="K576" s="696" t="s">
        <v>1706</v>
      </c>
      <c r="L576" s="699">
        <v>199.5</v>
      </c>
      <c r="M576" s="699">
        <v>199.5</v>
      </c>
      <c r="N576" s="696">
        <v>1</v>
      </c>
      <c r="O576" s="700">
        <v>1</v>
      </c>
      <c r="P576" s="699">
        <v>199.5</v>
      </c>
      <c r="Q576" s="701">
        <v>1</v>
      </c>
      <c r="R576" s="696">
        <v>1</v>
      </c>
      <c r="S576" s="701">
        <v>1</v>
      </c>
      <c r="T576" s="700">
        <v>1</v>
      </c>
      <c r="U576" s="702">
        <v>1</v>
      </c>
    </row>
    <row r="577" spans="1:21" ht="14.4" customHeight="1" x14ac:dyDescent="0.3">
      <c r="A577" s="695">
        <v>31</v>
      </c>
      <c r="B577" s="696" t="s">
        <v>557</v>
      </c>
      <c r="C577" s="696">
        <v>89301312</v>
      </c>
      <c r="D577" s="697" t="s">
        <v>2235</v>
      </c>
      <c r="E577" s="698" t="s">
        <v>1613</v>
      </c>
      <c r="F577" s="696" t="s">
        <v>1590</v>
      </c>
      <c r="G577" s="696" t="s">
        <v>1700</v>
      </c>
      <c r="H577" s="696" t="s">
        <v>558</v>
      </c>
      <c r="I577" s="696" t="s">
        <v>2231</v>
      </c>
      <c r="J577" s="696" t="s">
        <v>2232</v>
      </c>
      <c r="K577" s="696" t="s">
        <v>2233</v>
      </c>
      <c r="L577" s="699">
        <v>696.93</v>
      </c>
      <c r="M577" s="699">
        <v>696.93</v>
      </c>
      <c r="N577" s="696">
        <v>1</v>
      </c>
      <c r="O577" s="700">
        <v>1</v>
      </c>
      <c r="P577" s="699">
        <v>696.93</v>
      </c>
      <c r="Q577" s="701">
        <v>1</v>
      </c>
      <c r="R577" s="696">
        <v>1</v>
      </c>
      <c r="S577" s="701">
        <v>1</v>
      </c>
      <c r="T577" s="700">
        <v>1</v>
      </c>
      <c r="U577" s="702">
        <v>1</v>
      </c>
    </row>
    <row r="578" spans="1:21" ht="14.4" customHeight="1" x14ac:dyDescent="0.3">
      <c r="A578" s="695">
        <v>31</v>
      </c>
      <c r="B578" s="696" t="s">
        <v>557</v>
      </c>
      <c r="C578" s="696">
        <v>89301312</v>
      </c>
      <c r="D578" s="697" t="s">
        <v>2235</v>
      </c>
      <c r="E578" s="698" t="s">
        <v>1613</v>
      </c>
      <c r="F578" s="696" t="s">
        <v>1590</v>
      </c>
      <c r="G578" s="696" t="s">
        <v>1700</v>
      </c>
      <c r="H578" s="696" t="s">
        <v>558</v>
      </c>
      <c r="I578" s="696" t="s">
        <v>1786</v>
      </c>
      <c r="J578" s="696" t="s">
        <v>1787</v>
      </c>
      <c r="K578" s="696" t="s">
        <v>1788</v>
      </c>
      <c r="L578" s="699">
        <v>320.25</v>
      </c>
      <c r="M578" s="699">
        <v>640.5</v>
      </c>
      <c r="N578" s="696">
        <v>2</v>
      </c>
      <c r="O578" s="700">
        <v>2</v>
      </c>
      <c r="P578" s="699">
        <v>640.5</v>
      </c>
      <c r="Q578" s="701">
        <v>1</v>
      </c>
      <c r="R578" s="696">
        <v>2</v>
      </c>
      <c r="S578" s="701">
        <v>1</v>
      </c>
      <c r="T578" s="700">
        <v>2</v>
      </c>
      <c r="U578" s="702">
        <v>1</v>
      </c>
    </row>
    <row r="579" spans="1:21" ht="14.4" customHeight="1" x14ac:dyDescent="0.3">
      <c r="A579" s="695">
        <v>31</v>
      </c>
      <c r="B579" s="696" t="s">
        <v>557</v>
      </c>
      <c r="C579" s="696">
        <v>89301312</v>
      </c>
      <c r="D579" s="697" t="s">
        <v>2235</v>
      </c>
      <c r="E579" s="698" t="s">
        <v>1613</v>
      </c>
      <c r="F579" s="696" t="s">
        <v>1590</v>
      </c>
      <c r="G579" s="696" t="s">
        <v>1700</v>
      </c>
      <c r="H579" s="696" t="s">
        <v>558</v>
      </c>
      <c r="I579" s="696" t="s">
        <v>1710</v>
      </c>
      <c r="J579" s="696" t="s">
        <v>1711</v>
      </c>
      <c r="K579" s="696" t="s">
        <v>1712</v>
      </c>
      <c r="L579" s="699">
        <v>750</v>
      </c>
      <c r="M579" s="699">
        <v>750</v>
      </c>
      <c r="N579" s="696">
        <v>1</v>
      </c>
      <c r="O579" s="700">
        <v>1</v>
      </c>
      <c r="P579" s="699">
        <v>750</v>
      </c>
      <c r="Q579" s="701">
        <v>1</v>
      </c>
      <c r="R579" s="696">
        <v>1</v>
      </c>
      <c r="S579" s="701">
        <v>1</v>
      </c>
      <c r="T579" s="700">
        <v>1</v>
      </c>
      <c r="U579" s="702">
        <v>1</v>
      </c>
    </row>
    <row r="580" spans="1:21" ht="14.4" customHeight="1" x14ac:dyDescent="0.3">
      <c r="A580" s="695">
        <v>31</v>
      </c>
      <c r="B580" s="696" t="s">
        <v>557</v>
      </c>
      <c r="C580" s="696">
        <v>89301312</v>
      </c>
      <c r="D580" s="697" t="s">
        <v>2235</v>
      </c>
      <c r="E580" s="698" t="s">
        <v>1613</v>
      </c>
      <c r="F580" s="696" t="s">
        <v>1590</v>
      </c>
      <c r="G580" s="696" t="s">
        <v>1700</v>
      </c>
      <c r="H580" s="696" t="s">
        <v>558</v>
      </c>
      <c r="I580" s="696" t="s">
        <v>1715</v>
      </c>
      <c r="J580" s="696" t="s">
        <v>1716</v>
      </c>
      <c r="K580" s="696" t="s">
        <v>1717</v>
      </c>
      <c r="L580" s="699">
        <v>971.25</v>
      </c>
      <c r="M580" s="699">
        <v>971.25</v>
      </c>
      <c r="N580" s="696">
        <v>1</v>
      </c>
      <c r="O580" s="700">
        <v>1</v>
      </c>
      <c r="P580" s="699">
        <v>971.25</v>
      </c>
      <c r="Q580" s="701">
        <v>1</v>
      </c>
      <c r="R580" s="696">
        <v>1</v>
      </c>
      <c r="S580" s="701">
        <v>1</v>
      </c>
      <c r="T580" s="700">
        <v>1</v>
      </c>
      <c r="U580" s="702">
        <v>1</v>
      </c>
    </row>
    <row r="581" spans="1:21" ht="14.4" customHeight="1" x14ac:dyDescent="0.3">
      <c r="A581" s="695">
        <v>31</v>
      </c>
      <c r="B581" s="696" t="s">
        <v>557</v>
      </c>
      <c r="C581" s="696">
        <v>89301312</v>
      </c>
      <c r="D581" s="697" t="s">
        <v>2235</v>
      </c>
      <c r="E581" s="698" t="s">
        <v>1613</v>
      </c>
      <c r="F581" s="696" t="s">
        <v>1590</v>
      </c>
      <c r="G581" s="696" t="s">
        <v>1700</v>
      </c>
      <c r="H581" s="696" t="s">
        <v>558</v>
      </c>
      <c r="I581" s="696" t="s">
        <v>1913</v>
      </c>
      <c r="J581" s="696" t="s">
        <v>1914</v>
      </c>
      <c r="K581" s="696"/>
      <c r="L581" s="699">
        <v>80.349999999999994</v>
      </c>
      <c r="M581" s="699">
        <v>160.69999999999999</v>
      </c>
      <c r="N581" s="696">
        <v>2</v>
      </c>
      <c r="O581" s="700">
        <v>2</v>
      </c>
      <c r="P581" s="699">
        <v>160.69999999999999</v>
      </c>
      <c r="Q581" s="701">
        <v>1</v>
      </c>
      <c r="R581" s="696">
        <v>2</v>
      </c>
      <c r="S581" s="701">
        <v>1</v>
      </c>
      <c r="T581" s="700">
        <v>2</v>
      </c>
      <c r="U581" s="702">
        <v>1</v>
      </c>
    </row>
    <row r="582" spans="1:21" ht="14.4" customHeight="1" x14ac:dyDescent="0.3">
      <c r="A582" s="695">
        <v>31</v>
      </c>
      <c r="B582" s="696" t="s">
        <v>557</v>
      </c>
      <c r="C582" s="696">
        <v>89301312</v>
      </c>
      <c r="D582" s="697" t="s">
        <v>2235</v>
      </c>
      <c r="E582" s="698" t="s">
        <v>1613</v>
      </c>
      <c r="F582" s="696" t="s">
        <v>1590</v>
      </c>
      <c r="G582" s="696" t="s">
        <v>1700</v>
      </c>
      <c r="H582" s="696" t="s">
        <v>558</v>
      </c>
      <c r="I582" s="696" t="s">
        <v>1812</v>
      </c>
      <c r="J582" s="696" t="s">
        <v>1813</v>
      </c>
      <c r="K582" s="696" t="s">
        <v>1814</v>
      </c>
      <c r="L582" s="699">
        <v>350</v>
      </c>
      <c r="M582" s="699">
        <v>2100</v>
      </c>
      <c r="N582" s="696">
        <v>6</v>
      </c>
      <c r="O582" s="700">
        <v>6</v>
      </c>
      <c r="P582" s="699">
        <v>2100</v>
      </c>
      <c r="Q582" s="701">
        <v>1</v>
      </c>
      <c r="R582" s="696">
        <v>6</v>
      </c>
      <c r="S582" s="701">
        <v>1</v>
      </c>
      <c r="T582" s="700">
        <v>6</v>
      </c>
      <c r="U582" s="702">
        <v>1</v>
      </c>
    </row>
    <row r="583" spans="1:21" ht="14.4" customHeight="1" x14ac:dyDescent="0.3">
      <c r="A583" s="695">
        <v>31</v>
      </c>
      <c r="B583" s="696" t="s">
        <v>557</v>
      </c>
      <c r="C583" s="696">
        <v>89301313</v>
      </c>
      <c r="D583" s="697" t="s">
        <v>2236</v>
      </c>
      <c r="E583" s="698" t="s">
        <v>1600</v>
      </c>
      <c r="F583" s="696" t="s">
        <v>1590</v>
      </c>
      <c r="G583" s="696" t="s">
        <v>1680</v>
      </c>
      <c r="H583" s="696" t="s">
        <v>558</v>
      </c>
      <c r="I583" s="696" t="s">
        <v>1681</v>
      </c>
      <c r="J583" s="696" t="s">
        <v>1684</v>
      </c>
      <c r="K583" s="696" t="s">
        <v>1685</v>
      </c>
      <c r="L583" s="699">
        <v>410</v>
      </c>
      <c r="M583" s="699">
        <v>820</v>
      </c>
      <c r="N583" s="696">
        <v>2</v>
      </c>
      <c r="O583" s="700">
        <v>2</v>
      </c>
      <c r="P583" s="699">
        <v>820</v>
      </c>
      <c r="Q583" s="701">
        <v>1</v>
      </c>
      <c r="R583" s="696">
        <v>2</v>
      </c>
      <c r="S583" s="701">
        <v>1</v>
      </c>
      <c r="T583" s="700">
        <v>2</v>
      </c>
      <c r="U583" s="702">
        <v>1</v>
      </c>
    </row>
    <row r="584" spans="1:21" ht="14.4" customHeight="1" x14ac:dyDescent="0.3">
      <c r="A584" s="695">
        <v>31</v>
      </c>
      <c r="B584" s="696" t="s">
        <v>557</v>
      </c>
      <c r="C584" s="696">
        <v>89301313</v>
      </c>
      <c r="D584" s="697" t="s">
        <v>2236</v>
      </c>
      <c r="E584" s="698" t="s">
        <v>1600</v>
      </c>
      <c r="F584" s="696" t="s">
        <v>1590</v>
      </c>
      <c r="G584" s="696" t="s">
        <v>1700</v>
      </c>
      <c r="H584" s="696" t="s">
        <v>558</v>
      </c>
      <c r="I584" s="696" t="s">
        <v>1707</v>
      </c>
      <c r="J584" s="696" t="s">
        <v>1708</v>
      </c>
      <c r="K584" s="696" t="s">
        <v>1709</v>
      </c>
      <c r="L584" s="699">
        <v>492.18</v>
      </c>
      <c r="M584" s="699">
        <v>492.18</v>
      </c>
      <c r="N584" s="696">
        <v>1</v>
      </c>
      <c r="O584" s="700">
        <v>1</v>
      </c>
      <c r="P584" s="699">
        <v>492.18</v>
      </c>
      <c r="Q584" s="701">
        <v>1</v>
      </c>
      <c r="R584" s="696">
        <v>1</v>
      </c>
      <c r="S584" s="701">
        <v>1</v>
      </c>
      <c r="T584" s="700">
        <v>1</v>
      </c>
      <c r="U584" s="702">
        <v>1</v>
      </c>
    </row>
    <row r="585" spans="1:21" ht="14.4" customHeight="1" x14ac:dyDescent="0.3">
      <c r="A585" s="695">
        <v>31</v>
      </c>
      <c r="B585" s="696" t="s">
        <v>557</v>
      </c>
      <c r="C585" s="696">
        <v>89301313</v>
      </c>
      <c r="D585" s="697" t="s">
        <v>2236</v>
      </c>
      <c r="E585" s="698" t="s">
        <v>1601</v>
      </c>
      <c r="F585" s="696" t="s">
        <v>1590</v>
      </c>
      <c r="G585" s="696" t="s">
        <v>1689</v>
      </c>
      <c r="H585" s="696" t="s">
        <v>558</v>
      </c>
      <c r="I585" s="696" t="s">
        <v>1690</v>
      </c>
      <c r="J585" s="696" t="s">
        <v>1691</v>
      </c>
      <c r="K585" s="696" t="s">
        <v>1692</v>
      </c>
      <c r="L585" s="699">
        <v>35.75</v>
      </c>
      <c r="M585" s="699">
        <v>71.5</v>
      </c>
      <c r="N585" s="696">
        <v>2</v>
      </c>
      <c r="O585" s="700">
        <v>1</v>
      </c>
      <c r="P585" s="699">
        <v>71.5</v>
      </c>
      <c r="Q585" s="701">
        <v>1</v>
      </c>
      <c r="R585" s="696">
        <v>2</v>
      </c>
      <c r="S585" s="701">
        <v>1</v>
      </c>
      <c r="T585" s="700">
        <v>1</v>
      </c>
      <c r="U585" s="702">
        <v>1</v>
      </c>
    </row>
    <row r="586" spans="1:21" ht="14.4" customHeight="1" x14ac:dyDescent="0.3">
      <c r="A586" s="695">
        <v>31</v>
      </c>
      <c r="B586" s="696" t="s">
        <v>557</v>
      </c>
      <c r="C586" s="696">
        <v>89301313</v>
      </c>
      <c r="D586" s="697" t="s">
        <v>2236</v>
      </c>
      <c r="E586" s="698" t="s">
        <v>1609</v>
      </c>
      <c r="F586" s="696" t="s">
        <v>1590</v>
      </c>
      <c r="G586" s="696" t="s">
        <v>1700</v>
      </c>
      <c r="H586" s="696" t="s">
        <v>558</v>
      </c>
      <c r="I586" s="696" t="s">
        <v>1715</v>
      </c>
      <c r="J586" s="696" t="s">
        <v>1716</v>
      </c>
      <c r="K586" s="696" t="s">
        <v>1717</v>
      </c>
      <c r="L586" s="699">
        <v>971.25</v>
      </c>
      <c r="M586" s="699">
        <v>971.25</v>
      </c>
      <c r="N586" s="696">
        <v>1</v>
      </c>
      <c r="O586" s="700">
        <v>1</v>
      </c>
      <c r="P586" s="699">
        <v>971.25</v>
      </c>
      <c r="Q586" s="701">
        <v>1</v>
      </c>
      <c r="R586" s="696">
        <v>1</v>
      </c>
      <c r="S586" s="701">
        <v>1</v>
      </c>
      <c r="T586" s="700">
        <v>1</v>
      </c>
      <c r="U586" s="702">
        <v>1</v>
      </c>
    </row>
    <row r="587" spans="1:21" ht="14.4" customHeight="1" thickBot="1" x14ac:dyDescent="0.35">
      <c r="A587" s="703">
        <v>31</v>
      </c>
      <c r="B587" s="704" t="s">
        <v>557</v>
      </c>
      <c r="C587" s="704">
        <v>89301313</v>
      </c>
      <c r="D587" s="705" t="s">
        <v>2236</v>
      </c>
      <c r="E587" s="706" t="s">
        <v>1613</v>
      </c>
      <c r="F587" s="704" t="s">
        <v>1590</v>
      </c>
      <c r="G587" s="704" t="s">
        <v>1680</v>
      </c>
      <c r="H587" s="704" t="s">
        <v>558</v>
      </c>
      <c r="I587" s="704" t="s">
        <v>1681</v>
      </c>
      <c r="J587" s="704" t="s">
        <v>1684</v>
      </c>
      <c r="K587" s="704" t="s">
        <v>1685</v>
      </c>
      <c r="L587" s="707">
        <v>410</v>
      </c>
      <c r="M587" s="707">
        <v>410</v>
      </c>
      <c r="N587" s="704">
        <v>1</v>
      </c>
      <c r="O587" s="708">
        <v>1</v>
      </c>
      <c r="P587" s="707"/>
      <c r="Q587" s="709">
        <v>0</v>
      </c>
      <c r="R587" s="704"/>
      <c r="S587" s="709">
        <v>0</v>
      </c>
      <c r="T587" s="708"/>
      <c r="U587" s="710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7" width="8.88671875" style="257" customWidth="1"/>
    <col min="8" max="16384" width="8.88671875" style="257"/>
  </cols>
  <sheetData>
    <row r="1" spans="1:6" ht="37.799999999999997" customHeight="1" thickBot="1" x14ac:dyDescent="0.4">
      <c r="A1" s="495" t="s">
        <v>2238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2" t="s">
        <v>236</v>
      </c>
      <c r="B4" s="643" t="s">
        <v>14</v>
      </c>
      <c r="C4" s="644" t="s">
        <v>2</v>
      </c>
      <c r="D4" s="643" t="s">
        <v>14</v>
      </c>
      <c r="E4" s="644" t="s">
        <v>2</v>
      </c>
      <c r="F4" s="645" t="s">
        <v>14</v>
      </c>
    </row>
    <row r="5" spans="1:6" ht="14.4" customHeight="1" x14ac:dyDescent="0.3">
      <c r="A5" s="656" t="s">
        <v>1609</v>
      </c>
      <c r="B5" s="628">
        <v>1215.06</v>
      </c>
      <c r="C5" s="646">
        <v>4.3029388506443993E-2</v>
      </c>
      <c r="D5" s="628">
        <v>27022.85</v>
      </c>
      <c r="E5" s="646">
        <v>0.956970611493556</v>
      </c>
      <c r="F5" s="629">
        <v>28237.91</v>
      </c>
    </row>
    <row r="6" spans="1:6" ht="14.4" customHeight="1" x14ac:dyDescent="0.3">
      <c r="A6" s="718" t="s">
        <v>1600</v>
      </c>
      <c r="B6" s="711">
        <v>1021.5899999999999</v>
      </c>
      <c r="C6" s="701">
        <v>1.3153740612288412E-2</v>
      </c>
      <c r="D6" s="711">
        <v>76643.77</v>
      </c>
      <c r="E6" s="701">
        <v>0.98684625938771164</v>
      </c>
      <c r="F6" s="712">
        <v>77665.36</v>
      </c>
    </row>
    <row r="7" spans="1:6" ht="14.4" customHeight="1" x14ac:dyDescent="0.3">
      <c r="A7" s="718" t="s">
        <v>1608</v>
      </c>
      <c r="B7" s="711">
        <v>978.71</v>
      </c>
      <c r="C7" s="701">
        <v>0.1621371334474207</v>
      </c>
      <c r="D7" s="711">
        <v>5057.5999999999995</v>
      </c>
      <c r="E7" s="701">
        <v>0.83786286655257924</v>
      </c>
      <c r="F7" s="712">
        <v>6036.3099999999995</v>
      </c>
    </row>
    <row r="8" spans="1:6" ht="14.4" customHeight="1" x14ac:dyDescent="0.3">
      <c r="A8" s="718" t="s">
        <v>1611</v>
      </c>
      <c r="B8" s="711">
        <v>682.3</v>
      </c>
      <c r="C8" s="701">
        <v>5.2464315730144415E-2</v>
      </c>
      <c r="D8" s="711">
        <v>12322.73</v>
      </c>
      <c r="E8" s="701">
        <v>0.94753568426985568</v>
      </c>
      <c r="F8" s="712">
        <v>13005.029999999999</v>
      </c>
    </row>
    <row r="9" spans="1:6" ht="14.4" customHeight="1" x14ac:dyDescent="0.3">
      <c r="A9" s="718" t="s">
        <v>1602</v>
      </c>
      <c r="B9" s="711">
        <v>510.83</v>
      </c>
      <c r="C9" s="701">
        <v>1.9962523618131691E-2</v>
      </c>
      <c r="D9" s="711">
        <v>25078.62</v>
      </c>
      <c r="E9" s="701">
        <v>0.98003747638186822</v>
      </c>
      <c r="F9" s="712">
        <v>25589.45</v>
      </c>
    </row>
    <row r="10" spans="1:6" ht="14.4" customHeight="1" x14ac:dyDescent="0.3">
      <c r="A10" s="718" t="s">
        <v>1599</v>
      </c>
      <c r="B10" s="711">
        <v>487.32</v>
      </c>
      <c r="C10" s="701">
        <v>0.25758096315363838</v>
      </c>
      <c r="D10" s="711">
        <v>1404.59</v>
      </c>
      <c r="E10" s="701">
        <v>0.74241903684636168</v>
      </c>
      <c r="F10" s="712">
        <v>1891.9099999999999</v>
      </c>
    </row>
    <row r="11" spans="1:6" ht="14.4" customHeight="1" x14ac:dyDescent="0.3">
      <c r="A11" s="718" t="s">
        <v>1613</v>
      </c>
      <c r="B11" s="711">
        <v>327.43</v>
      </c>
      <c r="C11" s="701">
        <v>3.4617419001445556E-3</v>
      </c>
      <c r="D11" s="711">
        <v>94257.900000000052</v>
      </c>
      <c r="E11" s="701">
        <v>0.99653825809985552</v>
      </c>
      <c r="F11" s="712">
        <v>94585.330000000045</v>
      </c>
    </row>
    <row r="12" spans="1:6" ht="14.4" customHeight="1" x14ac:dyDescent="0.3">
      <c r="A12" s="718" t="s">
        <v>1603</v>
      </c>
      <c r="B12" s="711">
        <v>193.26</v>
      </c>
      <c r="C12" s="701">
        <v>7.4231584413748698E-3</v>
      </c>
      <c r="D12" s="711">
        <v>25841.480000000003</v>
      </c>
      <c r="E12" s="701">
        <v>0.99257684155862524</v>
      </c>
      <c r="F12" s="712">
        <v>26034.74</v>
      </c>
    </row>
    <row r="13" spans="1:6" ht="14.4" customHeight="1" x14ac:dyDescent="0.3">
      <c r="A13" s="718" t="s">
        <v>1606</v>
      </c>
      <c r="B13" s="711">
        <v>96.63</v>
      </c>
      <c r="C13" s="701">
        <v>7.4451437830391261E-3</v>
      </c>
      <c r="D13" s="711">
        <v>12882.3</v>
      </c>
      <c r="E13" s="701">
        <v>0.99255485621696093</v>
      </c>
      <c r="F13" s="712">
        <v>12978.929999999998</v>
      </c>
    </row>
    <row r="14" spans="1:6" ht="14.4" customHeight="1" x14ac:dyDescent="0.3">
      <c r="A14" s="718" t="s">
        <v>1605</v>
      </c>
      <c r="B14" s="711"/>
      <c r="C14" s="701">
        <v>0</v>
      </c>
      <c r="D14" s="711">
        <v>10076.42</v>
      </c>
      <c r="E14" s="701">
        <v>1</v>
      </c>
      <c r="F14" s="712">
        <v>10076.42</v>
      </c>
    </row>
    <row r="15" spans="1:6" ht="14.4" customHeight="1" x14ac:dyDescent="0.3">
      <c r="A15" s="718" t="s">
        <v>1612</v>
      </c>
      <c r="B15" s="711"/>
      <c r="C15" s="701">
        <v>0</v>
      </c>
      <c r="D15" s="711">
        <v>5021.4399999999996</v>
      </c>
      <c r="E15" s="701">
        <v>1</v>
      </c>
      <c r="F15" s="712">
        <v>5021.4399999999996</v>
      </c>
    </row>
    <row r="16" spans="1:6" ht="14.4" customHeight="1" x14ac:dyDescent="0.3">
      <c r="A16" s="718" t="s">
        <v>1604</v>
      </c>
      <c r="B16" s="711"/>
      <c r="C16" s="701">
        <v>0</v>
      </c>
      <c r="D16" s="711">
        <v>11181.310000000001</v>
      </c>
      <c r="E16" s="701">
        <v>1</v>
      </c>
      <c r="F16" s="712">
        <v>11181.310000000001</v>
      </c>
    </row>
    <row r="17" spans="1:6" ht="14.4" customHeight="1" x14ac:dyDescent="0.3">
      <c r="A17" s="718" t="s">
        <v>1598</v>
      </c>
      <c r="B17" s="711"/>
      <c r="C17" s="701">
        <v>0</v>
      </c>
      <c r="D17" s="711">
        <v>2069.12</v>
      </c>
      <c r="E17" s="701">
        <v>1</v>
      </c>
      <c r="F17" s="712">
        <v>2069.12</v>
      </c>
    </row>
    <row r="18" spans="1:6" ht="14.4" customHeight="1" x14ac:dyDescent="0.3">
      <c r="A18" s="718" t="s">
        <v>1597</v>
      </c>
      <c r="B18" s="711"/>
      <c r="C18" s="701">
        <v>0</v>
      </c>
      <c r="D18" s="711">
        <v>1250.58</v>
      </c>
      <c r="E18" s="701">
        <v>1</v>
      </c>
      <c r="F18" s="712">
        <v>1250.58</v>
      </c>
    </row>
    <row r="19" spans="1:6" ht="14.4" customHeight="1" x14ac:dyDescent="0.3">
      <c r="A19" s="718" t="s">
        <v>1601</v>
      </c>
      <c r="B19" s="711">
        <v>0</v>
      </c>
      <c r="C19" s="701">
        <v>0</v>
      </c>
      <c r="D19" s="711">
        <v>72984.640000000043</v>
      </c>
      <c r="E19" s="701">
        <v>1</v>
      </c>
      <c r="F19" s="712">
        <v>72984.640000000043</v>
      </c>
    </row>
    <row r="20" spans="1:6" ht="14.4" customHeight="1" x14ac:dyDescent="0.3">
      <c r="A20" s="718" t="s">
        <v>1607</v>
      </c>
      <c r="B20" s="711"/>
      <c r="C20" s="701">
        <v>0</v>
      </c>
      <c r="D20" s="711">
        <v>7246.5899999999992</v>
      </c>
      <c r="E20" s="701">
        <v>1</v>
      </c>
      <c r="F20" s="712">
        <v>7246.5899999999992</v>
      </c>
    </row>
    <row r="21" spans="1:6" ht="14.4" customHeight="1" thickBot="1" x14ac:dyDescent="0.35">
      <c r="A21" s="719" t="s">
        <v>1610</v>
      </c>
      <c r="B21" s="715"/>
      <c r="C21" s="716">
        <v>0</v>
      </c>
      <c r="D21" s="715">
        <v>7665.579999999999</v>
      </c>
      <c r="E21" s="716">
        <v>1</v>
      </c>
      <c r="F21" s="717">
        <v>7665.579999999999</v>
      </c>
    </row>
    <row r="22" spans="1:6" ht="14.4" customHeight="1" thickBot="1" x14ac:dyDescent="0.35">
      <c r="A22" s="652" t="s">
        <v>3</v>
      </c>
      <c r="B22" s="653">
        <v>5513.13</v>
      </c>
      <c r="C22" s="654">
        <v>1.366257216328334E-2</v>
      </c>
      <c r="D22" s="653">
        <v>398007.52000000008</v>
      </c>
      <c r="E22" s="654">
        <v>0.98633742783671663</v>
      </c>
      <c r="F22" s="655">
        <v>403520.65000000008</v>
      </c>
    </row>
    <row r="23" spans="1:6" ht="14.4" customHeight="1" thickBot="1" x14ac:dyDescent="0.35"/>
    <row r="24" spans="1:6" ht="14.4" customHeight="1" x14ac:dyDescent="0.3">
      <c r="A24" s="656" t="s">
        <v>1485</v>
      </c>
      <c r="B24" s="628">
        <v>1078.07</v>
      </c>
      <c r="C24" s="646">
        <v>9.3333333333333324E-2</v>
      </c>
      <c r="D24" s="628">
        <v>10472.68</v>
      </c>
      <c r="E24" s="646">
        <v>0.90666666666666673</v>
      </c>
      <c r="F24" s="629">
        <v>11550.75</v>
      </c>
    </row>
    <row r="25" spans="1:6" ht="14.4" customHeight="1" x14ac:dyDescent="0.3">
      <c r="A25" s="718" t="s">
        <v>1467</v>
      </c>
      <c r="B25" s="711">
        <v>966.3</v>
      </c>
      <c r="C25" s="701">
        <v>7.462715384252995E-2</v>
      </c>
      <c r="D25" s="711">
        <v>11982.070000000007</v>
      </c>
      <c r="E25" s="701">
        <v>0.92537284615747006</v>
      </c>
      <c r="F25" s="712">
        <v>12948.370000000006</v>
      </c>
    </row>
    <row r="26" spans="1:6" ht="14.4" customHeight="1" x14ac:dyDescent="0.3">
      <c r="A26" s="718" t="s">
        <v>1487</v>
      </c>
      <c r="B26" s="711">
        <v>908.18999999999994</v>
      </c>
      <c r="C26" s="701">
        <v>0.59091175264976281</v>
      </c>
      <c r="D26" s="711">
        <v>628.74</v>
      </c>
      <c r="E26" s="701">
        <v>0.40908824735023719</v>
      </c>
      <c r="F26" s="712">
        <v>1536.9299999999998</v>
      </c>
    </row>
    <row r="27" spans="1:6" ht="14.4" customHeight="1" x14ac:dyDescent="0.3">
      <c r="A27" s="718" t="s">
        <v>1500</v>
      </c>
      <c r="B27" s="711">
        <v>666.62</v>
      </c>
      <c r="C27" s="701">
        <v>7.8563507131905158E-2</v>
      </c>
      <c r="D27" s="711">
        <v>7818.4900000000016</v>
      </c>
      <c r="E27" s="701">
        <v>0.9214364928680947</v>
      </c>
      <c r="F27" s="712">
        <v>8485.1100000000024</v>
      </c>
    </row>
    <row r="28" spans="1:6" ht="14.4" customHeight="1" x14ac:dyDescent="0.3">
      <c r="A28" s="718" t="s">
        <v>2239</v>
      </c>
      <c r="B28" s="711">
        <v>547.16999999999996</v>
      </c>
      <c r="C28" s="701">
        <v>1</v>
      </c>
      <c r="D28" s="711"/>
      <c r="E28" s="701">
        <v>0</v>
      </c>
      <c r="F28" s="712">
        <v>547.16999999999996</v>
      </c>
    </row>
    <row r="29" spans="1:6" ht="14.4" customHeight="1" x14ac:dyDescent="0.3">
      <c r="A29" s="718" t="s">
        <v>1477</v>
      </c>
      <c r="B29" s="711">
        <v>523.89</v>
      </c>
      <c r="C29" s="701">
        <v>0.23598542348908341</v>
      </c>
      <c r="D29" s="711">
        <v>1696.12</v>
      </c>
      <c r="E29" s="701">
        <v>0.76401457651091664</v>
      </c>
      <c r="F29" s="712">
        <v>2220.0099999999998</v>
      </c>
    </row>
    <row r="30" spans="1:6" ht="14.4" customHeight="1" x14ac:dyDescent="0.3">
      <c r="A30" s="718" t="s">
        <v>2240</v>
      </c>
      <c r="B30" s="711">
        <v>459.14</v>
      </c>
      <c r="C30" s="701">
        <v>1</v>
      </c>
      <c r="D30" s="711"/>
      <c r="E30" s="701">
        <v>0</v>
      </c>
      <c r="F30" s="712">
        <v>459.14</v>
      </c>
    </row>
    <row r="31" spans="1:6" ht="14.4" customHeight="1" x14ac:dyDescent="0.3">
      <c r="A31" s="718" t="s">
        <v>2241</v>
      </c>
      <c r="B31" s="711">
        <v>164.93</v>
      </c>
      <c r="C31" s="701">
        <v>0.47807182816893246</v>
      </c>
      <c r="D31" s="711">
        <v>180.06</v>
      </c>
      <c r="E31" s="701">
        <v>0.52192817183106754</v>
      </c>
      <c r="F31" s="712">
        <v>344.99</v>
      </c>
    </row>
    <row r="32" spans="1:6" ht="14.4" customHeight="1" x14ac:dyDescent="0.3">
      <c r="A32" s="718" t="s">
        <v>1488</v>
      </c>
      <c r="B32" s="711">
        <v>100.63</v>
      </c>
      <c r="C32" s="701">
        <v>1</v>
      </c>
      <c r="D32" s="711"/>
      <c r="E32" s="701">
        <v>0</v>
      </c>
      <c r="F32" s="712">
        <v>100.63</v>
      </c>
    </row>
    <row r="33" spans="1:6" ht="14.4" customHeight="1" x14ac:dyDescent="0.3">
      <c r="A33" s="718" t="s">
        <v>2242</v>
      </c>
      <c r="B33" s="711">
        <v>56.01</v>
      </c>
      <c r="C33" s="701">
        <v>0.28570699857172005</v>
      </c>
      <c r="D33" s="711">
        <v>140.03</v>
      </c>
      <c r="E33" s="701">
        <v>0.71429300142828001</v>
      </c>
      <c r="F33" s="712">
        <v>196.04</v>
      </c>
    </row>
    <row r="34" spans="1:6" ht="14.4" customHeight="1" x14ac:dyDescent="0.3">
      <c r="A34" s="718" t="s">
        <v>2243</v>
      </c>
      <c r="B34" s="711">
        <v>42.18</v>
      </c>
      <c r="C34" s="701">
        <v>1</v>
      </c>
      <c r="D34" s="711"/>
      <c r="E34" s="701">
        <v>0</v>
      </c>
      <c r="F34" s="712">
        <v>42.18</v>
      </c>
    </row>
    <row r="35" spans="1:6" ht="14.4" customHeight="1" x14ac:dyDescent="0.3">
      <c r="A35" s="718" t="s">
        <v>1481</v>
      </c>
      <c r="B35" s="711"/>
      <c r="C35" s="701">
        <v>0</v>
      </c>
      <c r="D35" s="711">
        <v>189.6</v>
      </c>
      <c r="E35" s="701">
        <v>1</v>
      </c>
      <c r="F35" s="712">
        <v>189.6</v>
      </c>
    </row>
    <row r="36" spans="1:6" ht="14.4" customHeight="1" x14ac:dyDescent="0.3">
      <c r="A36" s="718" t="s">
        <v>2244</v>
      </c>
      <c r="B36" s="711"/>
      <c r="C36" s="701">
        <v>0</v>
      </c>
      <c r="D36" s="711">
        <v>2254.6899999999996</v>
      </c>
      <c r="E36" s="701">
        <v>1</v>
      </c>
      <c r="F36" s="712">
        <v>2254.6899999999996</v>
      </c>
    </row>
    <row r="37" spans="1:6" ht="14.4" customHeight="1" x14ac:dyDescent="0.3">
      <c r="A37" s="718" t="s">
        <v>2245</v>
      </c>
      <c r="B37" s="711"/>
      <c r="C37" s="701">
        <v>0</v>
      </c>
      <c r="D37" s="711">
        <v>413.22</v>
      </c>
      <c r="E37" s="701">
        <v>1</v>
      </c>
      <c r="F37" s="712">
        <v>413.22</v>
      </c>
    </row>
    <row r="38" spans="1:6" ht="14.4" customHeight="1" x14ac:dyDescent="0.3">
      <c r="A38" s="718" t="s">
        <v>1504</v>
      </c>
      <c r="B38" s="711">
        <v>0</v>
      </c>
      <c r="C38" s="701">
        <v>0</v>
      </c>
      <c r="D38" s="711">
        <v>921.1</v>
      </c>
      <c r="E38" s="701">
        <v>1</v>
      </c>
      <c r="F38" s="712">
        <v>921.1</v>
      </c>
    </row>
    <row r="39" spans="1:6" ht="14.4" customHeight="1" x14ac:dyDescent="0.3">
      <c r="A39" s="718" t="s">
        <v>2246</v>
      </c>
      <c r="B39" s="711"/>
      <c r="C39" s="701">
        <v>0</v>
      </c>
      <c r="D39" s="711">
        <v>404.49</v>
      </c>
      <c r="E39" s="701">
        <v>1</v>
      </c>
      <c r="F39" s="712">
        <v>404.49</v>
      </c>
    </row>
    <row r="40" spans="1:6" ht="14.4" customHeight="1" x14ac:dyDescent="0.3">
      <c r="A40" s="718" t="s">
        <v>1478</v>
      </c>
      <c r="B40" s="711"/>
      <c r="C40" s="701">
        <v>0</v>
      </c>
      <c r="D40" s="711">
        <v>347244.61999999994</v>
      </c>
      <c r="E40" s="701">
        <v>1</v>
      </c>
      <c r="F40" s="712">
        <v>347244.61999999994</v>
      </c>
    </row>
    <row r="41" spans="1:6" ht="14.4" customHeight="1" x14ac:dyDescent="0.3">
      <c r="A41" s="718" t="s">
        <v>1468</v>
      </c>
      <c r="B41" s="711"/>
      <c r="C41" s="701">
        <v>0</v>
      </c>
      <c r="D41" s="711">
        <v>349.3</v>
      </c>
      <c r="E41" s="701">
        <v>1</v>
      </c>
      <c r="F41" s="712">
        <v>349.3</v>
      </c>
    </row>
    <row r="42" spans="1:6" ht="14.4" customHeight="1" x14ac:dyDescent="0.3">
      <c r="A42" s="718" t="s">
        <v>1479</v>
      </c>
      <c r="B42" s="711">
        <v>0</v>
      </c>
      <c r="C42" s="701"/>
      <c r="D42" s="711"/>
      <c r="E42" s="701"/>
      <c r="F42" s="712">
        <v>0</v>
      </c>
    </row>
    <row r="43" spans="1:6" ht="14.4" customHeight="1" x14ac:dyDescent="0.3">
      <c r="A43" s="718" t="s">
        <v>1486</v>
      </c>
      <c r="B43" s="711"/>
      <c r="C43" s="701">
        <v>0</v>
      </c>
      <c r="D43" s="711">
        <v>74.87</v>
      </c>
      <c r="E43" s="701">
        <v>1</v>
      </c>
      <c r="F43" s="712">
        <v>74.87</v>
      </c>
    </row>
    <row r="44" spans="1:6" ht="14.4" customHeight="1" x14ac:dyDescent="0.3">
      <c r="A44" s="718" t="s">
        <v>1476</v>
      </c>
      <c r="B44" s="711"/>
      <c r="C44" s="701">
        <v>0</v>
      </c>
      <c r="D44" s="711">
        <v>193.14</v>
      </c>
      <c r="E44" s="701">
        <v>1</v>
      </c>
      <c r="F44" s="712">
        <v>193.14</v>
      </c>
    </row>
    <row r="45" spans="1:6" ht="14.4" customHeight="1" x14ac:dyDescent="0.3">
      <c r="A45" s="718" t="s">
        <v>1489</v>
      </c>
      <c r="B45" s="711">
        <v>0</v>
      </c>
      <c r="C45" s="701">
        <v>0</v>
      </c>
      <c r="D45" s="711">
        <v>12850.29</v>
      </c>
      <c r="E45" s="701">
        <v>1</v>
      </c>
      <c r="F45" s="712">
        <v>12850.29</v>
      </c>
    </row>
    <row r="46" spans="1:6" ht="14.4" customHeight="1" x14ac:dyDescent="0.3">
      <c r="A46" s="718" t="s">
        <v>2247</v>
      </c>
      <c r="B46" s="711"/>
      <c r="C46" s="701">
        <v>0</v>
      </c>
      <c r="D46" s="711">
        <v>77.209999999999994</v>
      </c>
      <c r="E46" s="701">
        <v>1</v>
      </c>
      <c r="F46" s="712">
        <v>77.209999999999994</v>
      </c>
    </row>
    <row r="47" spans="1:6" ht="14.4" customHeight="1" thickBot="1" x14ac:dyDescent="0.35">
      <c r="A47" s="719" t="s">
        <v>1473</v>
      </c>
      <c r="B47" s="715"/>
      <c r="C47" s="716">
        <v>0</v>
      </c>
      <c r="D47" s="715">
        <v>116.8</v>
      </c>
      <c r="E47" s="716">
        <v>1</v>
      </c>
      <c r="F47" s="717">
        <v>116.8</v>
      </c>
    </row>
    <row r="48" spans="1:6" ht="14.4" customHeight="1" thickBot="1" x14ac:dyDescent="0.35">
      <c r="A48" s="652" t="s">
        <v>3</v>
      </c>
      <c r="B48" s="653">
        <v>5513.13</v>
      </c>
      <c r="C48" s="654">
        <v>1.3662572163283348E-2</v>
      </c>
      <c r="D48" s="653">
        <v>398007.51999999979</v>
      </c>
      <c r="E48" s="654">
        <v>0.98633742783671663</v>
      </c>
      <c r="F48" s="655">
        <v>403520.64999999979</v>
      </c>
    </row>
  </sheetData>
  <mergeCells count="3">
    <mergeCell ref="A1:F1"/>
    <mergeCell ref="B3:C3"/>
    <mergeCell ref="D3:E3"/>
  </mergeCells>
  <conditionalFormatting sqref="C5:C1048576">
    <cfRule type="cellIs" dxfId="37" priority="12" stopIfTrue="1" operator="greaterThan">
      <formula>0.2</formula>
    </cfRule>
  </conditionalFormatting>
  <conditionalFormatting sqref="F5:F2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{4677A555-6FC6-4FC2-9FA7-387E15912215}</x14:id>
        </ext>
      </extLst>
    </cfRule>
  </conditionalFormatting>
  <conditionalFormatting sqref="F24:F4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{4EC3E802-9CE5-4E8F-950A-D037DFEF540A}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677A555-6FC6-4FC2-9FA7-387E1591221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F5:F21</xm:sqref>
        </x14:conditionalFormatting>
        <x14:conditionalFormatting xmlns:xm="http://schemas.microsoft.com/office/excel/2006/main">
          <x14:cfRule type="dataBar" id="{4EC3E802-9CE5-4E8F-950A-D037DFEF540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F24:F47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5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7" customWidth="1"/>
    <col min="2" max="2" width="8.88671875" style="257" bestFit="1" customWidth="1"/>
    <col min="3" max="3" width="7" style="257" bestFit="1" customWidth="1"/>
    <col min="4" max="5" width="22.21875" style="257" customWidth="1"/>
    <col min="6" max="6" width="6.6640625" style="340" customWidth="1"/>
    <col min="7" max="7" width="10" style="340" customWidth="1"/>
    <col min="8" max="8" width="6.77734375" style="343" customWidth="1"/>
    <col min="9" max="9" width="6.6640625" style="340" customWidth="1"/>
    <col min="10" max="10" width="10" style="340" customWidth="1"/>
    <col min="11" max="11" width="6.77734375" style="343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2257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65</v>
      </c>
      <c r="G3" s="47">
        <f>SUBTOTAL(9,G6:G1048576)</f>
        <v>5513.13</v>
      </c>
      <c r="H3" s="48">
        <f>IF(M3=0,0,G3/M3)</f>
        <v>1.3662572163283336E-2</v>
      </c>
      <c r="I3" s="47">
        <f>SUBTOTAL(9,I6:I1048576)</f>
        <v>801</v>
      </c>
      <c r="J3" s="47">
        <f>SUBTOTAL(9,J6:J1048576)</f>
        <v>398007.52</v>
      </c>
      <c r="K3" s="48">
        <f>IF(M3=0,0,J3/M3)</f>
        <v>0.98633742783671641</v>
      </c>
      <c r="L3" s="47">
        <f>SUBTOTAL(9,L6:L1048576)</f>
        <v>866</v>
      </c>
      <c r="M3" s="49">
        <f>SUBTOTAL(9,M6:M1048576)</f>
        <v>403520.65000000014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2" t="s">
        <v>168</v>
      </c>
      <c r="B5" s="660" t="s">
        <v>164</v>
      </c>
      <c r="C5" s="660" t="s">
        <v>90</v>
      </c>
      <c r="D5" s="660" t="s">
        <v>165</v>
      </c>
      <c r="E5" s="660" t="s">
        <v>166</v>
      </c>
      <c r="F5" s="661" t="s">
        <v>28</v>
      </c>
      <c r="G5" s="661" t="s">
        <v>14</v>
      </c>
      <c r="H5" s="644" t="s">
        <v>167</v>
      </c>
      <c r="I5" s="643" t="s">
        <v>28</v>
      </c>
      <c r="J5" s="661" t="s">
        <v>14</v>
      </c>
      <c r="K5" s="644" t="s">
        <v>167</v>
      </c>
      <c r="L5" s="643" t="s">
        <v>28</v>
      </c>
      <c r="M5" s="662" t="s">
        <v>14</v>
      </c>
    </row>
    <row r="6" spans="1:13" ht="14.4" customHeight="1" x14ac:dyDescent="0.3">
      <c r="A6" s="624" t="s">
        <v>1597</v>
      </c>
      <c r="B6" s="625" t="s">
        <v>1512</v>
      </c>
      <c r="C6" s="625" t="s">
        <v>1367</v>
      </c>
      <c r="D6" s="625" t="s">
        <v>1317</v>
      </c>
      <c r="E6" s="625" t="s">
        <v>1368</v>
      </c>
      <c r="F6" s="628"/>
      <c r="G6" s="628"/>
      <c r="H6" s="646">
        <v>0</v>
      </c>
      <c r="I6" s="628">
        <v>2</v>
      </c>
      <c r="J6" s="628">
        <v>1250.58</v>
      </c>
      <c r="K6" s="646">
        <v>1</v>
      </c>
      <c r="L6" s="628">
        <v>2</v>
      </c>
      <c r="M6" s="629">
        <v>1250.58</v>
      </c>
    </row>
    <row r="7" spans="1:13" ht="14.4" customHeight="1" x14ac:dyDescent="0.3">
      <c r="A7" s="695" t="s">
        <v>1598</v>
      </c>
      <c r="B7" s="696" t="s">
        <v>1512</v>
      </c>
      <c r="C7" s="696" t="s">
        <v>1316</v>
      </c>
      <c r="D7" s="696" t="s">
        <v>1317</v>
      </c>
      <c r="E7" s="696" t="s">
        <v>1318</v>
      </c>
      <c r="F7" s="711"/>
      <c r="G7" s="711"/>
      <c r="H7" s="701">
        <v>0</v>
      </c>
      <c r="I7" s="711">
        <v>2</v>
      </c>
      <c r="J7" s="711">
        <v>1875.86</v>
      </c>
      <c r="K7" s="701">
        <v>1</v>
      </c>
      <c r="L7" s="711">
        <v>2</v>
      </c>
      <c r="M7" s="712">
        <v>1875.86</v>
      </c>
    </row>
    <row r="8" spans="1:13" ht="14.4" customHeight="1" x14ac:dyDescent="0.3">
      <c r="A8" s="695" t="s">
        <v>1598</v>
      </c>
      <c r="B8" s="696" t="s">
        <v>1541</v>
      </c>
      <c r="C8" s="696" t="s">
        <v>916</v>
      </c>
      <c r="D8" s="696" t="s">
        <v>917</v>
      </c>
      <c r="E8" s="696" t="s">
        <v>1543</v>
      </c>
      <c r="F8" s="711"/>
      <c r="G8" s="711"/>
      <c r="H8" s="701">
        <v>0</v>
      </c>
      <c r="I8" s="711">
        <v>2</v>
      </c>
      <c r="J8" s="711">
        <v>193.26</v>
      </c>
      <c r="K8" s="701">
        <v>1</v>
      </c>
      <c r="L8" s="711">
        <v>2</v>
      </c>
      <c r="M8" s="712">
        <v>193.26</v>
      </c>
    </row>
    <row r="9" spans="1:13" ht="14.4" customHeight="1" x14ac:dyDescent="0.3">
      <c r="A9" s="695" t="s">
        <v>1599</v>
      </c>
      <c r="B9" s="696" t="s">
        <v>1512</v>
      </c>
      <c r="C9" s="696" t="s">
        <v>1367</v>
      </c>
      <c r="D9" s="696" t="s">
        <v>1317</v>
      </c>
      <c r="E9" s="696" t="s">
        <v>1368</v>
      </c>
      <c r="F9" s="711"/>
      <c r="G9" s="711"/>
      <c r="H9" s="701">
        <v>0</v>
      </c>
      <c r="I9" s="711">
        <v>2</v>
      </c>
      <c r="J9" s="711">
        <v>1250.58</v>
      </c>
      <c r="K9" s="701">
        <v>1</v>
      </c>
      <c r="L9" s="711">
        <v>2</v>
      </c>
      <c r="M9" s="712">
        <v>1250.58</v>
      </c>
    </row>
    <row r="10" spans="1:13" ht="14.4" customHeight="1" x14ac:dyDescent="0.3">
      <c r="A10" s="695" t="s">
        <v>1599</v>
      </c>
      <c r="B10" s="696" t="s">
        <v>1524</v>
      </c>
      <c r="C10" s="696" t="s">
        <v>1832</v>
      </c>
      <c r="D10" s="696" t="s">
        <v>1833</v>
      </c>
      <c r="E10" s="696" t="s">
        <v>1834</v>
      </c>
      <c r="F10" s="711">
        <v>1</v>
      </c>
      <c r="G10" s="711">
        <v>333.31</v>
      </c>
      <c r="H10" s="701">
        <v>1</v>
      </c>
      <c r="I10" s="711"/>
      <c r="J10" s="711"/>
      <c r="K10" s="701">
        <v>0</v>
      </c>
      <c r="L10" s="711">
        <v>1</v>
      </c>
      <c r="M10" s="712">
        <v>333.31</v>
      </c>
    </row>
    <row r="11" spans="1:13" ht="14.4" customHeight="1" x14ac:dyDescent="0.3">
      <c r="A11" s="695" t="s">
        <v>1599</v>
      </c>
      <c r="B11" s="696" t="s">
        <v>1533</v>
      </c>
      <c r="C11" s="696" t="s">
        <v>1045</v>
      </c>
      <c r="D11" s="696" t="s">
        <v>1046</v>
      </c>
      <c r="E11" s="696" t="s">
        <v>1047</v>
      </c>
      <c r="F11" s="711"/>
      <c r="G11" s="711"/>
      <c r="H11" s="701">
        <v>0</v>
      </c>
      <c r="I11" s="711">
        <v>1</v>
      </c>
      <c r="J11" s="711">
        <v>154.01</v>
      </c>
      <c r="K11" s="701">
        <v>1</v>
      </c>
      <c r="L11" s="711">
        <v>1</v>
      </c>
      <c r="M11" s="712">
        <v>154.01</v>
      </c>
    </row>
    <row r="12" spans="1:13" ht="14.4" customHeight="1" x14ac:dyDescent="0.3">
      <c r="A12" s="695" t="s">
        <v>1599</v>
      </c>
      <c r="B12" s="696" t="s">
        <v>1533</v>
      </c>
      <c r="C12" s="696" t="s">
        <v>1835</v>
      </c>
      <c r="D12" s="696" t="s">
        <v>1046</v>
      </c>
      <c r="E12" s="696" t="s">
        <v>1346</v>
      </c>
      <c r="F12" s="711">
        <v>1</v>
      </c>
      <c r="G12" s="711">
        <v>0</v>
      </c>
      <c r="H12" s="701"/>
      <c r="I12" s="711"/>
      <c r="J12" s="711"/>
      <c r="K12" s="701"/>
      <c r="L12" s="711">
        <v>1</v>
      </c>
      <c r="M12" s="712">
        <v>0</v>
      </c>
    </row>
    <row r="13" spans="1:13" ht="14.4" customHeight="1" x14ac:dyDescent="0.3">
      <c r="A13" s="695" t="s">
        <v>1599</v>
      </c>
      <c r="B13" s="696" t="s">
        <v>1533</v>
      </c>
      <c r="C13" s="696" t="s">
        <v>1836</v>
      </c>
      <c r="D13" s="696" t="s">
        <v>1046</v>
      </c>
      <c r="E13" s="696" t="s">
        <v>1047</v>
      </c>
      <c r="F13" s="711">
        <v>1</v>
      </c>
      <c r="G13" s="711">
        <v>154.01</v>
      </c>
      <c r="H13" s="701">
        <v>1</v>
      </c>
      <c r="I13" s="711"/>
      <c r="J13" s="711"/>
      <c r="K13" s="701">
        <v>0</v>
      </c>
      <c r="L13" s="711">
        <v>1</v>
      </c>
      <c r="M13" s="712">
        <v>154.01</v>
      </c>
    </row>
    <row r="14" spans="1:13" ht="14.4" customHeight="1" x14ac:dyDescent="0.3">
      <c r="A14" s="695" t="s">
        <v>1600</v>
      </c>
      <c r="B14" s="696" t="s">
        <v>1512</v>
      </c>
      <c r="C14" s="696" t="s">
        <v>1367</v>
      </c>
      <c r="D14" s="696" t="s">
        <v>1317</v>
      </c>
      <c r="E14" s="696" t="s">
        <v>1368</v>
      </c>
      <c r="F14" s="711"/>
      <c r="G14" s="711"/>
      <c r="H14" s="701">
        <v>0</v>
      </c>
      <c r="I14" s="711">
        <v>95</v>
      </c>
      <c r="J14" s="711">
        <v>59402.550000000017</v>
      </c>
      <c r="K14" s="701">
        <v>1</v>
      </c>
      <c r="L14" s="711">
        <v>95</v>
      </c>
      <c r="M14" s="712">
        <v>59402.550000000017</v>
      </c>
    </row>
    <row r="15" spans="1:13" ht="14.4" customHeight="1" x14ac:dyDescent="0.3">
      <c r="A15" s="695" t="s">
        <v>1600</v>
      </c>
      <c r="B15" s="696" t="s">
        <v>1512</v>
      </c>
      <c r="C15" s="696" t="s">
        <v>1646</v>
      </c>
      <c r="D15" s="696" t="s">
        <v>1317</v>
      </c>
      <c r="E15" s="696" t="s">
        <v>1647</v>
      </c>
      <c r="F15" s="711"/>
      <c r="G15" s="711"/>
      <c r="H15" s="701">
        <v>0</v>
      </c>
      <c r="I15" s="711">
        <v>3</v>
      </c>
      <c r="J15" s="711">
        <v>562.77</v>
      </c>
      <c r="K15" s="701">
        <v>1</v>
      </c>
      <c r="L15" s="711">
        <v>3</v>
      </c>
      <c r="M15" s="712">
        <v>562.77</v>
      </c>
    </row>
    <row r="16" spans="1:13" ht="14.4" customHeight="1" x14ac:dyDescent="0.3">
      <c r="A16" s="695" t="s">
        <v>1600</v>
      </c>
      <c r="B16" s="696" t="s">
        <v>1512</v>
      </c>
      <c r="C16" s="696" t="s">
        <v>1316</v>
      </c>
      <c r="D16" s="696" t="s">
        <v>1317</v>
      </c>
      <c r="E16" s="696" t="s">
        <v>1318</v>
      </c>
      <c r="F16" s="711"/>
      <c r="G16" s="711"/>
      <c r="H16" s="701">
        <v>0</v>
      </c>
      <c r="I16" s="711">
        <v>5</v>
      </c>
      <c r="J16" s="711">
        <v>4689.6499999999996</v>
      </c>
      <c r="K16" s="701">
        <v>1</v>
      </c>
      <c r="L16" s="711">
        <v>5</v>
      </c>
      <c r="M16" s="712">
        <v>4689.6499999999996</v>
      </c>
    </row>
    <row r="17" spans="1:13" ht="14.4" customHeight="1" x14ac:dyDescent="0.3">
      <c r="A17" s="695" t="s">
        <v>1600</v>
      </c>
      <c r="B17" s="696" t="s">
        <v>1512</v>
      </c>
      <c r="C17" s="696" t="s">
        <v>1648</v>
      </c>
      <c r="D17" s="696" t="s">
        <v>1649</v>
      </c>
      <c r="E17" s="696" t="s">
        <v>1650</v>
      </c>
      <c r="F17" s="711"/>
      <c r="G17" s="711"/>
      <c r="H17" s="701">
        <v>0</v>
      </c>
      <c r="I17" s="711">
        <v>1</v>
      </c>
      <c r="J17" s="711">
        <v>2916.16</v>
      </c>
      <c r="K17" s="701">
        <v>1</v>
      </c>
      <c r="L17" s="711">
        <v>1</v>
      </c>
      <c r="M17" s="712">
        <v>2916.16</v>
      </c>
    </row>
    <row r="18" spans="1:13" ht="14.4" customHeight="1" x14ac:dyDescent="0.3">
      <c r="A18" s="695" t="s">
        <v>1600</v>
      </c>
      <c r="B18" s="696" t="s">
        <v>2248</v>
      </c>
      <c r="C18" s="696" t="s">
        <v>1853</v>
      </c>
      <c r="D18" s="696" t="s">
        <v>1854</v>
      </c>
      <c r="E18" s="696" t="s">
        <v>736</v>
      </c>
      <c r="F18" s="711">
        <v>3</v>
      </c>
      <c r="G18" s="711">
        <v>0</v>
      </c>
      <c r="H18" s="701"/>
      <c r="I18" s="711"/>
      <c r="J18" s="711"/>
      <c r="K18" s="701"/>
      <c r="L18" s="711">
        <v>3</v>
      </c>
      <c r="M18" s="712">
        <v>0</v>
      </c>
    </row>
    <row r="19" spans="1:13" ht="14.4" customHeight="1" x14ac:dyDescent="0.3">
      <c r="A19" s="695" t="s">
        <v>1600</v>
      </c>
      <c r="B19" s="696" t="s">
        <v>2248</v>
      </c>
      <c r="C19" s="696" t="s">
        <v>1855</v>
      </c>
      <c r="D19" s="696" t="s">
        <v>1854</v>
      </c>
      <c r="E19" s="696" t="s">
        <v>1856</v>
      </c>
      <c r="F19" s="711">
        <v>1</v>
      </c>
      <c r="G19" s="711">
        <v>42.18</v>
      </c>
      <c r="H19" s="701">
        <v>1</v>
      </c>
      <c r="I19" s="711"/>
      <c r="J19" s="711"/>
      <c r="K19" s="701">
        <v>0</v>
      </c>
      <c r="L19" s="711">
        <v>1</v>
      </c>
      <c r="M19" s="712">
        <v>42.18</v>
      </c>
    </row>
    <row r="20" spans="1:13" ht="14.4" customHeight="1" x14ac:dyDescent="0.3">
      <c r="A20" s="695" t="s">
        <v>1600</v>
      </c>
      <c r="B20" s="696" t="s">
        <v>2249</v>
      </c>
      <c r="C20" s="696" t="s">
        <v>1838</v>
      </c>
      <c r="D20" s="696" t="s">
        <v>1839</v>
      </c>
      <c r="E20" s="696" t="s">
        <v>1840</v>
      </c>
      <c r="F20" s="711"/>
      <c r="G20" s="711"/>
      <c r="H20" s="701">
        <v>0</v>
      </c>
      <c r="I20" s="711">
        <v>3</v>
      </c>
      <c r="J20" s="711">
        <v>180.06</v>
      </c>
      <c r="K20" s="701">
        <v>1</v>
      </c>
      <c r="L20" s="711">
        <v>3</v>
      </c>
      <c r="M20" s="712">
        <v>180.06</v>
      </c>
    </row>
    <row r="21" spans="1:13" ht="14.4" customHeight="1" x14ac:dyDescent="0.3">
      <c r="A21" s="695" t="s">
        <v>1600</v>
      </c>
      <c r="B21" s="696" t="s">
        <v>2250</v>
      </c>
      <c r="C21" s="696" t="s">
        <v>1876</v>
      </c>
      <c r="D21" s="696" t="s">
        <v>1877</v>
      </c>
      <c r="E21" s="696" t="s">
        <v>1878</v>
      </c>
      <c r="F21" s="711"/>
      <c r="G21" s="711"/>
      <c r="H21" s="701">
        <v>0</v>
      </c>
      <c r="I21" s="711">
        <v>3</v>
      </c>
      <c r="J21" s="711">
        <v>404.49</v>
      </c>
      <c r="K21" s="701">
        <v>1</v>
      </c>
      <c r="L21" s="711">
        <v>3</v>
      </c>
      <c r="M21" s="712">
        <v>404.49</v>
      </c>
    </row>
    <row r="22" spans="1:13" ht="14.4" customHeight="1" x14ac:dyDescent="0.3">
      <c r="A22" s="695" t="s">
        <v>1600</v>
      </c>
      <c r="B22" s="696" t="s">
        <v>1524</v>
      </c>
      <c r="C22" s="696" t="s">
        <v>1019</v>
      </c>
      <c r="D22" s="696" t="s">
        <v>1525</v>
      </c>
      <c r="E22" s="696" t="s">
        <v>1526</v>
      </c>
      <c r="F22" s="711"/>
      <c r="G22" s="711"/>
      <c r="H22" s="701">
        <v>0</v>
      </c>
      <c r="I22" s="711">
        <v>2</v>
      </c>
      <c r="J22" s="711">
        <v>666.62</v>
      </c>
      <c r="K22" s="701">
        <v>1</v>
      </c>
      <c r="L22" s="711">
        <v>2</v>
      </c>
      <c r="M22" s="712">
        <v>666.62</v>
      </c>
    </row>
    <row r="23" spans="1:13" ht="14.4" customHeight="1" x14ac:dyDescent="0.3">
      <c r="A23" s="695" t="s">
        <v>1600</v>
      </c>
      <c r="B23" s="696" t="s">
        <v>1524</v>
      </c>
      <c r="C23" s="696" t="s">
        <v>1041</v>
      </c>
      <c r="D23" s="696" t="s">
        <v>1529</v>
      </c>
      <c r="E23" s="696" t="s">
        <v>1530</v>
      </c>
      <c r="F23" s="711"/>
      <c r="G23" s="711"/>
      <c r="H23" s="701">
        <v>0</v>
      </c>
      <c r="I23" s="711">
        <v>1</v>
      </c>
      <c r="J23" s="711">
        <v>333.31</v>
      </c>
      <c r="K23" s="701">
        <v>1</v>
      </c>
      <c r="L23" s="711">
        <v>1</v>
      </c>
      <c r="M23" s="712">
        <v>333.31</v>
      </c>
    </row>
    <row r="24" spans="1:13" ht="14.4" customHeight="1" x14ac:dyDescent="0.3">
      <c r="A24" s="695" t="s">
        <v>1600</v>
      </c>
      <c r="B24" s="696" t="s">
        <v>1558</v>
      </c>
      <c r="C24" s="696" t="s">
        <v>1625</v>
      </c>
      <c r="D24" s="696" t="s">
        <v>1418</v>
      </c>
      <c r="E24" s="696" t="s">
        <v>1626</v>
      </c>
      <c r="F24" s="711">
        <v>2</v>
      </c>
      <c r="G24" s="711">
        <v>0</v>
      </c>
      <c r="H24" s="701"/>
      <c r="I24" s="711"/>
      <c r="J24" s="711"/>
      <c r="K24" s="701"/>
      <c r="L24" s="711">
        <v>2</v>
      </c>
      <c r="M24" s="712">
        <v>0</v>
      </c>
    </row>
    <row r="25" spans="1:13" ht="14.4" customHeight="1" x14ac:dyDescent="0.3">
      <c r="A25" s="695" t="s">
        <v>1600</v>
      </c>
      <c r="B25" s="696" t="s">
        <v>1533</v>
      </c>
      <c r="C25" s="696" t="s">
        <v>1045</v>
      </c>
      <c r="D25" s="696" t="s">
        <v>1046</v>
      </c>
      <c r="E25" s="696" t="s">
        <v>1047</v>
      </c>
      <c r="F25" s="711"/>
      <c r="G25" s="711"/>
      <c r="H25" s="701">
        <v>0</v>
      </c>
      <c r="I25" s="711">
        <v>9</v>
      </c>
      <c r="J25" s="711">
        <v>1386.09</v>
      </c>
      <c r="K25" s="701">
        <v>1</v>
      </c>
      <c r="L25" s="711">
        <v>9</v>
      </c>
      <c r="M25" s="712">
        <v>1386.09</v>
      </c>
    </row>
    <row r="26" spans="1:13" ht="14.4" customHeight="1" x14ac:dyDescent="0.3">
      <c r="A26" s="695" t="s">
        <v>1600</v>
      </c>
      <c r="B26" s="696" t="s">
        <v>1533</v>
      </c>
      <c r="C26" s="696" t="s">
        <v>1836</v>
      </c>
      <c r="D26" s="696" t="s">
        <v>1046</v>
      </c>
      <c r="E26" s="696" t="s">
        <v>1047</v>
      </c>
      <c r="F26" s="711">
        <v>3</v>
      </c>
      <c r="G26" s="711">
        <v>462.03</v>
      </c>
      <c r="H26" s="701">
        <v>1</v>
      </c>
      <c r="I26" s="711"/>
      <c r="J26" s="711"/>
      <c r="K26" s="701">
        <v>0</v>
      </c>
      <c r="L26" s="711">
        <v>3</v>
      </c>
      <c r="M26" s="712">
        <v>462.03</v>
      </c>
    </row>
    <row r="27" spans="1:13" ht="14.4" customHeight="1" x14ac:dyDescent="0.3">
      <c r="A27" s="695" t="s">
        <v>1600</v>
      </c>
      <c r="B27" s="696" t="s">
        <v>1536</v>
      </c>
      <c r="C27" s="696" t="s">
        <v>1628</v>
      </c>
      <c r="D27" s="696" t="s">
        <v>1629</v>
      </c>
      <c r="E27" s="696" t="s">
        <v>1537</v>
      </c>
      <c r="F27" s="711">
        <v>1</v>
      </c>
      <c r="G27" s="711">
        <v>69.86</v>
      </c>
      <c r="H27" s="701">
        <v>1</v>
      </c>
      <c r="I27" s="711"/>
      <c r="J27" s="711"/>
      <c r="K27" s="701">
        <v>0</v>
      </c>
      <c r="L27" s="711">
        <v>1</v>
      </c>
      <c r="M27" s="712">
        <v>69.86</v>
      </c>
    </row>
    <row r="28" spans="1:13" ht="14.4" customHeight="1" x14ac:dyDescent="0.3">
      <c r="A28" s="695" t="s">
        <v>1600</v>
      </c>
      <c r="B28" s="696" t="s">
        <v>1536</v>
      </c>
      <c r="C28" s="696" t="s">
        <v>1630</v>
      </c>
      <c r="D28" s="696" t="s">
        <v>1629</v>
      </c>
      <c r="E28" s="696" t="s">
        <v>1631</v>
      </c>
      <c r="F28" s="711">
        <v>1</v>
      </c>
      <c r="G28" s="711">
        <v>349.29</v>
      </c>
      <c r="H28" s="701">
        <v>1</v>
      </c>
      <c r="I28" s="711"/>
      <c r="J28" s="711"/>
      <c r="K28" s="701">
        <v>0</v>
      </c>
      <c r="L28" s="711">
        <v>1</v>
      </c>
      <c r="M28" s="712">
        <v>349.29</v>
      </c>
    </row>
    <row r="29" spans="1:13" ht="14.4" customHeight="1" x14ac:dyDescent="0.3">
      <c r="A29" s="695" t="s">
        <v>1600</v>
      </c>
      <c r="B29" s="696" t="s">
        <v>2251</v>
      </c>
      <c r="C29" s="696" t="s">
        <v>1880</v>
      </c>
      <c r="D29" s="696" t="s">
        <v>1881</v>
      </c>
      <c r="E29" s="696" t="s">
        <v>1878</v>
      </c>
      <c r="F29" s="711"/>
      <c r="G29" s="711"/>
      <c r="H29" s="701">
        <v>0</v>
      </c>
      <c r="I29" s="711">
        <v>1</v>
      </c>
      <c r="J29" s="711">
        <v>77.209999999999994</v>
      </c>
      <c r="K29" s="701">
        <v>1</v>
      </c>
      <c r="L29" s="711">
        <v>1</v>
      </c>
      <c r="M29" s="712">
        <v>77.209999999999994</v>
      </c>
    </row>
    <row r="30" spans="1:13" ht="14.4" customHeight="1" x14ac:dyDescent="0.3">
      <c r="A30" s="695" t="s">
        <v>1600</v>
      </c>
      <c r="B30" s="696" t="s">
        <v>2252</v>
      </c>
      <c r="C30" s="696" t="s">
        <v>1864</v>
      </c>
      <c r="D30" s="696" t="s">
        <v>1865</v>
      </c>
      <c r="E30" s="696" t="s">
        <v>1866</v>
      </c>
      <c r="F30" s="711"/>
      <c r="G30" s="711"/>
      <c r="H30" s="701">
        <v>0</v>
      </c>
      <c r="I30" s="711">
        <v>9</v>
      </c>
      <c r="J30" s="711">
        <v>1739.34</v>
      </c>
      <c r="K30" s="701">
        <v>1</v>
      </c>
      <c r="L30" s="711">
        <v>9</v>
      </c>
      <c r="M30" s="712">
        <v>1739.34</v>
      </c>
    </row>
    <row r="31" spans="1:13" ht="14.4" customHeight="1" x14ac:dyDescent="0.3">
      <c r="A31" s="695" t="s">
        <v>1600</v>
      </c>
      <c r="B31" s="696" t="s">
        <v>2252</v>
      </c>
      <c r="C31" s="696" t="s">
        <v>1867</v>
      </c>
      <c r="D31" s="696" t="s">
        <v>1865</v>
      </c>
      <c r="E31" s="696" t="s">
        <v>1868</v>
      </c>
      <c r="F31" s="711"/>
      <c r="G31" s="711"/>
      <c r="H31" s="701">
        <v>0</v>
      </c>
      <c r="I31" s="711">
        <v>1</v>
      </c>
      <c r="J31" s="711">
        <v>128.84</v>
      </c>
      <c r="K31" s="701">
        <v>1</v>
      </c>
      <c r="L31" s="711">
        <v>1</v>
      </c>
      <c r="M31" s="712">
        <v>128.84</v>
      </c>
    </row>
    <row r="32" spans="1:13" ht="14.4" customHeight="1" x14ac:dyDescent="0.3">
      <c r="A32" s="695" t="s">
        <v>1600</v>
      </c>
      <c r="B32" s="696" t="s">
        <v>1541</v>
      </c>
      <c r="C32" s="696" t="s">
        <v>944</v>
      </c>
      <c r="D32" s="696" t="s">
        <v>917</v>
      </c>
      <c r="E32" s="696" t="s">
        <v>1542</v>
      </c>
      <c r="F32" s="711"/>
      <c r="G32" s="711"/>
      <c r="H32" s="701">
        <v>0</v>
      </c>
      <c r="I32" s="711">
        <v>2</v>
      </c>
      <c r="J32" s="711">
        <v>96.62</v>
      </c>
      <c r="K32" s="701">
        <v>1</v>
      </c>
      <c r="L32" s="711">
        <v>2</v>
      </c>
      <c r="M32" s="712">
        <v>96.62</v>
      </c>
    </row>
    <row r="33" spans="1:13" ht="14.4" customHeight="1" x14ac:dyDescent="0.3">
      <c r="A33" s="695" t="s">
        <v>1600</v>
      </c>
      <c r="B33" s="696" t="s">
        <v>1541</v>
      </c>
      <c r="C33" s="696" t="s">
        <v>916</v>
      </c>
      <c r="D33" s="696" t="s">
        <v>917</v>
      </c>
      <c r="E33" s="696" t="s">
        <v>1543</v>
      </c>
      <c r="F33" s="711"/>
      <c r="G33" s="711"/>
      <c r="H33" s="701">
        <v>0</v>
      </c>
      <c r="I33" s="711">
        <v>41</v>
      </c>
      <c r="J33" s="711">
        <v>3961.8300000000027</v>
      </c>
      <c r="K33" s="701">
        <v>1</v>
      </c>
      <c r="L33" s="711">
        <v>41</v>
      </c>
      <c r="M33" s="712">
        <v>3961.8300000000027</v>
      </c>
    </row>
    <row r="34" spans="1:13" ht="14.4" customHeight="1" x14ac:dyDescent="0.3">
      <c r="A34" s="695" t="s">
        <v>1600</v>
      </c>
      <c r="B34" s="696" t="s">
        <v>1544</v>
      </c>
      <c r="C34" s="696" t="s">
        <v>1676</v>
      </c>
      <c r="D34" s="696" t="s">
        <v>1677</v>
      </c>
      <c r="E34" s="696" t="s">
        <v>1678</v>
      </c>
      <c r="F34" s="711">
        <v>1</v>
      </c>
      <c r="G34" s="711">
        <v>98.23</v>
      </c>
      <c r="H34" s="701">
        <v>1</v>
      </c>
      <c r="I34" s="711"/>
      <c r="J34" s="711"/>
      <c r="K34" s="701">
        <v>0</v>
      </c>
      <c r="L34" s="711">
        <v>1</v>
      </c>
      <c r="M34" s="712">
        <v>98.23</v>
      </c>
    </row>
    <row r="35" spans="1:13" ht="14.4" customHeight="1" x14ac:dyDescent="0.3">
      <c r="A35" s="695" t="s">
        <v>1600</v>
      </c>
      <c r="B35" s="696" t="s">
        <v>1544</v>
      </c>
      <c r="C35" s="696" t="s">
        <v>1679</v>
      </c>
      <c r="D35" s="696" t="s">
        <v>929</v>
      </c>
      <c r="E35" s="696" t="s">
        <v>1678</v>
      </c>
      <c r="F35" s="711"/>
      <c r="G35" s="711"/>
      <c r="H35" s="701">
        <v>0</v>
      </c>
      <c r="I35" s="711">
        <v>1</v>
      </c>
      <c r="J35" s="711">
        <v>98.23</v>
      </c>
      <c r="K35" s="701">
        <v>1</v>
      </c>
      <c r="L35" s="711">
        <v>1</v>
      </c>
      <c r="M35" s="712">
        <v>98.23</v>
      </c>
    </row>
    <row r="36" spans="1:13" ht="14.4" customHeight="1" x14ac:dyDescent="0.3">
      <c r="A36" s="695" t="s">
        <v>1601</v>
      </c>
      <c r="B36" s="696" t="s">
        <v>1512</v>
      </c>
      <c r="C36" s="696" t="s">
        <v>1367</v>
      </c>
      <c r="D36" s="696" t="s">
        <v>1317</v>
      </c>
      <c r="E36" s="696" t="s">
        <v>1368</v>
      </c>
      <c r="F36" s="711"/>
      <c r="G36" s="711"/>
      <c r="H36" s="701">
        <v>0</v>
      </c>
      <c r="I36" s="711">
        <v>111</v>
      </c>
      <c r="J36" s="711">
        <v>69407.190000000031</v>
      </c>
      <c r="K36" s="701">
        <v>1</v>
      </c>
      <c r="L36" s="711">
        <v>111</v>
      </c>
      <c r="M36" s="712">
        <v>69407.190000000031</v>
      </c>
    </row>
    <row r="37" spans="1:13" ht="14.4" customHeight="1" x14ac:dyDescent="0.3">
      <c r="A37" s="695" t="s">
        <v>1601</v>
      </c>
      <c r="B37" s="696" t="s">
        <v>1512</v>
      </c>
      <c r="C37" s="696" t="s">
        <v>1728</v>
      </c>
      <c r="D37" s="696" t="s">
        <v>1317</v>
      </c>
      <c r="E37" s="696" t="s">
        <v>1729</v>
      </c>
      <c r="F37" s="711"/>
      <c r="G37" s="711"/>
      <c r="H37" s="701">
        <v>0</v>
      </c>
      <c r="I37" s="711">
        <v>1</v>
      </c>
      <c r="J37" s="711">
        <v>1166.47</v>
      </c>
      <c r="K37" s="701">
        <v>1</v>
      </c>
      <c r="L37" s="711">
        <v>1</v>
      </c>
      <c r="M37" s="712">
        <v>1166.47</v>
      </c>
    </row>
    <row r="38" spans="1:13" ht="14.4" customHeight="1" x14ac:dyDescent="0.3">
      <c r="A38" s="695" t="s">
        <v>1601</v>
      </c>
      <c r="B38" s="696" t="s">
        <v>1524</v>
      </c>
      <c r="C38" s="696" t="s">
        <v>1041</v>
      </c>
      <c r="D38" s="696" t="s">
        <v>1529</v>
      </c>
      <c r="E38" s="696" t="s">
        <v>1530</v>
      </c>
      <c r="F38" s="711"/>
      <c r="G38" s="711"/>
      <c r="H38" s="701">
        <v>0</v>
      </c>
      <c r="I38" s="711">
        <v>3</v>
      </c>
      <c r="J38" s="711">
        <v>999.93000000000006</v>
      </c>
      <c r="K38" s="701">
        <v>1</v>
      </c>
      <c r="L38" s="711">
        <v>3</v>
      </c>
      <c r="M38" s="712">
        <v>999.93000000000006</v>
      </c>
    </row>
    <row r="39" spans="1:13" ht="14.4" customHeight="1" x14ac:dyDescent="0.3">
      <c r="A39" s="695" t="s">
        <v>1601</v>
      </c>
      <c r="B39" s="696" t="s">
        <v>1558</v>
      </c>
      <c r="C39" s="696" t="s">
        <v>1625</v>
      </c>
      <c r="D39" s="696" t="s">
        <v>1418</v>
      </c>
      <c r="E39" s="696" t="s">
        <v>1626</v>
      </c>
      <c r="F39" s="711">
        <v>3</v>
      </c>
      <c r="G39" s="711">
        <v>0</v>
      </c>
      <c r="H39" s="701"/>
      <c r="I39" s="711"/>
      <c r="J39" s="711"/>
      <c r="K39" s="701"/>
      <c r="L39" s="711">
        <v>3</v>
      </c>
      <c r="M39" s="712">
        <v>0</v>
      </c>
    </row>
    <row r="40" spans="1:13" ht="14.4" customHeight="1" x14ac:dyDescent="0.3">
      <c r="A40" s="695" t="s">
        <v>1601</v>
      </c>
      <c r="B40" s="696" t="s">
        <v>1533</v>
      </c>
      <c r="C40" s="696" t="s">
        <v>1045</v>
      </c>
      <c r="D40" s="696" t="s">
        <v>1046</v>
      </c>
      <c r="E40" s="696" t="s">
        <v>1047</v>
      </c>
      <c r="F40" s="711"/>
      <c r="G40" s="711"/>
      <c r="H40" s="701">
        <v>0</v>
      </c>
      <c r="I40" s="711">
        <v>7</v>
      </c>
      <c r="J40" s="711">
        <v>1078.07</v>
      </c>
      <c r="K40" s="701">
        <v>1</v>
      </c>
      <c r="L40" s="711">
        <v>7</v>
      </c>
      <c r="M40" s="712">
        <v>1078.07</v>
      </c>
    </row>
    <row r="41" spans="1:13" ht="14.4" customHeight="1" x14ac:dyDescent="0.3">
      <c r="A41" s="695" t="s">
        <v>1601</v>
      </c>
      <c r="B41" s="696" t="s">
        <v>1536</v>
      </c>
      <c r="C41" s="696" t="s">
        <v>1030</v>
      </c>
      <c r="D41" s="696" t="s">
        <v>1031</v>
      </c>
      <c r="E41" s="696" t="s">
        <v>1537</v>
      </c>
      <c r="F41" s="711"/>
      <c r="G41" s="711"/>
      <c r="H41" s="701">
        <v>0</v>
      </c>
      <c r="I41" s="711">
        <v>2</v>
      </c>
      <c r="J41" s="711">
        <v>139.72</v>
      </c>
      <c r="K41" s="701">
        <v>1</v>
      </c>
      <c r="L41" s="711">
        <v>2</v>
      </c>
      <c r="M41" s="712">
        <v>139.72</v>
      </c>
    </row>
    <row r="42" spans="1:13" ht="14.4" customHeight="1" x14ac:dyDescent="0.3">
      <c r="A42" s="695" t="s">
        <v>1601</v>
      </c>
      <c r="B42" s="696" t="s">
        <v>1541</v>
      </c>
      <c r="C42" s="696" t="s">
        <v>916</v>
      </c>
      <c r="D42" s="696" t="s">
        <v>917</v>
      </c>
      <c r="E42" s="696" t="s">
        <v>1543</v>
      </c>
      <c r="F42" s="711"/>
      <c r="G42" s="711"/>
      <c r="H42" s="701">
        <v>0</v>
      </c>
      <c r="I42" s="711">
        <v>2</v>
      </c>
      <c r="J42" s="711">
        <v>193.26</v>
      </c>
      <c r="K42" s="701">
        <v>1</v>
      </c>
      <c r="L42" s="711">
        <v>2</v>
      </c>
      <c r="M42" s="712">
        <v>193.26</v>
      </c>
    </row>
    <row r="43" spans="1:13" ht="14.4" customHeight="1" x14ac:dyDescent="0.3">
      <c r="A43" s="695" t="s">
        <v>1602</v>
      </c>
      <c r="B43" s="696" t="s">
        <v>2253</v>
      </c>
      <c r="C43" s="696" t="s">
        <v>1956</v>
      </c>
      <c r="D43" s="696" t="s">
        <v>1957</v>
      </c>
      <c r="E43" s="696" t="s">
        <v>1958</v>
      </c>
      <c r="F43" s="711">
        <v>1</v>
      </c>
      <c r="G43" s="711">
        <v>56.01</v>
      </c>
      <c r="H43" s="701">
        <v>1</v>
      </c>
      <c r="I43" s="711"/>
      <c r="J43" s="711"/>
      <c r="K43" s="701">
        <v>0</v>
      </c>
      <c r="L43" s="711">
        <v>1</v>
      </c>
      <c r="M43" s="712">
        <v>56.01</v>
      </c>
    </row>
    <row r="44" spans="1:13" ht="14.4" customHeight="1" x14ac:dyDescent="0.3">
      <c r="A44" s="695" t="s">
        <v>1602</v>
      </c>
      <c r="B44" s="696" t="s">
        <v>1512</v>
      </c>
      <c r="C44" s="696" t="s">
        <v>1367</v>
      </c>
      <c r="D44" s="696" t="s">
        <v>1317</v>
      </c>
      <c r="E44" s="696" t="s">
        <v>1368</v>
      </c>
      <c r="F44" s="711"/>
      <c r="G44" s="711"/>
      <c r="H44" s="701">
        <v>0</v>
      </c>
      <c r="I44" s="711">
        <v>32</v>
      </c>
      <c r="J44" s="711">
        <v>20009.28</v>
      </c>
      <c r="K44" s="701">
        <v>1</v>
      </c>
      <c r="L44" s="711">
        <v>32</v>
      </c>
      <c r="M44" s="712">
        <v>20009.28</v>
      </c>
    </row>
    <row r="45" spans="1:13" ht="14.4" customHeight="1" x14ac:dyDescent="0.3">
      <c r="A45" s="695" t="s">
        <v>1602</v>
      </c>
      <c r="B45" s="696" t="s">
        <v>2249</v>
      </c>
      <c r="C45" s="696" t="s">
        <v>1915</v>
      </c>
      <c r="D45" s="696" t="s">
        <v>1916</v>
      </c>
      <c r="E45" s="696" t="s">
        <v>1840</v>
      </c>
      <c r="F45" s="711">
        <v>2</v>
      </c>
      <c r="G45" s="711">
        <v>120.04</v>
      </c>
      <c r="H45" s="701">
        <v>1</v>
      </c>
      <c r="I45" s="711"/>
      <c r="J45" s="711"/>
      <c r="K45" s="701">
        <v>0</v>
      </c>
      <c r="L45" s="711">
        <v>2</v>
      </c>
      <c r="M45" s="712">
        <v>120.04</v>
      </c>
    </row>
    <row r="46" spans="1:13" ht="14.4" customHeight="1" x14ac:dyDescent="0.3">
      <c r="A46" s="695" t="s">
        <v>1602</v>
      </c>
      <c r="B46" s="696" t="s">
        <v>2249</v>
      </c>
      <c r="C46" s="696" t="s">
        <v>1917</v>
      </c>
      <c r="D46" s="696" t="s">
        <v>1918</v>
      </c>
      <c r="E46" s="696" t="s">
        <v>1177</v>
      </c>
      <c r="F46" s="711">
        <v>1</v>
      </c>
      <c r="G46" s="711">
        <v>44.89</v>
      </c>
      <c r="H46" s="701">
        <v>1</v>
      </c>
      <c r="I46" s="711"/>
      <c r="J46" s="711"/>
      <c r="K46" s="701">
        <v>0</v>
      </c>
      <c r="L46" s="711">
        <v>1</v>
      </c>
      <c r="M46" s="712">
        <v>44.89</v>
      </c>
    </row>
    <row r="47" spans="1:13" ht="14.4" customHeight="1" x14ac:dyDescent="0.3">
      <c r="A47" s="695" t="s">
        <v>1602</v>
      </c>
      <c r="B47" s="696" t="s">
        <v>1514</v>
      </c>
      <c r="C47" s="696" t="s">
        <v>932</v>
      </c>
      <c r="D47" s="696" t="s">
        <v>1515</v>
      </c>
      <c r="E47" s="696" t="s">
        <v>740</v>
      </c>
      <c r="F47" s="711"/>
      <c r="G47" s="711"/>
      <c r="H47" s="701">
        <v>0</v>
      </c>
      <c r="I47" s="711">
        <v>1</v>
      </c>
      <c r="J47" s="711">
        <v>74.87</v>
      </c>
      <c r="K47" s="701">
        <v>1</v>
      </c>
      <c r="L47" s="711">
        <v>1</v>
      </c>
      <c r="M47" s="712">
        <v>74.87</v>
      </c>
    </row>
    <row r="48" spans="1:13" ht="14.4" customHeight="1" x14ac:dyDescent="0.3">
      <c r="A48" s="695" t="s">
        <v>1602</v>
      </c>
      <c r="B48" s="696" t="s">
        <v>1524</v>
      </c>
      <c r="C48" s="696" t="s">
        <v>1019</v>
      </c>
      <c r="D48" s="696" t="s">
        <v>1525</v>
      </c>
      <c r="E48" s="696" t="s">
        <v>1526</v>
      </c>
      <c r="F48" s="711"/>
      <c r="G48" s="711"/>
      <c r="H48" s="701">
        <v>0</v>
      </c>
      <c r="I48" s="711">
        <v>1</v>
      </c>
      <c r="J48" s="711">
        <v>333.31</v>
      </c>
      <c r="K48" s="701">
        <v>1</v>
      </c>
      <c r="L48" s="711">
        <v>1</v>
      </c>
      <c r="M48" s="712">
        <v>333.31</v>
      </c>
    </row>
    <row r="49" spans="1:13" ht="14.4" customHeight="1" x14ac:dyDescent="0.3">
      <c r="A49" s="695" t="s">
        <v>1602</v>
      </c>
      <c r="B49" s="696" t="s">
        <v>1524</v>
      </c>
      <c r="C49" s="696" t="s">
        <v>1041</v>
      </c>
      <c r="D49" s="696" t="s">
        <v>1529</v>
      </c>
      <c r="E49" s="696" t="s">
        <v>1530</v>
      </c>
      <c r="F49" s="711"/>
      <c r="G49" s="711"/>
      <c r="H49" s="701">
        <v>0</v>
      </c>
      <c r="I49" s="711">
        <v>1</v>
      </c>
      <c r="J49" s="711">
        <v>333.31</v>
      </c>
      <c r="K49" s="701">
        <v>1</v>
      </c>
      <c r="L49" s="711">
        <v>1</v>
      </c>
      <c r="M49" s="712">
        <v>333.31</v>
      </c>
    </row>
    <row r="50" spans="1:13" ht="14.4" customHeight="1" x14ac:dyDescent="0.3">
      <c r="A50" s="695" t="s">
        <v>1602</v>
      </c>
      <c r="B50" s="696" t="s">
        <v>1561</v>
      </c>
      <c r="C50" s="696" t="s">
        <v>1938</v>
      </c>
      <c r="D50" s="696" t="s">
        <v>1939</v>
      </c>
      <c r="E50" s="696" t="s">
        <v>1626</v>
      </c>
      <c r="F50" s="711"/>
      <c r="G50" s="711"/>
      <c r="H50" s="701">
        <v>0</v>
      </c>
      <c r="I50" s="711">
        <v>1</v>
      </c>
      <c r="J50" s="711">
        <v>116.8</v>
      </c>
      <c r="K50" s="701">
        <v>1</v>
      </c>
      <c r="L50" s="711">
        <v>1</v>
      </c>
      <c r="M50" s="712">
        <v>116.8</v>
      </c>
    </row>
    <row r="51" spans="1:13" ht="14.4" customHeight="1" x14ac:dyDescent="0.3">
      <c r="A51" s="695" t="s">
        <v>1602</v>
      </c>
      <c r="B51" s="696" t="s">
        <v>1533</v>
      </c>
      <c r="C51" s="696" t="s">
        <v>1045</v>
      </c>
      <c r="D51" s="696" t="s">
        <v>1046</v>
      </c>
      <c r="E51" s="696" t="s">
        <v>1047</v>
      </c>
      <c r="F51" s="711"/>
      <c r="G51" s="711"/>
      <c r="H51" s="701">
        <v>0</v>
      </c>
      <c r="I51" s="711">
        <v>12</v>
      </c>
      <c r="J51" s="711">
        <v>1848.12</v>
      </c>
      <c r="K51" s="701">
        <v>1</v>
      </c>
      <c r="L51" s="711">
        <v>12</v>
      </c>
      <c r="M51" s="712">
        <v>1848.12</v>
      </c>
    </row>
    <row r="52" spans="1:13" ht="14.4" customHeight="1" x14ac:dyDescent="0.3">
      <c r="A52" s="695" t="s">
        <v>1602</v>
      </c>
      <c r="B52" s="696" t="s">
        <v>2252</v>
      </c>
      <c r="C52" s="696" t="s">
        <v>1944</v>
      </c>
      <c r="D52" s="696" t="s">
        <v>1865</v>
      </c>
      <c r="E52" s="696" t="s">
        <v>1945</v>
      </c>
      <c r="F52" s="711"/>
      <c r="G52" s="711"/>
      <c r="H52" s="701">
        <v>0</v>
      </c>
      <c r="I52" s="711">
        <v>1</v>
      </c>
      <c r="J52" s="711">
        <v>386.51</v>
      </c>
      <c r="K52" s="701">
        <v>1</v>
      </c>
      <c r="L52" s="711">
        <v>1</v>
      </c>
      <c r="M52" s="712">
        <v>386.51</v>
      </c>
    </row>
    <row r="53" spans="1:13" ht="14.4" customHeight="1" x14ac:dyDescent="0.3">
      <c r="A53" s="695" t="s">
        <v>1602</v>
      </c>
      <c r="B53" s="696" t="s">
        <v>1541</v>
      </c>
      <c r="C53" s="696" t="s">
        <v>916</v>
      </c>
      <c r="D53" s="696" t="s">
        <v>917</v>
      </c>
      <c r="E53" s="696" t="s">
        <v>1543</v>
      </c>
      <c r="F53" s="711"/>
      <c r="G53" s="711"/>
      <c r="H53" s="701">
        <v>0</v>
      </c>
      <c r="I53" s="711">
        <v>9</v>
      </c>
      <c r="J53" s="711">
        <v>869.67</v>
      </c>
      <c r="K53" s="701">
        <v>1</v>
      </c>
      <c r="L53" s="711">
        <v>9</v>
      </c>
      <c r="M53" s="712">
        <v>869.67</v>
      </c>
    </row>
    <row r="54" spans="1:13" ht="14.4" customHeight="1" x14ac:dyDescent="0.3">
      <c r="A54" s="695" t="s">
        <v>1602</v>
      </c>
      <c r="B54" s="696" t="s">
        <v>1541</v>
      </c>
      <c r="C54" s="696" t="s">
        <v>1948</v>
      </c>
      <c r="D54" s="696" t="s">
        <v>1949</v>
      </c>
      <c r="E54" s="696" t="s">
        <v>1950</v>
      </c>
      <c r="F54" s="711">
        <v>3</v>
      </c>
      <c r="G54" s="711">
        <v>289.89</v>
      </c>
      <c r="H54" s="701">
        <v>1</v>
      </c>
      <c r="I54" s="711"/>
      <c r="J54" s="711"/>
      <c r="K54" s="701">
        <v>0</v>
      </c>
      <c r="L54" s="711">
        <v>3</v>
      </c>
      <c r="M54" s="712">
        <v>289.89</v>
      </c>
    </row>
    <row r="55" spans="1:13" ht="14.4" customHeight="1" x14ac:dyDescent="0.3">
      <c r="A55" s="695" t="s">
        <v>1602</v>
      </c>
      <c r="B55" s="696" t="s">
        <v>1544</v>
      </c>
      <c r="C55" s="696" t="s">
        <v>1754</v>
      </c>
      <c r="D55" s="696" t="s">
        <v>929</v>
      </c>
      <c r="E55" s="696" t="s">
        <v>1755</v>
      </c>
      <c r="F55" s="711"/>
      <c r="G55" s="711"/>
      <c r="H55" s="701">
        <v>0</v>
      </c>
      <c r="I55" s="711">
        <v>1</v>
      </c>
      <c r="J55" s="711">
        <v>163.72999999999999</v>
      </c>
      <c r="K55" s="701">
        <v>1</v>
      </c>
      <c r="L55" s="711">
        <v>1</v>
      </c>
      <c r="M55" s="712">
        <v>163.72999999999999</v>
      </c>
    </row>
    <row r="56" spans="1:13" ht="14.4" customHeight="1" x14ac:dyDescent="0.3">
      <c r="A56" s="695" t="s">
        <v>1602</v>
      </c>
      <c r="B56" s="696" t="s">
        <v>1544</v>
      </c>
      <c r="C56" s="696" t="s">
        <v>1976</v>
      </c>
      <c r="D56" s="696" t="s">
        <v>1977</v>
      </c>
      <c r="E56" s="696" t="s">
        <v>1978</v>
      </c>
      <c r="F56" s="711"/>
      <c r="G56" s="711"/>
      <c r="H56" s="701">
        <v>0</v>
      </c>
      <c r="I56" s="711">
        <v>3</v>
      </c>
      <c r="J56" s="711">
        <v>943.02</v>
      </c>
      <c r="K56" s="701">
        <v>1</v>
      </c>
      <c r="L56" s="711">
        <v>3</v>
      </c>
      <c r="M56" s="712">
        <v>943.02</v>
      </c>
    </row>
    <row r="57" spans="1:13" ht="14.4" customHeight="1" x14ac:dyDescent="0.3">
      <c r="A57" s="695" t="s">
        <v>1603</v>
      </c>
      <c r="B57" s="696" t="s">
        <v>1512</v>
      </c>
      <c r="C57" s="696" t="s">
        <v>1367</v>
      </c>
      <c r="D57" s="696" t="s">
        <v>1317</v>
      </c>
      <c r="E57" s="696" t="s">
        <v>1368</v>
      </c>
      <c r="F57" s="711"/>
      <c r="G57" s="711"/>
      <c r="H57" s="701">
        <v>0</v>
      </c>
      <c r="I57" s="711">
        <v>30</v>
      </c>
      <c r="J57" s="711">
        <v>18758.7</v>
      </c>
      <c r="K57" s="701">
        <v>1</v>
      </c>
      <c r="L57" s="711">
        <v>30</v>
      </c>
      <c r="M57" s="712">
        <v>18758.7</v>
      </c>
    </row>
    <row r="58" spans="1:13" ht="14.4" customHeight="1" x14ac:dyDescent="0.3">
      <c r="A58" s="695" t="s">
        <v>1603</v>
      </c>
      <c r="B58" s="696" t="s">
        <v>1512</v>
      </c>
      <c r="C58" s="696" t="s">
        <v>1316</v>
      </c>
      <c r="D58" s="696" t="s">
        <v>1317</v>
      </c>
      <c r="E58" s="696" t="s">
        <v>1318</v>
      </c>
      <c r="F58" s="711"/>
      <c r="G58" s="711"/>
      <c r="H58" s="701">
        <v>0</v>
      </c>
      <c r="I58" s="711">
        <v>3</v>
      </c>
      <c r="J58" s="711">
        <v>2813.79</v>
      </c>
      <c r="K58" s="701">
        <v>1</v>
      </c>
      <c r="L58" s="711">
        <v>3</v>
      </c>
      <c r="M58" s="712">
        <v>2813.79</v>
      </c>
    </row>
    <row r="59" spans="1:13" ht="14.4" customHeight="1" x14ac:dyDescent="0.3">
      <c r="A59" s="695" t="s">
        <v>1603</v>
      </c>
      <c r="B59" s="696" t="s">
        <v>1512</v>
      </c>
      <c r="C59" s="696" t="s">
        <v>1728</v>
      </c>
      <c r="D59" s="696" t="s">
        <v>1317</v>
      </c>
      <c r="E59" s="696" t="s">
        <v>1729</v>
      </c>
      <c r="F59" s="711"/>
      <c r="G59" s="711"/>
      <c r="H59" s="701">
        <v>0</v>
      </c>
      <c r="I59" s="711">
        <v>2</v>
      </c>
      <c r="J59" s="711">
        <v>2332.94</v>
      </c>
      <c r="K59" s="701">
        <v>1</v>
      </c>
      <c r="L59" s="711">
        <v>2</v>
      </c>
      <c r="M59" s="712">
        <v>2332.94</v>
      </c>
    </row>
    <row r="60" spans="1:13" ht="14.4" customHeight="1" x14ac:dyDescent="0.3">
      <c r="A60" s="695" t="s">
        <v>1603</v>
      </c>
      <c r="B60" s="696" t="s">
        <v>1524</v>
      </c>
      <c r="C60" s="696" t="s">
        <v>1019</v>
      </c>
      <c r="D60" s="696" t="s">
        <v>1525</v>
      </c>
      <c r="E60" s="696" t="s">
        <v>1526</v>
      </c>
      <c r="F60" s="711"/>
      <c r="G60" s="711"/>
      <c r="H60" s="701">
        <v>0</v>
      </c>
      <c r="I60" s="711">
        <v>3</v>
      </c>
      <c r="J60" s="711">
        <v>999.93000000000006</v>
      </c>
      <c r="K60" s="701">
        <v>1</v>
      </c>
      <c r="L60" s="711">
        <v>3</v>
      </c>
      <c r="M60" s="712">
        <v>999.93000000000006</v>
      </c>
    </row>
    <row r="61" spans="1:13" ht="14.4" customHeight="1" x14ac:dyDescent="0.3">
      <c r="A61" s="695" t="s">
        <v>1603</v>
      </c>
      <c r="B61" s="696" t="s">
        <v>1558</v>
      </c>
      <c r="C61" s="696" t="s">
        <v>1417</v>
      </c>
      <c r="D61" s="696" t="s">
        <v>1418</v>
      </c>
      <c r="E61" s="696" t="s">
        <v>1537</v>
      </c>
      <c r="F61" s="711"/>
      <c r="G61" s="711"/>
      <c r="H61" s="701">
        <v>0</v>
      </c>
      <c r="I61" s="711">
        <v>1</v>
      </c>
      <c r="J61" s="711">
        <v>184.22</v>
      </c>
      <c r="K61" s="701">
        <v>1</v>
      </c>
      <c r="L61" s="711">
        <v>1</v>
      </c>
      <c r="M61" s="712">
        <v>184.22</v>
      </c>
    </row>
    <row r="62" spans="1:13" ht="14.4" customHeight="1" x14ac:dyDescent="0.3">
      <c r="A62" s="695" t="s">
        <v>1603</v>
      </c>
      <c r="B62" s="696" t="s">
        <v>1533</v>
      </c>
      <c r="C62" s="696" t="s">
        <v>1045</v>
      </c>
      <c r="D62" s="696" t="s">
        <v>1046</v>
      </c>
      <c r="E62" s="696" t="s">
        <v>1047</v>
      </c>
      <c r="F62" s="711"/>
      <c r="G62" s="711"/>
      <c r="H62" s="701">
        <v>0</v>
      </c>
      <c r="I62" s="711">
        <v>3</v>
      </c>
      <c r="J62" s="711">
        <v>462.03</v>
      </c>
      <c r="K62" s="701">
        <v>1</v>
      </c>
      <c r="L62" s="711">
        <v>3</v>
      </c>
      <c r="M62" s="712">
        <v>462.03</v>
      </c>
    </row>
    <row r="63" spans="1:13" ht="14.4" customHeight="1" x14ac:dyDescent="0.3">
      <c r="A63" s="695" t="s">
        <v>1603</v>
      </c>
      <c r="B63" s="696" t="s">
        <v>1536</v>
      </c>
      <c r="C63" s="696" t="s">
        <v>1995</v>
      </c>
      <c r="D63" s="696" t="s">
        <v>1629</v>
      </c>
      <c r="E63" s="696" t="s">
        <v>1996</v>
      </c>
      <c r="F63" s="711">
        <v>3</v>
      </c>
      <c r="G63" s="711">
        <v>0</v>
      </c>
      <c r="H63" s="701"/>
      <c r="I63" s="711"/>
      <c r="J63" s="711"/>
      <c r="K63" s="701"/>
      <c r="L63" s="711">
        <v>3</v>
      </c>
      <c r="M63" s="712">
        <v>0</v>
      </c>
    </row>
    <row r="64" spans="1:13" ht="14.4" customHeight="1" x14ac:dyDescent="0.3">
      <c r="A64" s="695" t="s">
        <v>1603</v>
      </c>
      <c r="B64" s="696" t="s">
        <v>1541</v>
      </c>
      <c r="C64" s="696" t="s">
        <v>944</v>
      </c>
      <c r="D64" s="696" t="s">
        <v>917</v>
      </c>
      <c r="E64" s="696" t="s">
        <v>1542</v>
      </c>
      <c r="F64" s="711"/>
      <c r="G64" s="711"/>
      <c r="H64" s="701">
        <v>0</v>
      </c>
      <c r="I64" s="711">
        <v>4</v>
      </c>
      <c r="J64" s="711">
        <v>193.24</v>
      </c>
      <c r="K64" s="701">
        <v>1</v>
      </c>
      <c r="L64" s="711">
        <v>4</v>
      </c>
      <c r="M64" s="712">
        <v>193.24</v>
      </c>
    </row>
    <row r="65" spans="1:13" ht="14.4" customHeight="1" x14ac:dyDescent="0.3">
      <c r="A65" s="695" t="s">
        <v>1603</v>
      </c>
      <c r="B65" s="696" t="s">
        <v>1541</v>
      </c>
      <c r="C65" s="696" t="s">
        <v>916</v>
      </c>
      <c r="D65" s="696" t="s">
        <v>917</v>
      </c>
      <c r="E65" s="696" t="s">
        <v>1543</v>
      </c>
      <c r="F65" s="711"/>
      <c r="G65" s="711"/>
      <c r="H65" s="701">
        <v>0</v>
      </c>
      <c r="I65" s="711">
        <v>1</v>
      </c>
      <c r="J65" s="711">
        <v>96.63</v>
      </c>
      <c r="K65" s="701">
        <v>1</v>
      </c>
      <c r="L65" s="711">
        <v>1</v>
      </c>
      <c r="M65" s="712">
        <v>96.63</v>
      </c>
    </row>
    <row r="66" spans="1:13" ht="14.4" customHeight="1" x14ac:dyDescent="0.3">
      <c r="A66" s="695" t="s">
        <v>1603</v>
      </c>
      <c r="B66" s="696" t="s">
        <v>1541</v>
      </c>
      <c r="C66" s="696" t="s">
        <v>1948</v>
      </c>
      <c r="D66" s="696" t="s">
        <v>1949</v>
      </c>
      <c r="E66" s="696" t="s">
        <v>1950</v>
      </c>
      <c r="F66" s="711">
        <v>2</v>
      </c>
      <c r="G66" s="711">
        <v>193.26</v>
      </c>
      <c r="H66" s="701">
        <v>1</v>
      </c>
      <c r="I66" s="711"/>
      <c r="J66" s="711"/>
      <c r="K66" s="701">
        <v>0</v>
      </c>
      <c r="L66" s="711">
        <v>2</v>
      </c>
      <c r="M66" s="712">
        <v>193.26</v>
      </c>
    </row>
    <row r="67" spans="1:13" ht="14.4" customHeight="1" x14ac:dyDescent="0.3">
      <c r="A67" s="695" t="s">
        <v>1604</v>
      </c>
      <c r="B67" s="696" t="s">
        <v>1512</v>
      </c>
      <c r="C67" s="696" t="s">
        <v>1367</v>
      </c>
      <c r="D67" s="696" t="s">
        <v>1317</v>
      </c>
      <c r="E67" s="696" t="s">
        <v>1368</v>
      </c>
      <c r="F67" s="711"/>
      <c r="G67" s="711"/>
      <c r="H67" s="701">
        <v>0</v>
      </c>
      <c r="I67" s="711">
        <v>9</v>
      </c>
      <c r="J67" s="711">
        <v>5627.61</v>
      </c>
      <c r="K67" s="701">
        <v>1</v>
      </c>
      <c r="L67" s="711">
        <v>9</v>
      </c>
      <c r="M67" s="712">
        <v>5627.61</v>
      </c>
    </row>
    <row r="68" spans="1:13" ht="14.4" customHeight="1" x14ac:dyDescent="0.3">
      <c r="A68" s="695" t="s">
        <v>1604</v>
      </c>
      <c r="B68" s="696" t="s">
        <v>1512</v>
      </c>
      <c r="C68" s="696" t="s">
        <v>1316</v>
      </c>
      <c r="D68" s="696" t="s">
        <v>1317</v>
      </c>
      <c r="E68" s="696" t="s">
        <v>1318</v>
      </c>
      <c r="F68" s="711"/>
      <c r="G68" s="711"/>
      <c r="H68" s="701">
        <v>0</v>
      </c>
      <c r="I68" s="711">
        <v>3</v>
      </c>
      <c r="J68" s="711">
        <v>2813.79</v>
      </c>
      <c r="K68" s="701">
        <v>1</v>
      </c>
      <c r="L68" s="711">
        <v>3</v>
      </c>
      <c r="M68" s="712">
        <v>2813.79</v>
      </c>
    </row>
    <row r="69" spans="1:13" ht="14.4" customHeight="1" x14ac:dyDescent="0.3">
      <c r="A69" s="695" t="s">
        <v>1604</v>
      </c>
      <c r="B69" s="696" t="s">
        <v>1524</v>
      </c>
      <c r="C69" s="696" t="s">
        <v>1041</v>
      </c>
      <c r="D69" s="696" t="s">
        <v>1529</v>
      </c>
      <c r="E69" s="696" t="s">
        <v>1530</v>
      </c>
      <c r="F69" s="711"/>
      <c r="G69" s="711"/>
      <c r="H69" s="701">
        <v>0</v>
      </c>
      <c r="I69" s="711">
        <v>1</v>
      </c>
      <c r="J69" s="711">
        <v>333.31</v>
      </c>
      <c r="K69" s="701">
        <v>1</v>
      </c>
      <c r="L69" s="711">
        <v>1</v>
      </c>
      <c r="M69" s="712">
        <v>333.31</v>
      </c>
    </row>
    <row r="70" spans="1:13" ht="14.4" customHeight="1" x14ac:dyDescent="0.3">
      <c r="A70" s="695" t="s">
        <v>1604</v>
      </c>
      <c r="B70" s="696" t="s">
        <v>1558</v>
      </c>
      <c r="C70" s="696" t="s">
        <v>1417</v>
      </c>
      <c r="D70" s="696" t="s">
        <v>1418</v>
      </c>
      <c r="E70" s="696" t="s">
        <v>1537</v>
      </c>
      <c r="F70" s="711"/>
      <c r="G70" s="711"/>
      <c r="H70" s="701">
        <v>0</v>
      </c>
      <c r="I70" s="711">
        <v>1</v>
      </c>
      <c r="J70" s="711">
        <v>184.22</v>
      </c>
      <c r="K70" s="701">
        <v>1</v>
      </c>
      <c r="L70" s="711">
        <v>1</v>
      </c>
      <c r="M70" s="712">
        <v>184.22</v>
      </c>
    </row>
    <row r="71" spans="1:13" ht="14.4" customHeight="1" x14ac:dyDescent="0.3">
      <c r="A71" s="695" t="s">
        <v>1604</v>
      </c>
      <c r="B71" s="696" t="s">
        <v>1533</v>
      </c>
      <c r="C71" s="696" t="s">
        <v>1045</v>
      </c>
      <c r="D71" s="696" t="s">
        <v>1046</v>
      </c>
      <c r="E71" s="696" t="s">
        <v>1047</v>
      </c>
      <c r="F71" s="711"/>
      <c r="G71" s="711"/>
      <c r="H71" s="701">
        <v>0</v>
      </c>
      <c r="I71" s="711">
        <v>10</v>
      </c>
      <c r="J71" s="711">
        <v>1540.1</v>
      </c>
      <c r="K71" s="701">
        <v>1</v>
      </c>
      <c r="L71" s="711">
        <v>10</v>
      </c>
      <c r="M71" s="712">
        <v>1540.1</v>
      </c>
    </row>
    <row r="72" spans="1:13" ht="14.4" customHeight="1" x14ac:dyDescent="0.3">
      <c r="A72" s="695" t="s">
        <v>1604</v>
      </c>
      <c r="B72" s="696" t="s">
        <v>1563</v>
      </c>
      <c r="C72" s="696" t="s">
        <v>2022</v>
      </c>
      <c r="D72" s="696" t="s">
        <v>2023</v>
      </c>
      <c r="E72" s="696" t="s">
        <v>2024</v>
      </c>
      <c r="F72" s="711"/>
      <c r="G72" s="711"/>
      <c r="H72" s="701">
        <v>0</v>
      </c>
      <c r="I72" s="711">
        <v>5</v>
      </c>
      <c r="J72" s="711">
        <v>349.3</v>
      </c>
      <c r="K72" s="701">
        <v>1</v>
      </c>
      <c r="L72" s="711">
        <v>5</v>
      </c>
      <c r="M72" s="712">
        <v>349.3</v>
      </c>
    </row>
    <row r="73" spans="1:13" ht="14.4" customHeight="1" x14ac:dyDescent="0.3">
      <c r="A73" s="695" t="s">
        <v>1604</v>
      </c>
      <c r="B73" s="696" t="s">
        <v>1536</v>
      </c>
      <c r="C73" s="696" t="s">
        <v>1030</v>
      </c>
      <c r="D73" s="696" t="s">
        <v>1031</v>
      </c>
      <c r="E73" s="696" t="s">
        <v>1537</v>
      </c>
      <c r="F73" s="711"/>
      <c r="G73" s="711"/>
      <c r="H73" s="701">
        <v>0</v>
      </c>
      <c r="I73" s="711">
        <v>2</v>
      </c>
      <c r="J73" s="711">
        <v>139.72</v>
      </c>
      <c r="K73" s="701">
        <v>1</v>
      </c>
      <c r="L73" s="711">
        <v>2</v>
      </c>
      <c r="M73" s="712">
        <v>139.72</v>
      </c>
    </row>
    <row r="74" spans="1:13" ht="14.4" customHeight="1" x14ac:dyDescent="0.3">
      <c r="A74" s="695" t="s">
        <v>1604</v>
      </c>
      <c r="B74" s="696" t="s">
        <v>1541</v>
      </c>
      <c r="C74" s="696" t="s">
        <v>916</v>
      </c>
      <c r="D74" s="696" t="s">
        <v>917</v>
      </c>
      <c r="E74" s="696" t="s">
        <v>1543</v>
      </c>
      <c r="F74" s="711"/>
      <c r="G74" s="711"/>
      <c r="H74" s="701">
        <v>0</v>
      </c>
      <c r="I74" s="711">
        <v>2</v>
      </c>
      <c r="J74" s="711">
        <v>193.26</v>
      </c>
      <c r="K74" s="701">
        <v>1</v>
      </c>
      <c r="L74" s="711">
        <v>2</v>
      </c>
      <c r="M74" s="712">
        <v>193.26</v>
      </c>
    </row>
    <row r="75" spans="1:13" ht="14.4" customHeight="1" x14ac:dyDescent="0.3">
      <c r="A75" s="695" t="s">
        <v>1605</v>
      </c>
      <c r="B75" s="696" t="s">
        <v>1512</v>
      </c>
      <c r="C75" s="696" t="s">
        <v>1367</v>
      </c>
      <c r="D75" s="696" t="s">
        <v>1317</v>
      </c>
      <c r="E75" s="696" t="s">
        <v>1368</v>
      </c>
      <c r="F75" s="711"/>
      <c r="G75" s="711"/>
      <c r="H75" s="701">
        <v>0</v>
      </c>
      <c r="I75" s="711">
        <v>13</v>
      </c>
      <c r="J75" s="711">
        <v>8128.7699999999995</v>
      </c>
      <c r="K75" s="701">
        <v>1</v>
      </c>
      <c r="L75" s="711">
        <v>13</v>
      </c>
      <c r="M75" s="712">
        <v>8128.7699999999995</v>
      </c>
    </row>
    <row r="76" spans="1:13" ht="14.4" customHeight="1" x14ac:dyDescent="0.3">
      <c r="A76" s="695" t="s">
        <v>1605</v>
      </c>
      <c r="B76" s="696" t="s">
        <v>1512</v>
      </c>
      <c r="C76" s="696" t="s">
        <v>1316</v>
      </c>
      <c r="D76" s="696" t="s">
        <v>1317</v>
      </c>
      <c r="E76" s="696" t="s">
        <v>1318</v>
      </c>
      <c r="F76" s="711"/>
      <c r="G76" s="711"/>
      <c r="H76" s="701">
        <v>0</v>
      </c>
      <c r="I76" s="711">
        <v>1</v>
      </c>
      <c r="J76" s="711">
        <v>937.93</v>
      </c>
      <c r="K76" s="701">
        <v>1</v>
      </c>
      <c r="L76" s="711">
        <v>1</v>
      </c>
      <c r="M76" s="712">
        <v>937.93</v>
      </c>
    </row>
    <row r="77" spans="1:13" ht="14.4" customHeight="1" x14ac:dyDescent="0.3">
      <c r="A77" s="695" t="s">
        <v>1605</v>
      </c>
      <c r="B77" s="696" t="s">
        <v>1524</v>
      </c>
      <c r="C77" s="696" t="s">
        <v>1019</v>
      </c>
      <c r="D77" s="696" t="s">
        <v>1525</v>
      </c>
      <c r="E77" s="696" t="s">
        <v>1526</v>
      </c>
      <c r="F77" s="711"/>
      <c r="G77" s="711"/>
      <c r="H77" s="701">
        <v>0</v>
      </c>
      <c r="I77" s="711">
        <v>1</v>
      </c>
      <c r="J77" s="711">
        <v>333.31</v>
      </c>
      <c r="K77" s="701">
        <v>1</v>
      </c>
      <c r="L77" s="711">
        <v>1</v>
      </c>
      <c r="M77" s="712">
        <v>333.31</v>
      </c>
    </row>
    <row r="78" spans="1:13" ht="14.4" customHeight="1" x14ac:dyDescent="0.3">
      <c r="A78" s="695" t="s">
        <v>1605</v>
      </c>
      <c r="B78" s="696" t="s">
        <v>1541</v>
      </c>
      <c r="C78" s="696" t="s">
        <v>916</v>
      </c>
      <c r="D78" s="696" t="s">
        <v>917</v>
      </c>
      <c r="E78" s="696" t="s">
        <v>1543</v>
      </c>
      <c r="F78" s="711"/>
      <c r="G78" s="711"/>
      <c r="H78" s="701">
        <v>0</v>
      </c>
      <c r="I78" s="711">
        <v>3</v>
      </c>
      <c r="J78" s="711">
        <v>289.89</v>
      </c>
      <c r="K78" s="701">
        <v>1</v>
      </c>
      <c r="L78" s="711">
        <v>3</v>
      </c>
      <c r="M78" s="712">
        <v>289.89</v>
      </c>
    </row>
    <row r="79" spans="1:13" ht="14.4" customHeight="1" x14ac:dyDescent="0.3">
      <c r="A79" s="695" t="s">
        <v>1605</v>
      </c>
      <c r="B79" s="696" t="s">
        <v>1541</v>
      </c>
      <c r="C79" s="696" t="s">
        <v>2038</v>
      </c>
      <c r="D79" s="696" t="s">
        <v>917</v>
      </c>
      <c r="E79" s="696" t="s">
        <v>2039</v>
      </c>
      <c r="F79" s="711"/>
      <c r="G79" s="711"/>
      <c r="H79" s="701">
        <v>0</v>
      </c>
      <c r="I79" s="711">
        <v>2</v>
      </c>
      <c r="J79" s="711">
        <v>386.52</v>
      </c>
      <c r="K79" s="701">
        <v>1</v>
      </c>
      <c r="L79" s="711">
        <v>2</v>
      </c>
      <c r="M79" s="712">
        <v>386.52</v>
      </c>
    </row>
    <row r="80" spans="1:13" ht="14.4" customHeight="1" x14ac:dyDescent="0.3">
      <c r="A80" s="695" t="s">
        <v>1606</v>
      </c>
      <c r="B80" s="696" t="s">
        <v>1512</v>
      </c>
      <c r="C80" s="696" t="s">
        <v>1367</v>
      </c>
      <c r="D80" s="696" t="s">
        <v>1317</v>
      </c>
      <c r="E80" s="696" t="s">
        <v>1368</v>
      </c>
      <c r="F80" s="711"/>
      <c r="G80" s="711"/>
      <c r="H80" s="701">
        <v>0</v>
      </c>
      <c r="I80" s="711">
        <v>17</v>
      </c>
      <c r="J80" s="711">
        <v>10629.93</v>
      </c>
      <c r="K80" s="701">
        <v>1</v>
      </c>
      <c r="L80" s="711">
        <v>17</v>
      </c>
      <c r="M80" s="712">
        <v>10629.93</v>
      </c>
    </row>
    <row r="81" spans="1:13" ht="14.4" customHeight="1" x14ac:dyDescent="0.3">
      <c r="A81" s="695" t="s">
        <v>1606</v>
      </c>
      <c r="B81" s="696" t="s">
        <v>1512</v>
      </c>
      <c r="C81" s="696" t="s">
        <v>1316</v>
      </c>
      <c r="D81" s="696" t="s">
        <v>1317</v>
      </c>
      <c r="E81" s="696" t="s">
        <v>1318</v>
      </c>
      <c r="F81" s="711"/>
      <c r="G81" s="711"/>
      <c r="H81" s="701">
        <v>0</v>
      </c>
      <c r="I81" s="711">
        <v>1</v>
      </c>
      <c r="J81" s="711">
        <v>937.93</v>
      </c>
      <c r="K81" s="701">
        <v>1</v>
      </c>
      <c r="L81" s="711">
        <v>1</v>
      </c>
      <c r="M81" s="712">
        <v>937.93</v>
      </c>
    </row>
    <row r="82" spans="1:13" ht="14.4" customHeight="1" x14ac:dyDescent="0.3">
      <c r="A82" s="695" t="s">
        <v>1606</v>
      </c>
      <c r="B82" s="696" t="s">
        <v>1524</v>
      </c>
      <c r="C82" s="696" t="s">
        <v>1019</v>
      </c>
      <c r="D82" s="696" t="s">
        <v>1525</v>
      </c>
      <c r="E82" s="696" t="s">
        <v>1526</v>
      </c>
      <c r="F82" s="711"/>
      <c r="G82" s="711"/>
      <c r="H82" s="701">
        <v>0</v>
      </c>
      <c r="I82" s="711">
        <v>2</v>
      </c>
      <c r="J82" s="711">
        <v>666.62</v>
      </c>
      <c r="K82" s="701">
        <v>1</v>
      </c>
      <c r="L82" s="711">
        <v>2</v>
      </c>
      <c r="M82" s="712">
        <v>666.62</v>
      </c>
    </row>
    <row r="83" spans="1:13" ht="14.4" customHeight="1" x14ac:dyDescent="0.3">
      <c r="A83" s="695" t="s">
        <v>1606</v>
      </c>
      <c r="B83" s="696" t="s">
        <v>1533</v>
      </c>
      <c r="C83" s="696" t="s">
        <v>1045</v>
      </c>
      <c r="D83" s="696" t="s">
        <v>1046</v>
      </c>
      <c r="E83" s="696" t="s">
        <v>1047</v>
      </c>
      <c r="F83" s="711"/>
      <c r="G83" s="711"/>
      <c r="H83" s="701">
        <v>0</v>
      </c>
      <c r="I83" s="711">
        <v>2</v>
      </c>
      <c r="J83" s="711">
        <v>308.02</v>
      </c>
      <c r="K83" s="701">
        <v>1</v>
      </c>
      <c r="L83" s="711">
        <v>2</v>
      </c>
      <c r="M83" s="712">
        <v>308.02</v>
      </c>
    </row>
    <row r="84" spans="1:13" ht="14.4" customHeight="1" x14ac:dyDescent="0.3">
      <c r="A84" s="695" t="s">
        <v>1606</v>
      </c>
      <c r="B84" s="696" t="s">
        <v>1541</v>
      </c>
      <c r="C84" s="696" t="s">
        <v>944</v>
      </c>
      <c r="D84" s="696" t="s">
        <v>917</v>
      </c>
      <c r="E84" s="696" t="s">
        <v>1542</v>
      </c>
      <c r="F84" s="711"/>
      <c r="G84" s="711"/>
      <c r="H84" s="701">
        <v>0</v>
      </c>
      <c r="I84" s="711">
        <v>1</v>
      </c>
      <c r="J84" s="711">
        <v>48.31</v>
      </c>
      <c r="K84" s="701">
        <v>1</v>
      </c>
      <c r="L84" s="711">
        <v>1</v>
      </c>
      <c r="M84" s="712">
        <v>48.31</v>
      </c>
    </row>
    <row r="85" spans="1:13" ht="14.4" customHeight="1" x14ac:dyDescent="0.3">
      <c r="A85" s="695" t="s">
        <v>1606</v>
      </c>
      <c r="B85" s="696" t="s">
        <v>1541</v>
      </c>
      <c r="C85" s="696" t="s">
        <v>916</v>
      </c>
      <c r="D85" s="696" t="s">
        <v>917</v>
      </c>
      <c r="E85" s="696" t="s">
        <v>1543</v>
      </c>
      <c r="F85" s="711"/>
      <c r="G85" s="711"/>
      <c r="H85" s="701">
        <v>0</v>
      </c>
      <c r="I85" s="711">
        <v>2</v>
      </c>
      <c r="J85" s="711">
        <v>193.26</v>
      </c>
      <c r="K85" s="701">
        <v>1</v>
      </c>
      <c r="L85" s="711">
        <v>2</v>
      </c>
      <c r="M85" s="712">
        <v>193.26</v>
      </c>
    </row>
    <row r="86" spans="1:13" ht="14.4" customHeight="1" x14ac:dyDescent="0.3">
      <c r="A86" s="695" t="s">
        <v>1606</v>
      </c>
      <c r="B86" s="696" t="s">
        <v>1541</v>
      </c>
      <c r="C86" s="696" t="s">
        <v>1948</v>
      </c>
      <c r="D86" s="696" t="s">
        <v>1949</v>
      </c>
      <c r="E86" s="696" t="s">
        <v>1950</v>
      </c>
      <c r="F86" s="711">
        <v>1</v>
      </c>
      <c r="G86" s="711">
        <v>96.63</v>
      </c>
      <c r="H86" s="701">
        <v>1</v>
      </c>
      <c r="I86" s="711"/>
      <c r="J86" s="711"/>
      <c r="K86" s="701">
        <v>0</v>
      </c>
      <c r="L86" s="711">
        <v>1</v>
      </c>
      <c r="M86" s="712">
        <v>96.63</v>
      </c>
    </row>
    <row r="87" spans="1:13" ht="14.4" customHeight="1" x14ac:dyDescent="0.3">
      <c r="A87" s="695" t="s">
        <v>1606</v>
      </c>
      <c r="B87" s="696" t="s">
        <v>1544</v>
      </c>
      <c r="C87" s="696" t="s">
        <v>1679</v>
      </c>
      <c r="D87" s="696" t="s">
        <v>929</v>
      </c>
      <c r="E87" s="696" t="s">
        <v>1678</v>
      </c>
      <c r="F87" s="711"/>
      <c r="G87" s="711"/>
      <c r="H87" s="701">
        <v>0</v>
      </c>
      <c r="I87" s="711">
        <v>1</v>
      </c>
      <c r="J87" s="711">
        <v>98.23</v>
      </c>
      <c r="K87" s="701">
        <v>1</v>
      </c>
      <c r="L87" s="711">
        <v>1</v>
      </c>
      <c r="M87" s="712">
        <v>98.23</v>
      </c>
    </row>
    <row r="88" spans="1:13" ht="14.4" customHeight="1" x14ac:dyDescent="0.3">
      <c r="A88" s="695" t="s">
        <v>1607</v>
      </c>
      <c r="B88" s="696" t="s">
        <v>1512</v>
      </c>
      <c r="C88" s="696" t="s">
        <v>2082</v>
      </c>
      <c r="D88" s="696" t="s">
        <v>1317</v>
      </c>
      <c r="E88" s="696" t="s">
        <v>2083</v>
      </c>
      <c r="F88" s="711"/>
      <c r="G88" s="711"/>
      <c r="H88" s="701"/>
      <c r="I88" s="711">
        <v>2</v>
      </c>
      <c r="J88" s="711">
        <v>0</v>
      </c>
      <c r="K88" s="701"/>
      <c r="L88" s="711">
        <v>2</v>
      </c>
      <c r="M88" s="712">
        <v>0</v>
      </c>
    </row>
    <row r="89" spans="1:13" ht="14.4" customHeight="1" x14ac:dyDescent="0.3">
      <c r="A89" s="695" t="s">
        <v>1607</v>
      </c>
      <c r="B89" s="696" t="s">
        <v>1512</v>
      </c>
      <c r="C89" s="696" t="s">
        <v>1367</v>
      </c>
      <c r="D89" s="696" t="s">
        <v>1317</v>
      </c>
      <c r="E89" s="696" t="s">
        <v>1368</v>
      </c>
      <c r="F89" s="711"/>
      <c r="G89" s="711"/>
      <c r="H89" s="701">
        <v>0</v>
      </c>
      <c r="I89" s="711">
        <v>8</v>
      </c>
      <c r="J89" s="711">
        <v>5002.32</v>
      </c>
      <c r="K89" s="701">
        <v>1</v>
      </c>
      <c r="L89" s="711">
        <v>8</v>
      </c>
      <c r="M89" s="712">
        <v>5002.32</v>
      </c>
    </row>
    <row r="90" spans="1:13" ht="14.4" customHeight="1" x14ac:dyDescent="0.3">
      <c r="A90" s="695" t="s">
        <v>1607</v>
      </c>
      <c r="B90" s="696" t="s">
        <v>1558</v>
      </c>
      <c r="C90" s="696" t="s">
        <v>1417</v>
      </c>
      <c r="D90" s="696" t="s">
        <v>1418</v>
      </c>
      <c r="E90" s="696" t="s">
        <v>1537</v>
      </c>
      <c r="F90" s="711"/>
      <c r="G90" s="711"/>
      <c r="H90" s="701">
        <v>0</v>
      </c>
      <c r="I90" s="711">
        <v>1</v>
      </c>
      <c r="J90" s="711">
        <v>184.22</v>
      </c>
      <c r="K90" s="701">
        <v>1</v>
      </c>
      <c r="L90" s="711">
        <v>1</v>
      </c>
      <c r="M90" s="712">
        <v>184.22</v>
      </c>
    </row>
    <row r="91" spans="1:13" ht="14.4" customHeight="1" x14ac:dyDescent="0.3">
      <c r="A91" s="695" t="s">
        <v>1607</v>
      </c>
      <c r="B91" s="696" t="s">
        <v>1533</v>
      </c>
      <c r="C91" s="696" t="s">
        <v>1045</v>
      </c>
      <c r="D91" s="696" t="s">
        <v>1046</v>
      </c>
      <c r="E91" s="696" t="s">
        <v>1047</v>
      </c>
      <c r="F91" s="711"/>
      <c r="G91" s="711"/>
      <c r="H91" s="701">
        <v>0</v>
      </c>
      <c r="I91" s="711">
        <v>6</v>
      </c>
      <c r="J91" s="711">
        <v>924.06</v>
      </c>
      <c r="K91" s="701">
        <v>1</v>
      </c>
      <c r="L91" s="711">
        <v>6</v>
      </c>
      <c r="M91" s="712">
        <v>924.06</v>
      </c>
    </row>
    <row r="92" spans="1:13" ht="14.4" customHeight="1" x14ac:dyDescent="0.3">
      <c r="A92" s="695" t="s">
        <v>1607</v>
      </c>
      <c r="B92" s="696" t="s">
        <v>1536</v>
      </c>
      <c r="C92" s="696" t="s">
        <v>1030</v>
      </c>
      <c r="D92" s="696" t="s">
        <v>1031</v>
      </c>
      <c r="E92" s="696" t="s">
        <v>1537</v>
      </c>
      <c r="F92" s="711"/>
      <c r="G92" s="711"/>
      <c r="H92" s="701">
        <v>0</v>
      </c>
      <c r="I92" s="711">
        <v>1</v>
      </c>
      <c r="J92" s="711">
        <v>69.86</v>
      </c>
      <c r="K92" s="701">
        <v>1</v>
      </c>
      <c r="L92" s="711">
        <v>1</v>
      </c>
      <c r="M92" s="712">
        <v>69.86</v>
      </c>
    </row>
    <row r="93" spans="1:13" ht="14.4" customHeight="1" x14ac:dyDescent="0.3">
      <c r="A93" s="695" t="s">
        <v>1607</v>
      </c>
      <c r="B93" s="696" t="s">
        <v>1541</v>
      </c>
      <c r="C93" s="696" t="s">
        <v>916</v>
      </c>
      <c r="D93" s="696" t="s">
        <v>917</v>
      </c>
      <c r="E93" s="696" t="s">
        <v>1543</v>
      </c>
      <c r="F93" s="711"/>
      <c r="G93" s="711"/>
      <c r="H93" s="701">
        <v>0</v>
      </c>
      <c r="I93" s="711">
        <v>9</v>
      </c>
      <c r="J93" s="711">
        <v>869.67</v>
      </c>
      <c r="K93" s="701">
        <v>1</v>
      </c>
      <c r="L93" s="711">
        <v>9</v>
      </c>
      <c r="M93" s="712">
        <v>869.67</v>
      </c>
    </row>
    <row r="94" spans="1:13" ht="14.4" customHeight="1" x14ac:dyDescent="0.3">
      <c r="A94" s="695" t="s">
        <v>1607</v>
      </c>
      <c r="B94" s="696" t="s">
        <v>1544</v>
      </c>
      <c r="C94" s="696" t="s">
        <v>1679</v>
      </c>
      <c r="D94" s="696" t="s">
        <v>929</v>
      </c>
      <c r="E94" s="696" t="s">
        <v>1678</v>
      </c>
      <c r="F94" s="711"/>
      <c r="G94" s="711"/>
      <c r="H94" s="701">
        <v>0</v>
      </c>
      <c r="I94" s="711">
        <v>2</v>
      </c>
      <c r="J94" s="711">
        <v>196.46</v>
      </c>
      <c r="K94" s="701">
        <v>1</v>
      </c>
      <c r="L94" s="711">
        <v>2</v>
      </c>
      <c r="M94" s="712">
        <v>196.46</v>
      </c>
    </row>
    <row r="95" spans="1:13" ht="14.4" customHeight="1" x14ac:dyDescent="0.3">
      <c r="A95" s="695" t="s">
        <v>1608</v>
      </c>
      <c r="B95" s="696" t="s">
        <v>1512</v>
      </c>
      <c r="C95" s="696" t="s">
        <v>1367</v>
      </c>
      <c r="D95" s="696" t="s">
        <v>1317</v>
      </c>
      <c r="E95" s="696" t="s">
        <v>1368</v>
      </c>
      <c r="F95" s="711"/>
      <c r="G95" s="711"/>
      <c r="H95" s="701">
        <v>0</v>
      </c>
      <c r="I95" s="711">
        <v>4</v>
      </c>
      <c r="J95" s="711">
        <v>2501.16</v>
      </c>
      <c r="K95" s="701">
        <v>1</v>
      </c>
      <c r="L95" s="711">
        <v>4</v>
      </c>
      <c r="M95" s="712">
        <v>2501.16</v>
      </c>
    </row>
    <row r="96" spans="1:13" ht="14.4" customHeight="1" x14ac:dyDescent="0.3">
      <c r="A96" s="695" t="s">
        <v>1608</v>
      </c>
      <c r="B96" s="696" t="s">
        <v>1512</v>
      </c>
      <c r="C96" s="696" t="s">
        <v>1316</v>
      </c>
      <c r="D96" s="696" t="s">
        <v>1317</v>
      </c>
      <c r="E96" s="696" t="s">
        <v>1318</v>
      </c>
      <c r="F96" s="711"/>
      <c r="G96" s="711"/>
      <c r="H96" s="701">
        <v>0</v>
      </c>
      <c r="I96" s="711">
        <v>2</v>
      </c>
      <c r="J96" s="711">
        <v>1875.86</v>
      </c>
      <c r="K96" s="701">
        <v>1</v>
      </c>
      <c r="L96" s="711">
        <v>2</v>
      </c>
      <c r="M96" s="712">
        <v>1875.86</v>
      </c>
    </row>
    <row r="97" spans="1:13" ht="14.4" customHeight="1" x14ac:dyDescent="0.3">
      <c r="A97" s="695" t="s">
        <v>1608</v>
      </c>
      <c r="B97" s="696" t="s">
        <v>2254</v>
      </c>
      <c r="C97" s="696" t="s">
        <v>2117</v>
      </c>
      <c r="D97" s="696" t="s">
        <v>2118</v>
      </c>
      <c r="E97" s="696" t="s">
        <v>2119</v>
      </c>
      <c r="F97" s="711">
        <v>1</v>
      </c>
      <c r="G97" s="711">
        <v>547.16999999999996</v>
      </c>
      <c r="H97" s="701">
        <v>1</v>
      </c>
      <c r="I97" s="711"/>
      <c r="J97" s="711"/>
      <c r="K97" s="701">
        <v>0</v>
      </c>
      <c r="L97" s="711">
        <v>1</v>
      </c>
      <c r="M97" s="712">
        <v>547.16999999999996</v>
      </c>
    </row>
    <row r="98" spans="1:13" ht="14.4" customHeight="1" x14ac:dyDescent="0.3">
      <c r="A98" s="695" t="s">
        <v>1608</v>
      </c>
      <c r="B98" s="696" t="s">
        <v>1524</v>
      </c>
      <c r="C98" s="696" t="s">
        <v>1019</v>
      </c>
      <c r="D98" s="696" t="s">
        <v>1525</v>
      </c>
      <c r="E98" s="696" t="s">
        <v>1526</v>
      </c>
      <c r="F98" s="711"/>
      <c r="G98" s="711"/>
      <c r="H98" s="701">
        <v>0</v>
      </c>
      <c r="I98" s="711">
        <v>1</v>
      </c>
      <c r="J98" s="711">
        <v>333.31</v>
      </c>
      <c r="K98" s="701">
        <v>1</v>
      </c>
      <c r="L98" s="711">
        <v>1</v>
      </c>
      <c r="M98" s="712">
        <v>333.31</v>
      </c>
    </row>
    <row r="99" spans="1:13" ht="14.4" customHeight="1" x14ac:dyDescent="0.3">
      <c r="A99" s="695" t="s">
        <v>1608</v>
      </c>
      <c r="B99" s="696" t="s">
        <v>1524</v>
      </c>
      <c r="C99" s="696" t="s">
        <v>1832</v>
      </c>
      <c r="D99" s="696" t="s">
        <v>1833</v>
      </c>
      <c r="E99" s="696" t="s">
        <v>1834</v>
      </c>
      <c r="F99" s="711">
        <v>1</v>
      </c>
      <c r="G99" s="711">
        <v>333.31</v>
      </c>
      <c r="H99" s="701">
        <v>1</v>
      </c>
      <c r="I99" s="711"/>
      <c r="J99" s="711"/>
      <c r="K99" s="701">
        <v>0</v>
      </c>
      <c r="L99" s="711">
        <v>1</v>
      </c>
      <c r="M99" s="712">
        <v>333.31</v>
      </c>
    </row>
    <row r="100" spans="1:13" ht="14.4" customHeight="1" x14ac:dyDescent="0.3">
      <c r="A100" s="695" t="s">
        <v>1608</v>
      </c>
      <c r="B100" s="696" t="s">
        <v>1533</v>
      </c>
      <c r="C100" s="696" t="s">
        <v>1045</v>
      </c>
      <c r="D100" s="696" t="s">
        <v>1046</v>
      </c>
      <c r="E100" s="696" t="s">
        <v>1047</v>
      </c>
      <c r="F100" s="711"/>
      <c r="G100" s="711"/>
      <c r="H100" s="701">
        <v>0</v>
      </c>
      <c r="I100" s="711">
        <v>1</v>
      </c>
      <c r="J100" s="711">
        <v>154.01</v>
      </c>
      <c r="K100" s="701">
        <v>1</v>
      </c>
      <c r="L100" s="711">
        <v>1</v>
      </c>
      <c r="M100" s="712">
        <v>154.01</v>
      </c>
    </row>
    <row r="101" spans="1:13" ht="14.4" customHeight="1" x14ac:dyDescent="0.3">
      <c r="A101" s="695" t="s">
        <v>1608</v>
      </c>
      <c r="B101" s="696" t="s">
        <v>1541</v>
      </c>
      <c r="C101" s="696" t="s">
        <v>916</v>
      </c>
      <c r="D101" s="696" t="s">
        <v>917</v>
      </c>
      <c r="E101" s="696" t="s">
        <v>1543</v>
      </c>
      <c r="F101" s="711"/>
      <c r="G101" s="711"/>
      <c r="H101" s="701">
        <v>0</v>
      </c>
      <c r="I101" s="711">
        <v>2</v>
      </c>
      <c r="J101" s="711">
        <v>193.26</v>
      </c>
      <c r="K101" s="701">
        <v>1</v>
      </c>
      <c r="L101" s="711">
        <v>2</v>
      </c>
      <c r="M101" s="712">
        <v>193.26</v>
      </c>
    </row>
    <row r="102" spans="1:13" ht="14.4" customHeight="1" x14ac:dyDescent="0.3">
      <c r="A102" s="695" t="s">
        <v>1608</v>
      </c>
      <c r="B102" s="696" t="s">
        <v>1544</v>
      </c>
      <c r="C102" s="696" t="s">
        <v>2120</v>
      </c>
      <c r="D102" s="696" t="s">
        <v>1677</v>
      </c>
      <c r="E102" s="696" t="s">
        <v>1678</v>
      </c>
      <c r="F102" s="711">
        <v>1</v>
      </c>
      <c r="G102" s="711">
        <v>98.23</v>
      </c>
      <c r="H102" s="701">
        <v>1</v>
      </c>
      <c r="I102" s="711"/>
      <c r="J102" s="711"/>
      <c r="K102" s="701">
        <v>0</v>
      </c>
      <c r="L102" s="711">
        <v>1</v>
      </c>
      <c r="M102" s="712">
        <v>98.23</v>
      </c>
    </row>
    <row r="103" spans="1:13" ht="14.4" customHeight="1" x14ac:dyDescent="0.3">
      <c r="A103" s="695" t="s">
        <v>1609</v>
      </c>
      <c r="B103" s="696" t="s">
        <v>1509</v>
      </c>
      <c r="C103" s="696" t="s">
        <v>1780</v>
      </c>
      <c r="D103" s="696" t="s">
        <v>1781</v>
      </c>
      <c r="E103" s="696" t="s">
        <v>1782</v>
      </c>
      <c r="F103" s="711"/>
      <c r="G103" s="711"/>
      <c r="H103" s="701">
        <v>0</v>
      </c>
      <c r="I103" s="711">
        <v>1</v>
      </c>
      <c r="J103" s="711">
        <v>193.14</v>
      </c>
      <c r="K103" s="701">
        <v>1</v>
      </c>
      <c r="L103" s="711">
        <v>1</v>
      </c>
      <c r="M103" s="712">
        <v>193.14</v>
      </c>
    </row>
    <row r="104" spans="1:13" ht="14.4" customHeight="1" x14ac:dyDescent="0.3">
      <c r="A104" s="695" t="s">
        <v>1609</v>
      </c>
      <c r="B104" s="696" t="s">
        <v>1512</v>
      </c>
      <c r="C104" s="696" t="s">
        <v>1367</v>
      </c>
      <c r="D104" s="696" t="s">
        <v>1317</v>
      </c>
      <c r="E104" s="696" t="s">
        <v>1368</v>
      </c>
      <c r="F104" s="711"/>
      <c r="G104" s="711"/>
      <c r="H104" s="701">
        <v>0</v>
      </c>
      <c r="I104" s="711">
        <v>16</v>
      </c>
      <c r="J104" s="711">
        <v>10004.64</v>
      </c>
      <c r="K104" s="701">
        <v>1</v>
      </c>
      <c r="L104" s="711">
        <v>16</v>
      </c>
      <c r="M104" s="712">
        <v>10004.64</v>
      </c>
    </row>
    <row r="105" spans="1:13" ht="14.4" customHeight="1" x14ac:dyDescent="0.3">
      <c r="A105" s="695" t="s">
        <v>1609</v>
      </c>
      <c r="B105" s="696" t="s">
        <v>1512</v>
      </c>
      <c r="C105" s="696" t="s">
        <v>1316</v>
      </c>
      <c r="D105" s="696" t="s">
        <v>1317</v>
      </c>
      <c r="E105" s="696" t="s">
        <v>1318</v>
      </c>
      <c r="F105" s="711"/>
      <c r="G105" s="711"/>
      <c r="H105" s="701">
        <v>0</v>
      </c>
      <c r="I105" s="711">
        <v>2</v>
      </c>
      <c r="J105" s="711">
        <v>1875.86</v>
      </c>
      <c r="K105" s="701">
        <v>1</v>
      </c>
      <c r="L105" s="711">
        <v>2</v>
      </c>
      <c r="M105" s="712">
        <v>1875.86</v>
      </c>
    </row>
    <row r="106" spans="1:13" ht="14.4" customHeight="1" x14ac:dyDescent="0.3">
      <c r="A106" s="695" t="s">
        <v>1609</v>
      </c>
      <c r="B106" s="696" t="s">
        <v>1512</v>
      </c>
      <c r="C106" s="696" t="s">
        <v>1728</v>
      </c>
      <c r="D106" s="696" t="s">
        <v>1317</v>
      </c>
      <c r="E106" s="696" t="s">
        <v>1729</v>
      </c>
      <c r="F106" s="711"/>
      <c r="G106" s="711"/>
      <c r="H106" s="701">
        <v>0</v>
      </c>
      <c r="I106" s="711">
        <v>1</v>
      </c>
      <c r="J106" s="711">
        <v>1166.47</v>
      </c>
      <c r="K106" s="701">
        <v>1</v>
      </c>
      <c r="L106" s="711">
        <v>1</v>
      </c>
      <c r="M106" s="712">
        <v>1166.47</v>
      </c>
    </row>
    <row r="107" spans="1:13" ht="14.4" customHeight="1" x14ac:dyDescent="0.3">
      <c r="A107" s="695" t="s">
        <v>1609</v>
      </c>
      <c r="B107" s="696" t="s">
        <v>1516</v>
      </c>
      <c r="C107" s="696" t="s">
        <v>1767</v>
      </c>
      <c r="D107" s="696" t="s">
        <v>1768</v>
      </c>
      <c r="E107" s="696" t="s">
        <v>1769</v>
      </c>
      <c r="F107" s="711">
        <v>1</v>
      </c>
      <c r="G107" s="711">
        <v>100.63</v>
      </c>
      <c r="H107" s="701">
        <v>1</v>
      </c>
      <c r="I107" s="711"/>
      <c r="J107" s="711"/>
      <c r="K107" s="701">
        <v>0</v>
      </c>
      <c r="L107" s="711">
        <v>1</v>
      </c>
      <c r="M107" s="712">
        <v>100.63</v>
      </c>
    </row>
    <row r="108" spans="1:13" ht="14.4" customHeight="1" x14ac:dyDescent="0.3">
      <c r="A108" s="695" t="s">
        <v>1609</v>
      </c>
      <c r="B108" s="696" t="s">
        <v>1533</v>
      </c>
      <c r="C108" s="696" t="s">
        <v>1045</v>
      </c>
      <c r="D108" s="696" t="s">
        <v>1046</v>
      </c>
      <c r="E108" s="696" t="s">
        <v>1047</v>
      </c>
      <c r="F108" s="711"/>
      <c r="G108" s="711"/>
      <c r="H108" s="701">
        <v>0</v>
      </c>
      <c r="I108" s="711">
        <v>2</v>
      </c>
      <c r="J108" s="711">
        <v>308.02</v>
      </c>
      <c r="K108" s="701">
        <v>1</v>
      </c>
      <c r="L108" s="711">
        <v>2</v>
      </c>
      <c r="M108" s="712">
        <v>308.02</v>
      </c>
    </row>
    <row r="109" spans="1:13" ht="14.4" customHeight="1" x14ac:dyDescent="0.3">
      <c r="A109" s="695" t="s">
        <v>1609</v>
      </c>
      <c r="B109" s="696" t="s">
        <v>1533</v>
      </c>
      <c r="C109" s="696" t="s">
        <v>1835</v>
      </c>
      <c r="D109" s="696" t="s">
        <v>1046</v>
      </c>
      <c r="E109" s="696" t="s">
        <v>1346</v>
      </c>
      <c r="F109" s="711">
        <v>1</v>
      </c>
      <c r="G109" s="711">
        <v>0</v>
      </c>
      <c r="H109" s="701"/>
      <c r="I109" s="711"/>
      <c r="J109" s="711"/>
      <c r="K109" s="701"/>
      <c r="L109" s="711">
        <v>1</v>
      </c>
      <c r="M109" s="712">
        <v>0</v>
      </c>
    </row>
    <row r="110" spans="1:13" ht="14.4" customHeight="1" x14ac:dyDescent="0.3">
      <c r="A110" s="695" t="s">
        <v>1609</v>
      </c>
      <c r="B110" s="696" t="s">
        <v>1533</v>
      </c>
      <c r="C110" s="696" t="s">
        <v>1836</v>
      </c>
      <c r="D110" s="696" t="s">
        <v>1046</v>
      </c>
      <c r="E110" s="696" t="s">
        <v>1047</v>
      </c>
      <c r="F110" s="711">
        <v>3</v>
      </c>
      <c r="G110" s="711">
        <v>462.03</v>
      </c>
      <c r="H110" s="701">
        <v>1</v>
      </c>
      <c r="I110" s="711"/>
      <c r="J110" s="711"/>
      <c r="K110" s="701">
        <v>0</v>
      </c>
      <c r="L110" s="711">
        <v>3</v>
      </c>
      <c r="M110" s="712">
        <v>462.03</v>
      </c>
    </row>
    <row r="111" spans="1:13" ht="14.4" customHeight="1" x14ac:dyDescent="0.3">
      <c r="A111" s="695" t="s">
        <v>1609</v>
      </c>
      <c r="B111" s="696" t="s">
        <v>1565</v>
      </c>
      <c r="C111" s="696" t="s">
        <v>2124</v>
      </c>
      <c r="D111" s="696" t="s">
        <v>2125</v>
      </c>
      <c r="E111" s="696" t="s">
        <v>2126</v>
      </c>
      <c r="F111" s="711"/>
      <c r="G111" s="711"/>
      <c r="H111" s="701">
        <v>0</v>
      </c>
      <c r="I111" s="711">
        <v>3</v>
      </c>
      <c r="J111" s="711">
        <v>12850.29</v>
      </c>
      <c r="K111" s="701">
        <v>1</v>
      </c>
      <c r="L111" s="711">
        <v>3</v>
      </c>
      <c r="M111" s="712">
        <v>12850.29</v>
      </c>
    </row>
    <row r="112" spans="1:13" ht="14.4" customHeight="1" x14ac:dyDescent="0.3">
      <c r="A112" s="695" t="s">
        <v>1609</v>
      </c>
      <c r="B112" s="696" t="s">
        <v>1541</v>
      </c>
      <c r="C112" s="696" t="s">
        <v>944</v>
      </c>
      <c r="D112" s="696" t="s">
        <v>917</v>
      </c>
      <c r="E112" s="696" t="s">
        <v>1542</v>
      </c>
      <c r="F112" s="711"/>
      <c r="G112" s="711"/>
      <c r="H112" s="701">
        <v>0</v>
      </c>
      <c r="I112" s="711">
        <v>1</v>
      </c>
      <c r="J112" s="711">
        <v>48.31</v>
      </c>
      <c r="K112" s="701">
        <v>1</v>
      </c>
      <c r="L112" s="711">
        <v>1</v>
      </c>
      <c r="M112" s="712">
        <v>48.31</v>
      </c>
    </row>
    <row r="113" spans="1:13" ht="14.4" customHeight="1" x14ac:dyDescent="0.3">
      <c r="A113" s="695" t="s">
        <v>1609</v>
      </c>
      <c r="B113" s="696" t="s">
        <v>1541</v>
      </c>
      <c r="C113" s="696" t="s">
        <v>916</v>
      </c>
      <c r="D113" s="696" t="s">
        <v>917</v>
      </c>
      <c r="E113" s="696" t="s">
        <v>1543</v>
      </c>
      <c r="F113" s="711"/>
      <c r="G113" s="711"/>
      <c r="H113" s="701">
        <v>0</v>
      </c>
      <c r="I113" s="711">
        <v>2</v>
      </c>
      <c r="J113" s="711">
        <v>193.26</v>
      </c>
      <c r="K113" s="701">
        <v>1</v>
      </c>
      <c r="L113" s="711">
        <v>2</v>
      </c>
      <c r="M113" s="712">
        <v>193.26</v>
      </c>
    </row>
    <row r="114" spans="1:13" ht="14.4" customHeight="1" x14ac:dyDescent="0.3">
      <c r="A114" s="695" t="s">
        <v>1609</v>
      </c>
      <c r="B114" s="696" t="s">
        <v>1541</v>
      </c>
      <c r="C114" s="696" t="s">
        <v>2038</v>
      </c>
      <c r="D114" s="696" t="s">
        <v>917</v>
      </c>
      <c r="E114" s="696" t="s">
        <v>2039</v>
      </c>
      <c r="F114" s="711"/>
      <c r="G114" s="711"/>
      <c r="H114" s="701">
        <v>0</v>
      </c>
      <c r="I114" s="711">
        <v>1</v>
      </c>
      <c r="J114" s="711">
        <v>193.26</v>
      </c>
      <c r="K114" s="701">
        <v>1</v>
      </c>
      <c r="L114" s="711">
        <v>1</v>
      </c>
      <c r="M114" s="712">
        <v>193.26</v>
      </c>
    </row>
    <row r="115" spans="1:13" ht="14.4" customHeight="1" x14ac:dyDescent="0.3">
      <c r="A115" s="695" t="s">
        <v>1609</v>
      </c>
      <c r="B115" s="696" t="s">
        <v>1541</v>
      </c>
      <c r="C115" s="696" t="s">
        <v>1948</v>
      </c>
      <c r="D115" s="696" t="s">
        <v>1949</v>
      </c>
      <c r="E115" s="696" t="s">
        <v>1950</v>
      </c>
      <c r="F115" s="711">
        <v>2</v>
      </c>
      <c r="G115" s="711">
        <v>193.26</v>
      </c>
      <c r="H115" s="701">
        <v>1</v>
      </c>
      <c r="I115" s="711"/>
      <c r="J115" s="711"/>
      <c r="K115" s="701">
        <v>0</v>
      </c>
      <c r="L115" s="711">
        <v>2</v>
      </c>
      <c r="M115" s="712">
        <v>193.26</v>
      </c>
    </row>
    <row r="116" spans="1:13" ht="14.4" customHeight="1" x14ac:dyDescent="0.3">
      <c r="A116" s="695" t="s">
        <v>1609</v>
      </c>
      <c r="B116" s="696" t="s">
        <v>1546</v>
      </c>
      <c r="C116" s="696" t="s">
        <v>2122</v>
      </c>
      <c r="D116" s="696" t="s">
        <v>948</v>
      </c>
      <c r="E116" s="696" t="s">
        <v>2123</v>
      </c>
      <c r="F116" s="711">
        <v>2</v>
      </c>
      <c r="G116" s="711">
        <v>0</v>
      </c>
      <c r="H116" s="701"/>
      <c r="I116" s="711"/>
      <c r="J116" s="711"/>
      <c r="K116" s="701"/>
      <c r="L116" s="711">
        <v>2</v>
      </c>
      <c r="M116" s="712">
        <v>0</v>
      </c>
    </row>
    <row r="117" spans="1:13" ht="14.4" customHeight="1" x14ac:dyDescent="0.3">
      <c r="A117" s="695" t="s">
        <v>1609</v>
      </c>
      <c r="B117" s="696" t="s">
        <v>1582</v>
      </c>
      <c r="C117" s="696" t="s">
        <v>2146</v>
      </c>
      <c r="D117" s="696" t="s">
        <v>2147</v>
      </c>
      <c r="E117" s="696" t="s">
        <v>2148</v>
      </c>
      <c r="F117" s="711"/>
      <c r="G117" s="711"/>
      <c r="H117" s="701">
        <v>0</v>
      </c>
      <c r="I117" s="711">
        <v>2</v>
      </c>
      <c r="J117" s="711">
        <v>189.6</v>
      </c>
      <c r="K117" s="701">
        <v>1</v>
      </c>
      <c r="L117" s="711">
        <v>2</v>
      </c>
      <c r="M117" s="712">
        <v>189.6</v>
      </c>
    </row>
    <row r="118" spans="1:13" ht="14.4" customHeight="1" x14ac:dyDescent="0.3">
      <c r="A118" s="695" t="s">
        <v>1609</v>
      </c>
      <c r="B118" s="696" t="s">
        <v>2255</v>
      </c>
      <c r="C118" s="696" t="s">
        <v>2140</v>
      </c>
      <c r="D118" s="696" t="s">
        <v>2141</v>
      </c>
      <c r="E118" s="696" t="s">
        <v>2142</v>
      </c>
      <c r="F118" s="711">
        <v>2</v>
      </c>
      <c r="G118" s="711">
        <v>459.14</v>
      </c>
      <c r="H118" s="701">
        <v>1</v>
      </c>
      <c r="I118" s="711"/>
      <c r="J118" s="711"/>
      <c r="K118" s="701">
        <v>0</v>
      </c>
      <c r="L118" s="711">
        <v>2</v>
      </c>
      <c r="M118" s="712">
        <v>459.14</v>
      </c>
    </row>
    <row r="119" spans="1:13" ht="14.4" customHeight="1" x14ac:dyDescent="0.3">
      <c r="A119" s="695" t="s">
        <v>1609</v>
      </c>
      <c r="B119" s="696" t="s">
        <v>2255</v>
      </c>
      <c r="C119" s="696" t="s">
        <v>2143</v>
      </c>
      <c r="D119" s="696" t="s">
        <v>2141</v>
      </c>
      <c r="E119" s="696" t="s">
        <v>2144</v>
      </c>
      <c r="F119" s="711">
        <v>2</v>
      </c>
      <c r="G119" s="711">
        <v>0</v>
      </c>
      <c r="H119" s="701"/>
      <c r="I119" s="711"/>
      <c r="J119" s="711"/>
      <c r="K119" s="701"/>
      <c r="L119" s="711">
        <v>2</v>
      </c>
      <c r="M119" s="712">
        <v>0</v>
      </c>
    </row>
    <row r="120" spans="1:13" ht="14.4" customHeight="1" x14ac:dyDescent="0.3">
      <c r="A120" s="695" t="s">
        <v>1610</v>
      </c>
      <c r="B120" s="696" t="s">
        <v>1512</v>
      </c>
      <c r="C120" s="696" t="s">
        <v>1367</v>
      </c>
      <c r="D120" s="696" t="s">
        <v>1317</v>
      </c>
      <c r="E120" s="696" t="s">
        <v>1368</v>
      </c>
      <c r="F120" s="711"/>
      <c r="G120" s="711"/>
      <c r="H120" s="701">
        <v>0</v>
      </c>
      <c r="I120" s="711">
        <v>9</v>
      </c>
      <c r="J120" s="711">
        <v>5627.61</v>
      </c>
      <c r="K120" s="701">
        <v>1</v>
      </c>
      <c r="L120" s="711">
        <v>9</v>
      </c>
      <c r="M120" s="712">
        <v>5627.61</v>
      </c>
    </row>
    <row r="121" spans="1:13" ht="14.4" customHeight="1" x14ac:dyDescent="0.3">
      <c r="A121" s="695" t="s">
        <v>1610</v>
      </c>
      <c r="B121" s="696" t="s">
        <v>1512</v>
      </c>
      <c r="C121" s="696" t="s">
        <v>1316</v>
      </c>
      <c r="D121" s="696" t="s">
        <v>1317</v>
      </c>
      <c r="E121" s="696" t="s">
        <v>1318</v>
      </c>
      <c r="F121" s="711"/>
      <c r="G121" s="711"/>
      <c r="H121" s="701">
        <v>0</v>
      </c>
      <c r="I121" s="711">
        <v>2</v>
      </c>
      <c r="J121" s="711">
        <v>1875.86</v>
      </c>
      <c r="K121" s="701">
        <v>1</v>
      </c>
      <c r="L121" s="711">
        <v>2</v>
      </c>
      <c r="M121" s="712">
        <v>1875.86</v>
      </c>
    </row>
    <row r="122" spans="1:13" ht="14.4" customHeight="1" x14ac:dyDescent="0.3">
      <c r="A122" s="695" t="s">
        <v>1610</v>
      </c>
      <c r="B122" s="696" t="s">
        <v>1541</v>
      </c>
      <c r="C122" s="696" t="s">
        <v>916</v>
      </c>
      <c r="D122" s="696" t="s">
        <v>917</v>
      </c>
      <c r="E122" s="696" t="s">
        <v>1543</v>
      </c>
      <c r="F122" s="711"/>
      <c r="G122" s="711"/>
      <c r="H122" s="701">
        <v>0</v>
      </c>
      <c r="I122" s="711">
        <v>1</v>
      </c>
      <c r="J122" s="711">
        <v>96.63</v>
      </c>
      <c r="K122" s="701">
        <v>1</v>
      </c>
      <c r="L122" s="711">
        <v>1</v>
      </c>
      <c r="M122" s="712">
        <v>96.63</v>
      </c>
    </row>
    <row r="123" spans="1:13" ht="14.4" customHeight="1" x14ac:dyDescent="0.3">
      <c r="A123" s="695" t="s">
        <v>1610</v>
      </c>
      <c r="B123" s="696" t="s">
        <v>1544</v>
      </c>
      <c r="C123" s="696" t="s">
        <v>1802</v>
      </c>
      <c r="D123" s="696" t="s">
        <v>1803</v>
      </c>
      <c r="E123" s="696" t="s">
        <v>1804</v>
      </c>
      <c r="F123" s="711"/>
      <c r="G123" s="711"/>
      <c r="H123" s="701">
        <v>0</v>
      </c>
      <c r="I123" s="711">
        <v>2</v>
      </c>
      <c r="J123" s="711">
        <v>65.48</v>
      </c>
      <c r="K123" s="701">
        <v>1</v>
      </c>
      <c r="L123" s="711">
        <v>2</v>
      </c>
      <c r="M123" s="712">
        <v>65.48</v>
      </c>
    </row>
    <row r="124" spans="1:13" ht="14.4" customHeight="1" x14ac:dyDescent="0.3">
      <c r="A124" s="695" t="s">
        <v>1611</v>
      </c>
      <c r="B124" s="696" t="s">
        <v>2253</v>
      </c>
      <c r="C124" s="696" t="s">
        <v>2197</v>
      </c>
      <c r="D124" s="696" t="s">
        <v>2198</v>
      </c>
      <c r="E124" s="696" t="s">
        <v>2199</v>
      </c>
      <c r="F124" s="711"/>
      <c r="G124" s="711"/>
      <c r="H124" s="701">
        <v>0</v>
      </c>
      <c r="I124" s="711">
        <v>1</v>
      </c>
      <c r="J124" s="711">
        <v>140.03</v>
      </c>
      <c r="K124" s="701">
        <v>1</v>
      </c>
      <c r="L124" s="711">
        <v>1</v>
      </c>
      <c r="M124" s="712">
        <v>140.03</v>
      </c>
    </row>
    <row r="125" spans="1:13" ht="14.4" customHeight="1" x14ac:dyDescent="0.3">
      <c r="A125" s="695" t="s">
        <v>1611</v>
      </c>
      <c r="B125" s="696" t="s">
        <v>1512</v>
      </c>
      <c r="C125" s="696" t="s">
        <v>1367</v>
      </c>
      <c r="D125" s="696" t="s">
        <v>1317</v>
      </c>
      <c r="E125" s="696" t="s">
        <v>1368</v>
      </c>
      <c r="F125" s="711"/>
      <c r="G125" s="711"/>
      <c r="H125" s="701">
        <v>0</v>
      </c>
      <c r="I125" s="711">
        <v>17</v>
      </c>
      <c r="J125" s="711">
        <v>10629.93</v>
      </c>
      <c r="K125" s="701">
        <v>1</v>
      </c>
      <c r="L125" s="711">
        <v>17</v>
      </c>
      <c r="M125" s="712">
        <v>10629.93</v>
      </c>
    </row>
    <row r="126" spans="1:13" ht="14.4" customHeight="1" x14ac:dyDescent="0.3">
      <c r="A126" s="695" t="s">
        <v>1611</v>
      </c>
      <c r="B126" s="696" t="s">
        <v>1524</v>
      </c>
      <c r="C126" s="696" t="s">
        <v>1019</v>
      </c>
      <c r="D126" s="696" t="s">
        <v>1525</v>
      </c>
      <c r="E126" s="696" t="s">
        <v>1526</v>
      </c>
      <c r="F126" s="711"/>
      <c r="G126" s="711"/>
      <c r="H126" s="701">
        <v>0</v>
      </c>
      <c r="I126" s="711">
        <v>2</v>
      </c>
      <c r="J126" s="711">
        <v>666.62</v>
      </c>
      <c r="K126" s="701">
        <v>1</v>
      </c>
      <c r="L126" s="711">
        <v>2</v>
      </c>
      <c r="M126" s="712">
        <v>666.62</v>
      </c>
    </row>
    <row r="127" spans="1:13" ht="14.4" customHeight="1" x14ac:dyDescent="0.3">
      <c r="A127" s="695" t="s">
        <v>1611</v>
      </c>
      <c r="B127" s="696" t="s">
        <v>1524</v>
      </c>
      <c r="C127" s="696" t="s">
        <v>2172</v>
      </c>
      <c r="D127" s="696" t="s">
        <v>2173</v>
      </c>
      <c r="E127" s="696" t="s">
        <v>2174</v>
      </c>
      <c r="F127" s="711"/>
      <c r="G127" s="711"/>
      <c r="H127" s="701">
        <v>0</v>
      </c>
      <c r="I127" s="711">
        <v>1</v>
      </c>
      <c r="J127" s="711">
        <v>152.36000000000001</v>
      </c>
      <c r="K127" s="701">
        <v>1</v>
      </c>
      <c r="L127" s="711">
        <v>1</v>
      </c>
      <c r="M127" s="712">
        <v>152.36000000000001</v>
      </c>
    </row>
    <row r="128" spans="1:13" ht="14.4" customHeight="1" x14ac:dyDescent="0.3">
      <c r="A128" s="695" t="s">
        <v>1611</v>
      </c>
      <c r="B128" s="696" t="s">
        <v>1533</v>
      </c>
      <c r="C128" s="696" t="s">
        <v>1045</v>
      </c>
      <c r="D128" s="696" t="s">
        <v>1046</v>
      </c>
      <c r="E128" s="696" t="s">
        <v>1047</v>
      </c>
      <c r="F128" s="711"/>
      <c r="G128" s="711"/>
      <c r="H128" s="701">
        <v>0</v>
      </c>
      <c r="I128" s="711">
        <v>1</v>
      </c>
      <c r="J128" s="711">
        <v>154.01</v>
      </c>
      <c r="K128" s="701">
        <v>1</v>
      </c>
      <c r="L128" s="711">
        <v>1</v>
      </c>
      <c r="M128" s="712">
        <v>154.01</v>
      </c>
    </row>
    <row r="129" spans="1:13" ht="14.4" customHeight="1" x14ac:dyDescent="0.3">
      <c r="A129" s="695" t="s">
        <v>1611</v>
      </c>
      <c r="B129" s="696" t="s">
        <v>1536</v>
      </c>
      <c r="C129" s="696" t="s">
        <v>2175</v>
      </c>
      <c r="D129" s="696" t="s">
        <v>2176</v>
      </c>
      <c r="E129" s="696" t="s">
        <v>2177</v>
      </c>
      <c r="F129" s="711">
        <v>4</v>
      </c>
      <c r="G129" s="711">
        <v>209.6</v>
      </c>
      <c r="H129" s="701">
        <v>1</v>
      </c>
      <c r="I129" s="711"/>
      <c r="J129" s="711"/>
      <c r="K129" s="701">
        <v>0</v>
      </c>
      <c r="L129" s="711">
        <v>4</v>
      </c>
      <c r="M129" s="712">
        <v>209.6</v>
      </c>
    </row>
    <row r="130" spans="1:13" ht="14.4" customHeight="1" x14ac:dyDescent="0.3">
      <c r="A130" s="695" t="s">
        <v>1611</v>
      </c>
      <c r="B130" s="696" t="s">
        <v>1536</v>
      </c>
      <c r="C130" s="696" t="s">
        <v>1628</v>
      </c>
      <c r="D130" s="696" t="s">
        <v>1629</v>
      </c>
      <c r="E130" s="696" t="s">
        <v>1537</v>
      </c>
      <c r="F130" s="711">
        <v>4</v>
      </c>
      <c r="G130" s="711">
        <v>279.44</v>
      </c>
      <c r="H130" s="701">
        <v>1</v>
      </c>
      <c r="I130" s="711"/>
      <c r="J130" s="711"/>
      <c r="K130" s="701">
        <v>0</v>
      </c>
      <c r="L130" s="711">
        <v>4</v>
      </c>
      <c r="M130" s="712">
        <v>279.44</v>
      </c>
    </row>
    <row r="131" spans="1:13" ht="14.4" customHeight="1" x14ac:dyDescent="0.3">
      <c r="A131" s="695" t="s">
        <v>1611</v>
      </c>
      <c r="B131" s="696" t="s">
        <v>1541</v>
      </c>
      <c r="C131" s="696" t="s">
        <v>916</v>
      </c>
      <c r="D131" s="696" t="s">
        <v>917</v>
      </c>
      <c r="E131" s="696" t="s">
        <v>1543</v>
      </c>
      <c r="F131" s="711"/>
      <c r="G131" s="711"/>
      <c r="H131" s="701">
        <v>0</v>
      </c>
      <c r="I131" s="711">
        <v>6</v>
      </c>
      <c r="J131" s="711">
        <v>579.78</v>
      </c>
      <c r="K131" s="701">
        <v>1</v>
      </c>
      <c r="L131" s="711">
        <v>6</v>
      </c>
      <c r="M131" s="712">
        <v>579.78</v>
      </c>
    </row>
    <row r="132" spans="1:13" ht="14.4" customHeight="1" x14ac:dyDescent="0.3">
      <c r="A132" s="695" t="s">
        <v>1611</v>
      </c>
      <c r="B132" s="696" t="s">
        <v>1541</v>
      </c>
      <c r="C132" s="696" t="s">
        <v>1948</v>
      </c>
      <c r="D132" s="696" t="s">
        <v>1949</v>
      </c>
      <c r="E132" s="696" t="s">
        <v>1950</v>
      </c>
      <c r="F132" s="711">
        <v>2</v>
      </c>
      <c r="G132" s="711">
        <v>193.26</v>
      </c>
      <c r="H132" s="701">
        <v>1</v>
      </c>
      <c r="I132" s="711"/>
      <c r="J132" s="711"/>
      <c r="K132" s="701">
        <v>0</v>
      </c>
      <c r="L132" s="711">
        <v>2</v>
      </c>
      <c r="M132" s="712">
        <v>193.26</v>
      </c>
    </row>
    <row r="133" spans="1:13" ht="14.4" customHeight="1" x14ac:dyDescent="0.3">
      <c r="A133" s="695" t="s">
        <v>1612</v>
      </c>
      <c r="B133" s="696" t="s">
        <v>1512</v>
      </c>
      <c r="C133" s="696" t="s">
        <v>1367</v>
      </c>
      <c r="D133" s="696" t="s">
        <v>1317</v>
      </c>
      <c r="E133" s="696" t="s">
        <v>1368</v>
      </c>
      <c r="F133" s="711"/>
      <c r="G133" s="711"/>
      <c r="H133" s="701">
        <v>0</v>
      </c>
      <c r="I133" s="711">
        <v>7</v>
      </c>
      <c r="J133" s="711">
        <v>4377.03</v>
      </c>
      <c r="K133" s="701">
        <v>1</v>
      </c>
      <c r="L133" s="711">
        <v>7</v>
      </c>
      <c r="M133" s="712">
        <v>4377.03</v>
      </c>
    </row>
    <row r="134" spans="1:13" ht="14.4" customHeight="1" x14ac:dyDescent="0.3">
      <c r="A134" s="695" t="s">
        <v>1612</v>
      </c>
      <c r="B134" s="696" t="s">
        <v>1536</v>
      </c>
      <c r="C134" s="696" t="s">
        <v>1030</v>
      </c>
      <c r="D134" s="696" t="s">
        <v>1031</v>
      </c>
      <c r="E134" s="696" t="s">
        <v>1537</v>
      </c>
      <c r="F134" s="711"/>
      <c r="G134" s="711"/>
      <c r="H134" s="701">
        <v>0</v>
      </c>
      <c r="I134" s="711">
        <v>3</v>
      </c>
      <c r="J134" s="711">
        <v>209.57999999999998</v>
      </c>
      <c r="K134" s="701">
        <v>1</v>
      </c>
      <c r="L134" s="711">
        <v>3</v>
      </c>
      <c r="M134" s="712">
        <v>209.57999999999998</v>
      </c>
    </row>
    <row r="135" spans="1:13" ht="14.4" customHeight="1" x14ac:dyDescent="0.3">
      <c r="A135" s="695" t="s">
        <v>1612</v>
      </c>
      <c r="B135" s="696" t="s">
        <v>1541</v>
      </c>
      <c r="C135" s="696" t="s">
        <v>944</v>
      </c>
      <c r="D135" s="696" t="s">
        <v>917</v>
      </c>
      <c r="E135" s="696" t="s">
        <v>1542</v>
      </c>
      <c r="F135" s="711"/>
      <c r="G135" s="711"/>
      <c r="H135" s="701">
        <v>0</v>
      </c>
      <c r="I135" s="711">
        <v>1</v>
      </c>
      <c r="J135" s="711">
        <v>48.31</v>
      </c>
      <c r="K135" s="701">
        <v>1</v>
      </c>
      <c r="L135" s="711">
        <v>1</v>
      </c>
      <c r="M135" s="712">
        <v>48.31</v>
      </c>
    </row>
    <row r="136" spans="1:13" ht="14.4" customHeight="1" x14ac:dyDescent="0.3">
      <c r="A136" s="695" t="s">
        <v>1612</v>
      </c>
      <c r="B136" s="696" t="s">
        <v>1541</v>
      </c>
      <c r="C136" s="696" t="s">
        <v>2038</v>
      </c>
      <c r="D136" s="696" t="s">
        <v>917</v>
      </c>
      <c r="E136" s="696" t="s">
        <v>2039</v>
      </c>
      <c r="F136" s="711"/>
      <c r="G136" s="711"/>
      <c r="H136" s="701">
        <v>0</v>
      </c>
      <c r="I136" s="711">
        <v>2</v>
      </c>
      <c r="J136" s="711">
        <v>386.52</v>
      </c>
      <c r="K136" s="701">
        <v>1</v>
      </c>
      <c r="L136" s="711">
        <v>2</v>
      </c>
      <c r="M136" s="712">
        <v>386.52</v>
      </c>
    </row>
    <row r="137" spans="1:13" ht="14.4" customHeight="1" x14ac:dyDescent="0.3">
      <c r="A137" s="695" t="s">
        <v>1613</v>
      </c>
      <c r="B137" s="696" t="s">
        <v>1512</v>
      </c>
      <c r="C137" s="696" t="s">
        <v>2229</v>
      </c>
      <c r="D137" s="696" t="s">
        <v>1317</v>
      </c>
      <c r="E137" s="696" t="s">
        <v>2230</v>
      </c>
      <c r="F137" s="711"/>
      <c r="G137" s="711"/>
      <c r="H137" s="701">
        <v>0</v>
      </c>
      <c r="I137" s="711">
        <v>1</v>
      </c>
      <c r="J137" s="711">
        <v>468.96</v>
      </c>
      <c r="K137" s="701">
        <v>1</v>
      </c>
      <c r="L137" s="711">
        <v>1</v>
      </c>
      <c r="M137" s="712">
        <v>468.96</v>
      </c>
    </row>
    <row r="138" spans="1:13" ht="14.4" customHeight="1" x14ac:dyDescent="0.3">
      <c r="A138" s="695" t="s">
        <v>1613</v>
      </c>
      <c r="B138" s="696" t="s">
        <v>1512</v>
      </c>
      <c r="C138" s="696" t="s">
        <v>1367</v>
      </c>
      <c r="D138" s="696" t="s">
        <v>1317</v>
      </c>
      <c r="E138" s="696" t="s">
        <v>1368</v>
      </c>
      <c r="F138" s="711"/>
      <c r="G138" s="711"/>
      <c r="H138" s="701">
        <v>0</v>
      </c>
      <c r="I138" s="711">
        <v>95</v>
      </c>
      <c r="J138" s="711">
        <v>59402.550000000025</v>
      </c>
      <c r="K138" s="701">
        <v>1</v>
      </c>
      <c r="L138" s="711">
        <v>95</v>
      </c>
      <c r="M138" s="712">
        <v>59402.550000000025</v>
      </c>
    </row>
    <row r="139" spans="1:13" ht="14.4" customHeight="1" x14ac:dyDescent="0.3">
      <c r="A139" s="695" t="s">
        <v>1613</v>
      </c>
      <c r="B139" s="696" t="s">
        <v>1512</v>
      </c>
      <c r="C139" s="696" t="s">
        <v>1316</v>
      </c>
      <c r="D139" s="696" t="s">
        <v>1317</v>
      </c>
      <c r="E139" s="696" t="s">
        <v>1318</v>
      </c>
      <c r="F139" s="711"/>
      <c r="G139" s="711"/>
      <c r="H139" s="701">
        <v>0</v>
      </c>
      <c r="I139" s="711">
        <v>20</v>
      </c>
      <c r="J139" s="711">
        <v>18758.600000000002</v>
      </c>
      <c r="K139" s="701">
        <v>1</v>
      </c>
      <c r="L139" s="711">
        <v>20</v>
      </c>
      <c r="M139" s="712">
        <v>18758.600000000002</v>
      </c>
    </row>
    <row r="140" spans="1:13" ht="14.4" customHeight="1" x14ac:dyDescent="0.3">
      <c r="A140" s="695" t="s">
        <v>1613</v>
      </c>
      <c r="B140" s="696" t="s">
        <v>1512</v>
      </c>
      <c r="C140" s="696" t="s">
        <v>1728</v>
      </c>
      <c r="D140" s="696" t="s">
        <v>1317</v>
      </c>
      <c r="E140" s="696" t="s">
        <v>1729</v>
      </c>
      <c r="F140" s="711"/>
      <c r="G140" s="711"/>
      <c r="H140" s="701">
        <v>0</v>
      </c>
      <c r="I140" s="711">
        <v>7</v>
      </c>
      <c r="J140" s="711">
        <v>8165.2900000000009</v>
      </c>
      <c r="K140" s="701">
        <v>1</v>
      </c>
      <c r="L140" s="711">
        <v>7</v>
      </c>
      <c r="M140" s="712">
        <v>8165.2900000000009</v>
      </c>
    </row>
    <row r="141" spans="1:13" ht="14.4" customHeight="1" x14ac:dyDescent="0.3">
      <c r="A141" s="695" t="s">
        <v>1613</v>
      </c>
      <c r="B141" s="696" t="s">
        <v>1524</v>
      </c>
      <c r="C141" s="696" t="s">
        <v>1019</v>
      </c>
      <c r="D141" s="696" t="s">
        <v>1525</v>
      </c>
      <c r="E141" s="696" t="s">
        <v>1526</v>
      </c>
      <c r="F141" s="711"/>
      <c r="G141" s="711"/>
      <c r="H141" s="701">
        <v>0</v>
      </c>
      <c r="I141" s="711">
        <v>1</v>
      </c>
      <c r="J141" s="711">
        <v>333.31</v>
      </c>
      <c r="K141" s="701">
        <v>1</v>
      </c>
      <c r="L141" s="711">
        <v>1</v>
      </c>
      <c r="M141" s="712">
        <v>333.31</v>
      </c>
    </row>
    <row r="142" spans="1:13" ht="14.4" customHeight="1" x14ac:dyDescent="0.3">
      <c r="A142" s="695" t="s">
        <v>1613</v>
      </c>
      <c r="B142" s="696" t="s">
        <v>1524</v>
      </c>
      <c r="C142" s="696" t="s">
        <v>1041</v>
      </c>
      <c r="D142" s="696" t="s">
        <v>1529</v>
      </c>
      <c r="E142" s="696" t="s">
        <v>1530</v>
      </c>
      <c r="F142" s="711"/>
      <c r="G142" s="711"/>
      <c r="H142" s="701">
        <v>0</v>
      </c>
      <c r="I142" s="711">
        <v>4</v>
      </c>
      <c r="J142" s="711">
        <v>1333.24</v>
      </c>
      <c r="K142" s="701">
        <v>1</v>
      </c>
      <c r="L142" s="711">
        <v>4</v>
      </c>
      <c r="M142" s="712">
        <v>1333.24</v>
      </c>
    </row>
    <row r="143" spans="1:13" ht="14.4" customHeight="1" x14ac:dyDescent="0.3">
      <c r="A143" s="695" t="s">
        <v>1613</v>
      </c>
      <c r="B143" s="696" t="s">
        <v>1524</v>
      </c>
      <c r="C143" s="696" t="s">
        <v>1791</v>
      </c>
      <c r="D143" s="696" t="s">
        <v>1792</v>
      </c>
      <c r="E143" s="696" t="s">
        <v>1793</v>
      </c>
      <c r="F143" s="711">
        <v>2</v>
      </c>
      <c r="G143" s="711">
        <v>0</v>
      </c>
      <c r="H143" s="701"/>
      <c r="I143" s="711"/>
      <c r="J143" s="711"/>
      <c r="K143" s="701"/>
      <c r="L143" s="711">
        <v>2</v>
      </c>
      <c r="M143" s="712">
        <v>0</v>
      </c>
    </row>
    <row r="144" spans="1:13" ht="14.4" customHeight="1" x14ac:dyDescent="0.3">
      <c r="A144" s="695" t="s">
        <v>1613</v>
      </c>
      <c r="B144" s="696" t="s">
        <v>1558</v>
      </c>
      <c r="C144" s="696" t="s">
        <v>1417</v>
      </c>
      <c r="D144" s="696" t="s">
        <v>1418</v>
      </c>
      <c r="E144" s="696" t="s">
        <v>1537</v>
      </c>
      <c r="F144" s="711"/>
      <c r="G144" s="711"/>
      <c r="H144" s="701">
        <v>0</v>
      </c>
      <c r="I144" s="711">
        <v>2</v>
      </c>
      <c r="J144" s="711">
        <v>368.44</v>
      </c>
      <c r="K144" s="701">
        <v>1</v>
      </c>
      <c r="L144" s="711">
        <v>2</v>
      </c>
      <c r="M144" s="712">
        <v>368.44</v>
      </c>
    </row>
    <row r="145" spans="1:13" ht="14.4" customHeight="1" x14ac:dyDescent="0.3">
      <c r="A145" s="695" t="s">
        <v>1613</v>
      </c>
      <c r="B145" s="696" t="s">
        <v>1533</v>
      </c>
      <c r="C145" s="696" t="s">
        <v>1045</v>
      </c>
      <c r="D145" s="696" t="s">
        <v>1046</v>
      </c>
      <c r="E145" s="696" t="s">
        <v>1047</v>
      </c>
      <c r="F145" s="711"/>
      <c r="G145" s="711"/>
      <c r="H145" s="701">
        <v>0</v>
      </c>
      <c r="I145" s="711">
        <v>14</v>
      </c>
      <c r="J145" s="711">
        <v>2156.14</v>
      </c>
      <c r="K145" s="701">
        <v>1</v>
      </c>
      <c r="L145" s="711">
        <v>14</v>
      </c>
      <c r="M145" s="712">
        <v>2156.14</v>
      </c>
    </row>
    <row r="146" spans="1:13" ht="14.4" customHeight="1" x14ac:dyDescent="0.3">
      <c r="A146" s="695" t="s">
        <v>1613</v>
      </c>
      <c r="B146" s="696" t="s">
        <v>1536</v>
      </c>
      <c r="C146" s="696" t="s">
        <v>1030</v>
      </c>
      <c r="D146" s="696" t="s">
        <v>1031</v>
      </c>
      <c r="E146" s="696" t="s">
        <v>1537</v>
      </c>
      <c r="F146" s="711"/>
      <c r="G146" s="711"/>
      <c r="H146" s="701">
        <v>0</v>
      </c>
      <c r="I146" s="711">
        <v>1</v>
      </c>
      <c r="J146" s="711">
        <v>69.86</v>
      </c>
      <c r="K146" s="701">
        <v>1</v>
      </c>
      <c r="L146" s="711">
        <v>1</v>
      </c>
      <c r="M146" s="712">
        <v>69.86</v>
      </c>
    </row>
    <row r="147" spans="1:13" ht="14.4" customHeight="1" x14ac:dyDescent="0.3">
      <c r="A147" s="695" t="s">
        <v>1613</v>
      </c>
      <c r="B147" s="696" t="s">
        <v>1565</v>
      </c>
      <c r="C147" s="696" t="s">
        <v>1799</v>
      </c>
      <c r="D147" s="696" t="s">
        <v>1451</v>
      </c>
      <c r="E147" s="696" t="s">
        <v>1800</v>
      </c>
      <c r="F147" s="711">
        <v>2</v>
      </c>
      <c r="G147" s="711">
        <v>0</v>
      </c>
      <c r="H147" s="701"/>
      <c r="I147" s="711"/>
      <c r="J147" s="711"/>
      <c r="K147" s="701"/>
      <c r="L147" s="711">
        <v>2</v>
      </c>
      <c r="M147" s="712">
        <v>0</v>
      </c>
    </row>
    <row r="148" spans="1:13" ht="14.4" customHeight="1" x14ac:dyDescent="0.3">
      <c r="A148" s="695" t="s">
        <v>1613</v>
      </c>
      <c r="B148" s="696" t="s">
        <v>1541</v>
      </c>
      <c r="C148" s="696" t="s">
        <v>944</v>
      </c>
      <c r="D148" s="696" t="s">
        <v>917</v>
      </c>
      <c r="E148" s="696" t="s">
        <v>1542</v>
      </c>
      <c r="F148" s="711"/>
      <c r="G148" s="711"/>
      <c r="H148" s="701">
        <v>0</v>
      </c>
      <c r="I148" s="711">
        <v>1</v>
      </c>
      <c r="J148" s="711">
        <v>48.31</v>
      </c>
      <c r="K148" s="701">
        <v>1</v>
      </c>
      <c r="L148" s="711">
        <v>1</v>
      </c>
      <c r="M148" s="712">
        <v>48.31</v>
      </c>
    </row>
    <row r="149" spans="1:13" ht="14.4" customHeight="1" x14ac:dyDescent="0.3">
      <c r="A149" s="695" t="s">
        <v>1613</v>
      </c>
      <c r="B149" s="696" t="s">
        <v>1541</v>
      </c>
      <c r="C149" s="696" t="s">
        <v>916</v>
      </c>
      <c r="D149" s="696" t="s">
        <v>917</v>
      </c>
      <c r="E149" s="696" t="s">
        <v>1543</v>
      </c>
      <c r="F149" s="711"/>
      <c r="G149" s="711"/>
      <c r="H149" s="701">
        <v>0</v>
      </c>
      <c r="I149" s="711">
        <v>27</v>
      </c>
      <c r="J149" s="711">
        <v>2609.0100000000016</v>
      </c>
      <c r="K149" s="701">
        <v>1</v>
      </c>
      <c r="L149" s="711">
        <v>27</v>
      </c>
      <c r="M149" s="712">
        <v>2609.0100000000016</v>
      </c>
    </row>
    <row r="150" spans="1:13" ht="14.4" customHeight="1" x14ac:dyDescent="0.3">
      <c r="A150" s="695" t="s">
        <v>1613</v>
      </c>
      <c r="B150" s="696" t="s">
        <v>1544</v>
      </c>
      <c r="C150" s="696" t="s">
        <v>1676</v>
      </c>
      <c r="D150" s="696" t="s">
        <v>1677</v>
      </c>
      <c r="E150" s="696" t="s">
        <v>1678</v>
      </c>
      <c r="F150" s="711">
        <v>3</v>
      </c>
      <c r="G150" s="711">
        <v>294.69</v>
      </c>
      <c r="H150" s="701">
        <v>1</v>
      </c>
      <c r="I150" s="711"/>
      <c r="J150" s="711"/>
      <c r="K150" s="701">
        <v>0</v>
      </c>
      <c r="L150" s="711">
        <v>3</v>
      </c>
      <c r="M150" s="712">
        <v>294.69</v>
      </c>
    </row>
    <row r="151" spans="1:13" ht="14.4" customHeight="1" x14ac:dyDescent="0.3">
      <c r="A151" s="695" t="s">
        <v>1613</v>
      </c>
      <c r="B151" s="696" t="s">
        <v>1544</v>
      </c>
      <c r="C151" s="696" t="s">
        <v>1802</v>
      </c>
      <c r="D151" s="696" t="s">
        <v>1803</v>
      </c>
      <c r="E151" s="696" t="s">
        <v>1804</v>
      </c>
      <c r="F151" s="711"/>
      <c r="G151" s="711"/>
      <c r="H151" s="701">
        <v>0</v>
      </c>
      <c r="I151" s="711">
        <v>1</v>
      </c>
      <c r="J151" s="711">
        <v>32.74</v>
      </c>
      <c r="K151" s="701">
        <v>1</v>
      </c>
      <c r="L151" s="711">
        <v>1</v>
      </c>
      <c r="M151" s="712">
        <v>32.74</v>
      </c>
    </row>
    <row r="152" spans="1:13" ht="14.4" customHeight="1" x14ac:dyDescent="0.3">
      <c r="A152" s="695" t="s">
        <v>1613</v>
      </c>
      <c r="B152" s="696" t="s">
        <v>1544</v>
      </c>
      <c r="C152" s="696" t="s">
        <v>1805</v>
      </c>
      <c r="D152" s="696" t="s">
        <v>1806</v>
      </c>
      <c r="E152" s="696" t="s">
        <v>1807</v>
      </c>
      <c r="F152" s="711">
        <v>1</v>
      </c>
      <c r="G152" s="711">
        <v>32.74</v>
      </c>
      <c r="H152" s="701">
        <v>1</v>
      </c>
      <c r="I152" s="711"/>
      <c r="J152" s="711"/>
      <c r="K152" s="701">
        <v>0</v>
      </c>
      <c r="L152" s="711">
        <v>1</v>
      </c>
      <c r="M152" s="712">
        <v>32.74</v>
      </c>
    </row>
    <row r="153" spans="1:13" ht="14.4" customHeight="1" x14ac:dyDescent="0.3">
      <c r="A153" s="695" t="s">
        <v>1613</v>
      </c>
      <c r="B153" s="696" t="s">
        <v>1544</v>
      </c>
      <c r="C153" s="696" t="s">
        <v>1679</v>
      </c>
      <c r="D153" s="696" t="s">
        <v>929</v>
      </c>
      <c r="E153" s="696" t="s">
        <v>1678</v>
      </c>
      <c r="F153" s="711"/>
      <c r="G153" s="711"/>
      <c r="H153" s="701">
        <v>0</v>
      </c>
      <c r="I153" s="711">
        <v>1</v>
      </c>
      <c r="J153" s="711">
        <v>98.23</v>
      </c>
      <c r="K153" s="701">
        <v>1</v>
      </c>
      <c r="L153" s="711">
        <v>1</v>
      </c>
      <c r="M153" s="712">
        <v>98.23</v>
      </c>
    </row>
    <row r="154" spans="1:13" ht="14.4" customHeight="1" thickBot="1" x14ac:dyDescent="0.35">
      <c r="A154" s="703" t="s">
        <v>1613</v>
      </c>
      <c r="B154" s="704" t="s">
        <v>2256</v>
      </c>
      <c r="C154" s="704" t="s">
        <v>2224</v>
      </c>
      <c r="D154" s="704" t="s">
        <v>2225</v>
      </c>
      <c r="E154" s="704" t="s">
        <v>2226</v>
      </c>
      <c r="F154" s="713"/>
      <c r="G154" s="713"/>
      <c r="H154" s="709">
        <v>0</v>
      </c>
      <c r="I154" s="713">
        <v>1</v>
      </c>
      <c r="J154" s="713">
        <v>413.22</v>
      </c>
      <c r="K154" s="709">
        <v>1</v>
      </c>
      <c r="L154" s="713">
        <v>1</v>
      </c>
      <c r="M154" s="714">
        <v>413.22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179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4" t="s">
        <v>556</v>
      </c>
      <c r="B5" s="615" t="s">
        <v>557</v>
      </c>
      <c r="C5" s="616" t="s">
        <v>558</v>
      </c>
      <c r="D5" s="616" t="s">
        <v>558</v>
      </c>
      <c r="E5" s="616"/>
      <c r="F5" s="616" t="s">
        <v>558</v>
      </c>
      <c r="G5" s="616" t="s">
        <v>558</v>
      </c>
      <c r="H5" s="616" t="s">
        <v>558</v>
      </c>
      <c r="I5" s="617" t="s">
        <v>558</v>
      </c>
      <c r="J5" s="618" t="s">
        <v>74</v>
      </c>
    </row>
    <row r="6" spans="1:10" ht="14.4" customHeight="1" x14ac:dyDescent="0.3">
      <c r="A6" s="614" t="s">
        <v>556</v>
      </c>
      <c r="B6" s="615" t="s">
        <v>343</v>
      </c>
      <c r="C6" s="616" t="s">
        <v>558</v>
      </c>
      <c r="D6" s="616" t="s">
        <v>558</v>
      </c>
      <c r="E6" s="616"/>
      <c r="F6" s="616">
        <v>0</v>
      </c>
      <c r="G6" s="616">
        <v>47.5</v>
      </c>
      <c r="H6" s="616">
        <v>-47.5</v>
      </c>
      <c r="I6" s="617">
        <v>0</v>
      </c>
      <c r="J6" s="618" t="s">
        <v>1</v>
      </c>
    </row>
    <row r="7" spans="1:10" ht="14.4" customHeight="1" x14ac:dyDescent="0.3">
      <c r="A7" s="614" t="s">
        <v>556</v>
      </c>
      <c r="B7" s="615" t="s">
        <v>344</v>
      </c>
      <c r="C7" s="616">
        <v>3527.03514</v>
      </c>
      <c r="D7" s="616">
        <v>2461.4357500000001</v>
      </c>
      <c r="E7" s="616"/>
      <c r="F7" s="616">
        <v>2176.9938900000029</v>
      </c>
      <c r="G7" s="616">
        <v>2415.5</v>
      </c>
      <c r="H7" s="616">
        <v>-238.50610999999708</v>
      </c>
      <c r="I7" s="617">
        <v>0.90126014903746754</v>
      </c>
      <c r="J7" s="618" t="s">
        <v>1</v>
      </c>
    </row>
    <row r="8" spans="1:10" ht="14.4" customHeight="1" x14ac:dyDescent="0.3">
      <c r="A8" s="614" t="s">
        <v>556</v>
      </c>
      <c r="B8" s="615" t="s">
        <v>2258</v>
      </c>
      <c r="C8" s="616">
        <v>0</v>
      </c>
      <c r="D8" s="616" t="s">
        <v>558</v>
      </c>
      <c r="E8" s="616"/>
      <c r="F8" s="616" t="s">
        <v>558</v>
      </c>
      <c r="G8" s="616" t="s">
        <v>558</v>
      </c>
      <c r="H8" s="616" t="s">
        <v>558</v>
      </c>
      <c r="I8" s="617" t="s">
        <v>558</v>
      </c>
      <c r="J8" s="618" t="s">
        <v>1</v>
      </c>
    </row>
    <row r="9" spans="1:10" ht="14.4" customHeight="1" x14ac:dyDescent="0.3">
      <c r="A9" s="614" t="s">
        <v>556</v>
      </c>
      <c r="B9" s="615" t="s">
        <v>345</v>
      </c>
      <c r="C9" s="616" t="s">
        <v>558</v>
      </c>
      <c r="D9" s="616" t="s">
        <v>558</v>
      </c>
      <c r="E9" s="616"/>
      <c r="F9" s="616">
        <v>107.08707000000001</v>
      </c>
      <c r="G9" s="616">
        <v>69.75</v>
      </c>
      <c r="H9" s="616">
        <v>37.337070000000011</v>
      </c>
      <c r="I9" s="617">
        <v>1.5352984946236561</v>
      </c>
      <c r="J9" s="618" t="s">
        <v>1</v>
      </c>
    </row>
    <row r="10" spans="1:10" ht="14.4" customHeight="1" x14ac:dyDescent="0.3">
      <c r="A10" s="614" t="s">
        <v>556</v>
      </c>
      <c r="B10" s="615" t="s">
        <v>346</v>
      </c>
      <c r="C10" s="616">
        <v>3.6083799999999999</v>
      </c>
      <c r="D10" s="616">
        <v>1.13273</v>
      </c>
      <c r="E10" s="616"/>
      <c r="F10" s="616">
        <v>1.0151399999999999</v>
      </c>
      <c r="G10" s="616">
        <v>2</v>
      </c>
      <c r="H10" s="616">
        <v>-0.98486000000000007</v>
      </c>
      <c r="I10" s="617">
        <v>0.50756999999999997</v>
      </c>
      <c r="J10" s="618" t="s">
        <v>1</v>
      </c>
    </row>
    <row r="11" spans="1:10" ht="14.4" customHeight="1" x14ac:dyDescent="0.3">
      <c r="A11" s="614" t="s">
        <v>556</v>
      </c>
      <c r="B11" s="615" t="s">
        <v>347</v>
      </c>
      <c r="C11" s="616">
        <v>0.36309999999999998</v>
      </c>
      <c r="D11" s="616">
        <v>0.46500000000000002</v>
      </c>
      <c r="E11" s="616"/>
      <c r="F11" s="616">
        <v>0.47099999999999997</v>
      </c>
      <c r="G11" s="616">
        <v>0.25</v>
      </c>
      <c r="H11" s="616">
        <v>0.22099999999999997</v>
      </c>
      <c r="I11" s="617">
        <v>1.8839999999999999</v>
      </c>
      <c r="J11" s="618" t="s">
        <v>1</v>
      </c>
    </row>
    <row r="12" spans="1:10" ht="14.4" customHeight="1" x14ac:dyDescent="0.3">
      <c r="A12" s="614" t="s">
        <v>556</v>
      </c>
      <c r="B12" s="615" t="s">
        <v>348</v>
      </c>
      <c r="C12" s="616">
        <v>208.52959999999999</v>
      </c>
      <c r="D12" s="616">
        <v>202.19935999999998</v>
      </c>
      <c r="E12" s="616"/>
      <c r="F12" s="616">
        <v>214.95622000000003</v>
      </c>
      <c r="G12" s="616">
        <v>253.5</v>
      </c>
      <c r="H12" s="616">
        <v>-38.54377999999997</v>
      </c>
      <c r="I12" s="617">
        <v>0.84795353057199219</v>
      </c>
      <c r="J12" s="618" t="s">
        <v>1</v>
      </c>
    </row>
    <row r="13" spans="1:10" ht="14.4" customHeight="1" x14ac:dyDescent="0.3">
      <c r="A13" s="614" t="s">
        <v>556</v>
      </c>
      <c r="B13" s="615" t="s">
        <v>349</v>
      </c>
      <c r="C13" s="616">
        <v>29.727</v>
      </c>
      <c r="D13" s="616">
        <v>11.648759999999999</v>
      </c>
      <c r="E13" s="616"/>
      <c r="F13" s="616" t="s">
        <v>558</v>
      </c>
      <c r="G13" s="616" t="s">
        <v>558</v>
      </c>
      <c r="H13" s="616" t="s">
        <v>558</v>
      </c>
      <c r="I13" s="617" t="s">
        <v>558</v>
      </c>
      <c r="J13" s="618" t="s">
        <v>1</v>
      </c>
    </row>
    <row r="14" spans="1:10" ht="14.4" customHeight="1" x14ac:dyDescent="0.3">
      <c r="A14" s="614" t="s">
        <v>556</v>
      </c>
      <c r="B14" s="615" t="s">
        <v>350</v>
      </c>
      <c r="C14" s="616">
        <v>512.36378999999999</v>
      </c>
      <c r="D14" s="616">
        <v>227.11834999999999</v>
      </c>
      <c r="E14" s="616"/>
      <c r="F14" s="616">
        <v>284.84942999999998</v>
      </c>
      <c r="G14" s="616">
        <v>327.25</v>
      </c>
      <c r="H14" s="616">
        <v>-42.400570000000016</v>
      </c>
      <c r="I14" s="617">
        <v>0.87043370511841101</v>
      </c>
      <c r="J14" s="618" t="s">
        <v>1</v>
      </c>
    </row>
    <row r="15" spans="1:10" ht="14.4" customHeight="1" x14ac:dyDescent="0.3">
      <c r="A15" s="614" t="s">
        <v>556</v>
      </c>
      <c r="B15" s="615" t="s">
        <v>351</v>
      </c>
      <c r="C15" s="616">
        <v>4.9950000000000001</v>
      </c>
      <c r="D15" s="616">
        <v>12.795660000000002</v>
      </c>
      <c r="E15" s="616"/>
      <c r="F15" s="616">
        <v>16.708000000000002</v>
      </c>
      <c r="G15" s="616">
        <v>19</v>
      </c>
      <c r="H15" s="616">
        <v>-2.291999999999998</v>
      </c>
      <c r="I15" s="617">
        <v>0.87936842105263169</v>
      </c>
      <c r="J15" s="618" t="s">
        <v>1</v>
      </c>
    </row>
    <row r="16" spans="1:10" ht="14.4" customHeight="1" x14ac:dyDescent="0.3">
      <c r="A16" s="614" t="s">
        <v>556</v>
      </c>
      <c r="B16" s="615" t="s">
        <v>352</v>
      </c>
      <c r="C16" s="616">
        <v>14.36354</v>
      </c>
      <c r="D16" s="616">
        <v>23.170849999999998</v>
      </c>
      <c r="E16" s="616"/>
      <c r="F16" s="616">
        <v>27.863600000000002</v>
      </c>
      <c r="G16" s="616">
        <v>35</v>
      </c>
      <c r="H16" s="616">
        <v>-7.1363999999999983</v>
      </c>
      <c r="I16" s="617">
        <v>0.79610285714285722</v>
      </c>
      <c r="J16" s="618" t="s">
        <v>1</v>
      </c>
    </row>
    <row r="17" spans="1:10" ht="14.4" customHeight="1" x14ac:dyDescent="0.3">
      <c r="A17" s="614" t="s">
        <v>556</v>
      </c>
      <c r="B17" s="615" t="s">
        <v>353</v>
      </c>
      <c r="C17" s="616">
        <v>29.274000000000001</v>
      </c>
      <c r="D17" s="616">
        <v>5.8740000000000006</v>
      </c>
      <c r="E17" s="616"/>
      <c r="F17" s="616">
        <v>9.6379999999999999</v>
      </c>
      <c r="G17" s="616">
        <v>3.75</v>
      </c>
      <c r="H17" s="616">
        <v>5.8879999999999999</v>
      </c>
      <c r="I17" s="617">
        <v>2.5701333333333332</v>
      </c>
      <c r="J17" s="618" t="s">
        <v>1</v>
      </c>
    </row>
    <row r="18" spans="1:10" ht="14.4" customHeight="1" x14ac:dyDescent="0.3">
      <c r="A18" s="614" t="s">
        <v>556</v>
      </c>
      <c r="B18" s="615" t="s">
        <v>2259</v>
      </c>
      <c r="C18" s="616">
        <v>0</v>
      </c>
      <c r="D18" s="616">
        <v>0</v>
      </c>
      <c r="E18" s="616"/>
      <c r="F18" s="616" t="s">
        <v>558</v>
      </c>
      <c r="G18" s="616" t="s">
        <v>558</v>
      </c>
      <c r="H18" s="616" t="s">
        <v>558</v>
      </c>
      <c r="I18" s="617" t="s">
        <v>558</v>
      </c>
      <c r="J18" s="618" t="s">
        <v>1</v>
      </c>
    </row>
    <row r="19" spans="1:10" ht="14.4" customHeight="1" x14ac:dyDescent="0.3">
      <c r="A19" s="614" t="s">
        <v>556</v>
      </c>
      <c r="B19" s="615" t="s">
        <v>354</v>
      </c>
      <c r="C19" s="616">
        <v>23.3964</v>
      </c>
      <c r="D19" s="616">
        <v>17.815999999999999</v>
      </c>
      <c r="E19" s="616"/>
      <c r="F19" s="616">
        <v>16.382899999999999</v>
      </c>
      <c r="G19" s="616">
        <v>19.5</v>
      </c>
      <c r="H19" s="616">
        <v>-3.1171000000000006</v>
      </c>
      <c r="I19" s="617">
        <v>0.84014871794871793</v>
      </c>
      <c r="J19" s="618" t="s">
        <v>1</v>
      </c>
    </row>
    <row r="20" spans="1:10" ht="14.4" customHeight="1" x14ac:dyDescent="0.3">
      <c r="A20" s="614" t="s">
        <v>556</v>
      </c>
      <c r="B20" s="615" t="s">
        <v>355</v>
      </c>
      <c r="C20" s="616">
        <v>5.5554000000000006</v>
      </c>
      <c r="D20" s="616">
        <v>7.5069700000000008</v>
      </c>
      <c r="E20" s="616"/>
      <c r="F20" s="616">
        <v>2.6779000000000002</v>
      </c>
      <c r="G20" s="616">
        <v>8.75</v>
      </c>
      <c r="H20" s="616">
        <v>-6.0720999999999998</v>
      </c>
      <c r="I20" s="617">
        <v>0.30604571428571431</v>
      </c>
      <c r="J20" s="618" t="s">
        <v>1</v>
      </c>
    </row>
    <row r="21" spans="1:10" ht="14.4" customHeight="1" x14ac:dyDescent="0.3">
      <c r="A21" s="614" t="s">
        <v>556</v>
      </c>
      <c r="B21" s="615" t="s">
        <v>356</v>
      </c>
      <c r="C21" s="616">
        <v>17.100000000000001</v>
      </c>
      <c r="D21" s="616">
        <v>0</v>
      </c>
      <c r="E21" s="616"/>
      <c r="F21" s="616">
        <v>59.489429999999999</v>
      </c>
      <c r="G21" s="616">
        <v>54.5</v>
      </c>
      <c r="H21" s="616">
        <v>4.9894299999999987</v>
      </c>
      <c r="I21" s="617">
        <v>1.0915491743119266</v>
      </c>
      <c r="J21" s="618" t="s">
        <v>1</v>
      </c>
    </row>
    <row r="22" spans="1:10" ht="14.4" customHeight="1" x14ac:dyDescent="0.3">
      <c r="A22" s="614" t="s">
        <v>556</v>
      </c>
      <c r="B22" s="615" t="s">
        <v>2260</v>
      </c>
      <c r="C22" s="616">
        <v>2.1295199999999999</v>
      </c>
      <c r="D22" s="616" t="s">
        <v>558</v>
      </c>
      <c r="E22" s="616"/>
      <c r="F22" s="616" t="s">
        <v>558</v>
      </c>
      <c r="G22" s="616" t="s">
        <v>558</v>
      </c>
      <c r="H22" s="616" t="s">
        <v>558</v>
      </c>
      <c r="I22" s="617" t="s">
        <v>558</v>
      </c>
      <c r="J22" s="618" t="s">
        <v>1</v>
      </c>
    </row>
    <row r="23" spans="1:10" ht="14.4" customHeight="1" x14ac:dyDescent="0.3">
      <c r="A23" s="614" t="s">
        <v>556</v>
      </c>
      <c r="B23" s="615" t="s">
        <v>561</v>
      </c>
      <c r="C23" s="616">
        <v>4378.4408700000013</v>
      </c>
      <c r="D23" s="616">
        <v>2971.1634300000001</v>
      </c>
      <c r="E23" s="616"/>
      <c r="F23" s="616">
        <v>2918.1325800000036</v>
      </c>
      <c r="G23" s="616">
        <v>3256.25</v>
      </c>
      <c r="H23" s="616">
        <v>-338.1174199999964</v>
      </c>
      <c r="I23" s="617">
        <v>0.89616355623800492</v>
      </c>
      <c r="J23" s="618" t="s">
        <v>562</v>
      </c>
    </row>
    <row r="25" spans="1:10" ht="14.4" customHeight="1" x14ac:dyDescent="0.3">
      <c r="A25" s="614" t="s">
        <v>556</v>
      </c>
      <c r="B25" s="615" t="s">
        <v>557</v>
      </c>
      <c r="C25" s="616" t="s">
        <v>558</v>
      </c>
      <c r="D25" s="616" t="s">
        <v>558</v>
      </c>
      <c r="E25" s="616"/>
      <c r="F25" s="616" t="s">
        <v>558</v>
      </c>
      <c r="G25" s="616" t="s">
        <v>558</v>
      </c>
      <c r="H25" s="616" t="s">
        <v>558</v>
      </c>
      <c r="I25" s="617" t="s">
        <v>558</v>
      </c>
      <c r="J25" s="618" t="s">
        <v>74</v>
      </c>
    </row>
    <row r="26" spans="1:10" ht="14.4" customHeight="1" x14ac:dyDescent="0.3">
      <c r="A26" s="614" t="s">
        <v>563</v>
      </c>
      <c r="B26" s="615" t="s">
        <v>564</v>
      </c>
      <c r="C26" s="616" t="s">
        <v>558</v>
      </c>
      <c r="D26" s="616" t="s">
        <v>558</v>
      </c>
      <c r="E26" s="616"/>
      <c r="F26" s="616" t="s">
        <v>558</v>
      </c>
      <c r="G26" s="616" t="s">
        <v>558</v>
      </c>
      <c r="H26" s="616" t="s">
        <v>558</v>
      </c>
      <c r="I26" s="617" t="s">
        <v>558</v>
      </c>
      <c r="J26" s="618" t="s">
        <v>0</v>
      </c>
    </row>
    <row r="27" spans="1:10" ht="14.4" customHeight="1" x14ac:dyDescent="0.3">
      <c r="A27" s="614" t="s">
        <v>563</v>
      </c>
      <c r="B27" s="615" t="s">
        <v>346</v>
      </c>
      <c r="C27" s="616">
        <v>0.93186999999999998</v>
      </c>
      <c r="D27" s="616">
        <v>0</v>
      </c>
      <c r="E27" s="616"/>
      <c r="F27" s="616">
        <v>0</v>
      </c>
      <c r="G27" s="616">
        <v>0.75</v>
      </c>
      <c r="H27" s="616">
        <v>-0.75</v>
      </c>
      <c r="I27" s="617">
        <v>0</v>
      </c>
      <c r="J27" s="618" t="s">
        <v>1</v>
      </c>
    </row>
    <row r="28" spans="1:10" ht="14.4" customHeight="1" x14ac:dyDescent="0.3">
      <c r="A28" s="614" t="s">
        <v>563</v>
      </c>
      <c r="B28" s="615" t="s">
        <v>347</v>
      </c>
      <c r="C28" s="616">
        <v>0.36309999999999998</v>
      </c>
      <c r="D28" s="616">
        <v>0</v>
      </c>
      <c r="E28" s="616"/>
      <c r="F28" s="616" t="s">
        <v>558</v>
      </c>
      <c r="G28" s="616" t="s">
        <v>558</v>
      </c>
      <c r="H28" s="616" t="s">
        <v>558</v>
      </c>
      <c r="I28" s="617" t="s">
        <v>558</v>
      </c>
      <c r="J28" s="618" t="s">
        <v>1</v>
      </c>
    </row>
    <row r="29" spans="1:10" ht="14.4" customHeight="1" x14ac:dyDescent="0.3">
      <c r="A29" s="614" t="s">
        <v>563</v>
      </c>
      <c r="B29" s="615" t="s">
        <v>348</v>
      </c>
      <c r="C29" s="616">
        <v>113.65768</v>
      </c>
      <c r="D29" s="616">
        <v>113.49941</v>
      </c>
      <c r="E29" s="616"/>
      <c r="F29" s="616">
        <v>117.31737</v>
      </c>
      <c r="G29" s="616">
        <v>137</v>
      </c>
      <c r="H29" s="616">
        <v>-19.682630000000003</v>
      </c>
      <c r="I29" s="617">
        <v>0.85633116788321162</v>
      </c>
      <c r="J29" s="618" t="s">
        <v>1</v>
      </c>
    </row>
    <row r="30" spans="1:10" ht="14.4" customHeight="1" x14ac:dyDescent="0.3">
      <c r="A30" s="614" t="s">
        <v>563</v>
      </c>
      <c r="B30" s="615" t="s">
        <v>350</v>
      </c>
      <c r="C30" s="616">
        <v>36.657809999999998</v>
      </c>
      <c r="D30" s="616">
        <v>29.72119</v>
      </c>
      <c r="E30" s="616"/>
      <c r="F30" s="616">
        <v>26.08305</v>
      </c>
      <c r="G30" s="616">
        <v>37.75</v>
      </c>
      <c r="H30" s="616">
        <v>-11.66695</v>
      </c>
      <c r="I30" s="617">
        <v>0.69094172185430469</v>
      </c>
      <c r="J30" s="618" t="s">
        <v>1</v>
      </c>
    </row>
    <row r="31" spans="1:10" ht="14.4" customHeight="1" x14ac:dyDescent="0.3">
      <c r="A31" s="614" t="s">
        <v>563</v>
      </c>
      <c r="B31" s="615" t="s">
        <v>351</v>
      </c>
      <c r="C31" s="616">
        <v>3.8650000000000002</v>
      </c>
      <c r="D31" s="616">
        <v>9.4844000000000008</v>
      </c>
      <c r="E31" s="616"/>
      <c r="F31" s="616">
        <v>11.431000000000001</v>
      </c>
      <c r="G31" s="616">
        <v>10.25</v>
      </c>
      <c r="H31" s="616">
        <v>1.1810000000000009</v>
      </c>
      <c r="I31" s="617">
        <v>1.1152195121951221</v>
      </c>
      <c r="J31" s="618" t="s">
        <v>1</v>
      </c>
    </row>
    <row r="32" spans="1:10" ht="14.4" customHeight="1" x14ac:dyDescent="0.3">
      <c r="A32" s="614" t="s">
        <v>563</v>
      </c>
      <c r="B32" s="615" t="s">
        <v>353</v>
      </c>
      <c r="C32" s="616">
        <v>1.335</v>
      </c>
      <c r="D32" s="616">
        <v>0.73899999999999999</v>
      </c>
      <c r="E32" s="616"/>
      <c r="F32" s="616">
        <v>1.1970000000000001</v>
      </c>
      <c r="G32" s="616">
        <v>1.25</v>
      </c>
      <c r="H32" s="616">
        <v>-5.2999999999999936E-2</v>
      </c>
      <c r="I32" s="617">
        <v>0.95760000000000001</v>
      </c>
      <c r="J32" s="618" t="s">
        <v>1</v>
      </c>
    </row>
    <row r="33" spans="1:10" ht="14.4" customHeight="1" x14ac:dyDescent="0.3">
      <c r="A33" s="614" t="s">
        <v>563</v>
      </c>
      <c r="B33" s="615" t="s">
        <v>354</v>
      </c>
      <c r="C33" s="616">
        <v>10.32</v>
      </c>
      <c r="D33" s="616">
        <v>7.8100000000000005</v>
      </c>
      <c r="E33" s="616"/>
      <c r="F33" s="616">
        <v>5.8010000000000002</v>
      </c>
      <c r="G33" s="616">
        <v>7.5</v>
      </c>
      <c r="H33" s="616">
        <v>-1.6989999999999998</v>
      </c>
      <c r="I33" s="617">
        <v>0.77346666666666664</v>
      </c>
      <c r="J33" s="618" t="s">
        <v>1</v>
      </c>
    </row>
    <row r="34" spans="1:10" ht="14.4" customHeight="1" x14ac:dyDescent="0.3">
      <c r="A34" s="614" t="s">
        <v>563</v>
      </c>
      <c r="B34" s="615" t="s">
        <v>355</v>
      </c>
      <c r="C34" s="616">
        <v>3.0265</v>
      </c>
      <c r="D34" s="616">
        <v>0</v>
      </c>
      <c r="E34" s="616"/>
      <c r="F34" s="616">
        <v>0</v>
      </c>
      <c r="G34" s="616">
        <v>1</v>
      </c>
      <c r="H34" s="616">
        <v>-1</v>
      </c>
      <c r="I34" s="617">
        <v>0</v>
      </c>
      <c r="J34" s="618" t="s">
        <v>1</v>
      </c>
    </row>
    <row r="35" spans="1:10" ht="14.4" customHeight="1" x14ac:dyDescent="0.3">
      <c r="A35" s="614" t="s">
        <v>563</v>
      </c>
      <c r="B35" s="615" t="s">
        <v>565</v>
      </c>
      <c r="C35" s="616">
        <v>170.15696</v>
      </c>
      <c r="D35" s="616">
        <v>161.25399999999999</v>
      </c>
      <c r="E35" s="616"/>
      <c r="F35" s="616">
        <v>161.82942</v>
      </c>
      <c r="G35" s="616">
        <v>195.5</v>
      </c>
      <c r="H35" s="616">
        <v>-33.670580000000001</v>
      </c>
      <c r="I35" s="617">
        <v>0.82777196930946295</v>
      </c>
      <c r="J35" s="618" t="s">
        <v>566</v>
      </c>
    </row>
    <row r="36" spans="1:10" ht="14.4" customHeight="1" x14ac:dyDescent="0.3">
      <c r="A36" s="614" t="s">
        <v>558</v>
      </c>
      <c r="B36" s="615" t="s">
        <v>558</v>
      </c>
      <c r="C36" s="616" t="s">
        <v>558</v>
      </c>
      <c r="D36" s="616" t="s">
        <v>558</v>
      </c>
      <c r="E36" s="616"/>
      <c r="F36" s="616" t="s">
        <v>558</v>
      </c>
      <c r="G36" s="616" t="s">
        <v>558</v>
      </c>
      <c r="H36" s="616" t="s">
        <v>558</v>
      </c>
      <c r="I36" s="617" t="s">
        <v>558</v>
      </c>
      <c r="J36" s="618" t="s">
        <v>567</v>
      </c>
    </row>
    <row r="37" spans="1:10" ht="14.4" customHeight="1" x14ac:dyDescent="0.3">
      <c r="A37" s="614" t="s">
        <v>568</v>
      </c>
      <c r="B37" s="615" t="s">
        <v>569</v>
      </c>
      <c r="C37" s="616" t="s">
        <v>558</v>
      </c>
      <c r="D37" s="616" t="s">
        <v>558</v>
      </c>
      <c r="E37" s="616"/>
      <c r="F37" s="616" t="s">
        <v>558</v>
      </c>
      <c r="G37" s="616" t="s">
        <v>558</v>
      </c>
      <c r="H37" s="616" t="s">
        <v>558</v>
      </c>
      <c r="I37" s="617" t="s">
        <v>558</v>
      </c>
      <c r="J37" s="618" t="s">
        <v>0</v>
      </c>
    </row>
    <row r="38" spans="1:10" ht="14.4" customHeight="1" x14ac:dyDescent="0.3">
      <c r="A38" s="614" t="s">
        <v>568</v>
      </c>
      <c r="B38" s="615" t="s">
        <v>344</v>
      </c>
      <c r="C38" s="616">
        <v>0</v>
      </c>
      <c r="D38" s="616">
        <v>0</v>
      </c>
      <c r="E38" s="616"/>
      <c r="F38" s="616">
        <v>0</v>
      </c>
      <c r="G38" s="616">
        <v>0.25</v>
      </c>
      <c r="H38" s="616">
        <v>-0.25</v>
      </c>
      <c r="I38" s="617">
        <v>0</v>
      </c>
      <c r="J38" s="618" t="s">
        <v>1</v>
      </c>
    </row>
    <row r="39" spans="1:10" ht="14.4" customHeight="1" x14ac:dyDescent="0.3">
      <c r="A39" s="614" t="s">
        <v>568</v>
      </c>
      <c r="B39" s="615" t="s">
        <v>348</v>
      </c>
      <c r="C39" s="616">
        <v>57.834440000000001</v>
      </c>
      <c r="D39" s="616">
        <v>54.840020000000003</v>
      </c>
      <c r="E39" s="616"/>
      <c r="F39" s="616">
        <v>54.77946</v>
      </c>
      <c r="G39" s="616">
        <v>56</v>
      </c>
      <c r="H39" s="616">
        <v>-1.2205399999999997</v>
      </c>
      <c r="I39" s="617">
        <v>0.97820464285714281</v>
      </c>
      <c r="J39" s="618" t="s">
        <v>1</v>
      </c>
    </row>
    <row r="40" spans="1:10" ht="14.4" customHeight="1" x14ac:dyDescent="0.3">
      <c r="A40" s="614" t="s">
        <v>568</v>
      </c>
      <c r="B40" s="615" t="s">
        <v>349</v>
      </c>
      <c r="C40" s="616">
        <v>29.727</v>
      </c>
      <c r="D40" s="616">
        <v>11.648759999999999</v>
      </c>
      <c r="E40" s="616"/>
      <c r="F40" s="616" t="s">
        <v>558</v>
      </c>
      <c r="G40" s="616" t="s">
        <v>558</v>
      </c>
      <c r="H40" s="616" t="s">
        <v>558</v>
      </c>
      <c r="I40" s="617" t="s">
        <v>558</v>
      </c>
      <c r="J40" s="618" t="s">
        <v>1</v>
      </c>
    </row>
    <row r="41" spans="1:10" ht="14.4" customHeight="1" x14ac:dyDescent="0.3">
      <c r="A41" s="614" t="s">
        <v>568</v>
      </c>
      <c r="B41" s="615" t="s">
        <v>350</v>
      </c>
      <c r="C41" s="616">
        <v>6.3810000000000002</v>
      </c>
      <c r="D41" s="616">
        <v>9.0705500000000008</v>
      </c>
      <c r="E41" s="616"/>
      <c r="F41" s="616">
        <v>6.0244</v>
      </c>
      <c r="G41" s="616">
        <v>8.5</v>
      </c>
      <c r="H41" s="616">
        <v>-2.4756</v>
      </c>
      <c r="I41" s="617">
        <v>0.70875294117647059</v>
      </c>
      <c r="J41" s="618" t="s">
        <v>1</v>
      </c>
    </row>
    <row r="42" spans="1:10" ht="14.4" customHeight="1" x14ac:dyDescent="0.3">
      <c r="A42" s="614" t="s">
        <v>568</v>
      </c>
      <c r="B42" s="615" t="s">
        <v>352</v>
      </c>
      <c r="C42" s="616">
        <v>2.4357199999999999</v>
      </c>
      <c r="D42" s="616">
        <v>2.4567399999999999</v>
      </c>
      <c r="E42" s="616"/>
      <c r="F42" s="616">
        <v>2.4839799999999999</v>
      </c>
      <c r="G42" s="616">
        <v>3.5</v>
      </c>
      <c r="H42" s="616">
        <v>-1.0160200000000001</v>
      </c>
      <c r="I42" s="617">
        <v>0.70970857142857136</v>
      </c>
      <c r="J42" s="618" t="s">
        <v>1</v>
      </c>
    </row>
    <row r="43" spans="1:10" ht="14.4" customHeight="1" x14ac:dyDescent="0.3">
      <c r="A43" s="614" t="s">
        <v>568</v>
      </c>
      <c r="B43" s="615" t="s">
        <v>353</v>
      </c>
      <c r="C43" s="616">
        <v>8.6999999999999994E-2</v>
      </c>
      <c r="D43" s="616">
        <v>0.09</v>
      </c>
      <c r="E43" s="616"/>
      <c r="F43" s="616">
        <v>0.12</v>
      </c>
      <c r="G43" s="616">
        <v>0.25</v>
      </c>
      <c r="H43" s="616">
        <v>-0.13</v>
      </c>
      <c r="I43" s="617">
        <v>0.48</v>
      </c>
      <c r="J43" s="618" t="s">
        <v>1</v>
      </c>
    </row>
    <row r="44" spans="1:10" ht="14.4" customHeight="1" x14ac:dyDescent="0.3">
      <c r="A44" s="614" t="s">
        <v>568</v>
      </c>
      <c r="B44" s="615" t="s">
        <v>354</v>
      </c>
      <c r="C44" s="616">
        <v>3.2204000000000002</v>
      </c>
      <c r="D44" s="616">
        <v>4.2859999999999996</v>
      </c>
      <c r="E44" s="616"/>
      <c r="F44" s="616">
        <v>4.3168999999999995</v>
      </c>
      <c r="G44" s="616">
        <v>5</v>
      </c>
      <c r="H44" s="616">
        <v>-0.68310000000000048</v>
      </c>
      <c r="I44" s="617">
        <v>0.86337999999999993</v>
      </c>
      <c r="J44" s="618" t="s">
        <v>1</v>
      </c>
    </row>
    <row r="45" spans="1:10" ht="14.4" customHeight="1" x14ac:dyDescent="0.3">
      <c r="A45" s="614" t="s">
        <v>568</v>
      </c>
      <c r="B45" s="615" t="s">
        <v>570</v>
      </c>
      <c r="C45" s="616">
        <v>99.685560000000009</v>
      </c>
      <c r="D45" s="616">
        <v>82.392070000000004</v>
      </c>
      <c r="E45" s="616"/>
      <c r="F45" s="616">
        <v>67.724739999999997</v>
      </c>
      <c r="G45" s="616">
        <v>73.5</v>
      </c>
      <c r="H45" s="616">
        <v>-5.7752600000000029</v>
      </c>
      <c r="I45" s="617">
        <v>0.92142503401360543</v>
      </c>
      <c r="J45" s="618" t="s">
        <v>566</v>
      </c>
    </row>
    <row r="46" spans="1:10" ht="14.4" customHeight="1" x14ac:dyDescent="0.3">
      <c r="A46" s="614" t="s">
        <v>558</v>
      </c>
      <c r="B46" s="615" t="s">
        <v>558</v>
      </c>
      <c r="C46" s="616" t="s">
        <v>558</v>
      </c>
      <c r="D46" s="616" t="s">
        <v>558</v>
      </c>
      <c r="E46" s="616"/>
      <c r="F46" s="616" t="s">
        <v>558</v>
      </c>
      <c r="G46" s="616" t="s">
        <v>558</v>
      </c>
      <c r="H46" s="616" t="s">
        <v>558</v>
      </c>
      <c r="I46" s="617" t="s">
        <v>558</v>
      </c>
      <c r="J46" s="618" t="s">
        <v>567</v>
      </c>
    </row>
    <row r="47" spans="1:10" ht="14.4" customHeight="1" x14ac:dyDescent="0.3">
      <c r="A47" s="614" t="s">
        <v>571</v>
      </c>
      <c r="B47" s="615" t="s">
        <v>572</v>
      </c>
      <c r="C47" s="616" t="s">
        <v>558</v>
      </c>
      <c r="D47" s="616" t="s">
        <v>558</v>
      </c>
      <c r="E47" s="616"/>
      <c r="F47" s="616" t="s">
        <v>558</v>
      </c>
      <c r="G47" s="616" t="s">
        <v>558</v>
      </c>
      <c r="H47" s="616" t="s">
        <v>558</v>
      </c>
      <c r="I47" s="617" t="s">
        <v>558</v>
      </c>
      <c r="J47" s="618" t="s">
        <v>0</v>
      </c>
    </row>
    <row r="48" spans="1:10" ht="14.4" customHeight="1" x14ac:dyDescent="0.3">
      <c r="A48" s="614" t="s">
        <v>571</v>
      </c>
      <c r="B48" s="615" t="s">
        <v>346</v>
      </c>
      <c r="C48" s="616">
        <v>2.6765099999999999</v>
      </c>
      <c r="D48" s="616">
        <v>1.13273</v>
      </c>
      <c r="E48" s="616"/>
      <c r="F48" s="616">
        <v>1.0151399999999999</v>
      </c>
      <c r="G48" s="616">
        <v>1.25</v>
      </c>
      <c r="H48" s="616">
        <v>-0.23486000000000007</v>
      </c>
      <c r="I48" s="617">
        <v>0.81211199999999995</v>
      </c>
      <c r="J48" s="618" t="s">
        <v>1</v>
      </c>
    </row>
    <row r="49" spans="1:10" ht="14.4" customHeight="1" x14ac:dyDescent="0.3">
      <c r="A49" s="614" t="s">
        <v>571</v>
      </c>
      <c r="B49" s="615" t="s">
        <v>347</v>
      </c>
      <c r="C49" s="616">
        <v>0</v>
      </c>
      <c r="D49" s="616">
        <v>0.46500000000000002</v>
      </c>
      <c r="E49" s="616"/>
      <c r="F49" s="616">
        <v>0.47099999999999997</v>
      </c>
      <c r="G49" s="616">
        <v>0.25</v>
      </c>
      <c r="H49" s="616">
        <v>0.22099999999999997</v>
      </c>
      <c r="I49" s="617">
        <v>1.8839999999999999</v>
      </c>
      <c r="J49" s="618" t="s">
        <v>1</v>
      </c>
    </row>
    <row r="50" spans="1:10" ht="14.4" customHeight="1" x14ac:dyDescent="0.3">
      <c r="A50" s="614" t="s">
        <v>571</v>
      </c>
      <c r="B50" s="615" t="s">
        <v>348</v>
      </c>
      <c r="C50" s="616">
        <v>34.148579999999995</v>
      </c>
      <c r="D50" s="616">
        <v>31.857129999999998</v>
      </c>
      <c r="E50" s="616"/>
      <c r="F50" s="616">
        <v>42.597190000000005</v>
      </c>
      <c r="G50" s="616">
        <v>55</v>
      </c>
      <c r="H50" s="616">
        <v>-12.402809999999995</v>
      </c>
      <c r="I50" s="617">
        <v>0.7744943636363637</v>
      </c>
      <c r="J50" s="618" t="s">
        <v>1</v>
      </c>
    </row>
    <row r="51" spans="1:10" ht="14.4" customHeight="1" x14ac:dyDescent="0.3">
      <c r="A51" s="614" t="s">
        <v>571</v>
      </c>
      <c r="B51" s="615" t="s">
        <v>350</v>
      </c>
      <c r="C51" s="616">
        <v>36.991460000000004</v>
      </c>
      <c r="D51" s="616">
        <v>47.697890000000001</v>
      </c>
      <c r="E51" s="616"/>
      <c r="F51" s="616">
        <v>46.623330000000003</v>
      </c>
      <c r="G51" s="616">
        <v>50.25</v>
      </c>
      <c r="H51" s="616">
        <v>-3.6266699999999972</v>
      </c>
      <c r="I51" s="617">
        <v>0.92782746268656724</v>
      </c>
      <c r="J51" s="618" t="s">
        <v>1</v>
      </c>
    </row>
    <row r="52" spans="1:10" ht="14.4" customHeight="1" x14ac:dyDescent="0.3">
      <c r="A52" s="614" t="s">
        <v>571</v>
      </c>
      <c r="B52" s="615" t="s">
        <v>351</v>
      </c>
      <c r="C52" s="616">
        <v>1.1299999999999999</v>
      </c>
      <c r="D52" s="616">
        <v>3.3112599999999999</v>
      </c>
      <c r="E52" s="616"/>
      <c r="F52" s="616">
        <v>2.9901</v>
      </c>
      <c r="G52" s="616">
        <v>3.25</v>
      </c>
      <c r="H52" s="616">
        <v>-0.25990000000000002</v>
      </c>
      <c r="I52" s="617">
        <v>0.92003076923076921</v>
      </c>
      <c r="J52" s="618" t="s">
        <v>1</v>
      </c>
    </row>
    <row r="53" spans="1:10" ht="14.4" customHeight="1" x14ac:dyDescent="0.3">
      <c r="A53" s="614" t="s">
        <v>571</v>
      </c>
      <c r="B53" s="615" t="s">
        <v>353</v>
      </c>
      <c r="C53" s="616">
        <v>1.1759999999999999</v>
      </c>
      <c r="D53" s="616">
        <v>0.56000000000000005</v>
      </c>
      <c r="E53" s="616"/>
      <c r="F53" s="616">
        <v>1.0609999999999999</v>
      </c>
      <c r="G53" s="616">
        <v>1</v>
      </c>
      <c r="H53" s="616">
        <v>6.0999999999999943E-2</v>
      </c>
      <c r="I53" s="617">
        <v>1.0609999999999999</v>
      </c>
      <c r="J53" s="618" t="s">
        <v>1</v>
      </c>
    </row>
    <row r="54" spans="1:10" ht="14.4" customHeight="1" x14ac:dyDescent="0.3">
      <c r="A54" s="614" t="s">
        <v>571</v>
      </c>
      <c r="B54" s="615" t="s">
        <v>354</v>
      </c>
      <c r="C54" s="616">
        <v>9.8559999999999999</v>
      </c>
      <c r="D54" s="616">
        <v>5.72</v>
      </c>
      <c r="E54" s="616"/>
      <c r="F54" s="616">
        <v>6.2650000000000006</v>
      </c>
      <c r="G54" s="616">
        <v>7</v>
      </c>
      <c r="H54" s="616">
        <v>-0.73499999999999943</v>
      </c>
      <c r="I54" s="617">
        <v>0.89500000000000013</v>
      </c>
      <c r="J54" s="618" t="s">
        <v>1</v>
      </c>
    </row>
    <row r="55" spans="1:10" ht="14.4" customHeight="1" x14ac:dyDescent="0.3">
      <c r="A55" s="614" t="s">
        <v>571</v>
      </c>
      <c r="B55" s="615" t="s">
        <v>355</v>
      </c>
      <c r="C55" s="616">
        <v>2.5289000000000001</v>
      </c>
      <c r="D55" s="616">
        <v>7.5069700000000008</v>
      </c>
      <c r="E55" s="616"/>
      <c r="F55" s="616">
        <v>2.6779000000000002</v>
      </c>
      <c r="G55" s="616">
        <v>7.5</v>
      </c>
      <c r="H55" s="616">
        <v>-4.8220999999999998</v>
      </c>
      <c r="I55" s="617">
        <v>0.35705333333333333</v>
      </c>
      <c r="J55" s="618" t="s">
        <v>1</v>
      </c>
    </row>
    <row r="56" spans="1:10" ht="14.4" customHeight="1" x14ac:dyDescent="0.3">
      <c r="A56" s="614" t="s">
        <v>571</v>
      </c>
      <c r="B56" s="615" t="s">
        <v>573</v>
      </c>
      <c r="C56" s="616">
        <v>88.507450000000006</v>
      </c>
      <c r="D56" s="616">
        <v>98.250979999999998</v>
      </c>
      <c r="E56" s="616"/>
      <c r="F56" s="616">
        <v>103.70065999999998</v>
      </c>
      <c r="G56" s="616">
        <v>125.5</v>
      </c>
      <c r="H56" s="616">
        <v>-21.799340000000015</v>
      </c>
      <c r="I56" s="617">
        <v>0.82630007968127483</v>
      </c>
      <c r="J56" s="618" t="s">
        <v>566</v>
      </c>
    </row>
    <row r="57" spans="1:10" ht="14.4" customHeight="1" x14ac:dyDescent="0.3">
      <c r="A57" s="614" t="s">
        <v>558</v>
      </c>
      <c r="B57" s="615" t="s">
        <v>558</v>
      </c>
      <c r="C57" s="616" t="s">
        <v>558</v>
      </c>
      <c r="D57" s="616" t="s">
        <v>558</v>
      </c>
      <c r="E57" s="616"/>
      <c r="F57" s="616" t="s">
        <v>558</v>
      </c>
      <c r="G57" s="616" t="s">
        <v>558</v>
      </c>
      <c r="H57" s="616" t="s">
        <v>558</v>
      </c>
      <c r="I57" s="617" t="s">
        <v>558</v>
      </c>
      <c r="J57" s="618" t="s">
        <v>567</v>
      </c>
    </row>
    <row r="58" spans="1:10" ht="14.4" customHeight="1" x14ac:dyDescent="0.3">
      <c r="A58" s="614" t="s">
        <v>574</v>
      </c>
      <c r="B58" s="615" t="s">
        <v>575</v>
      </c>
      <c r="C58" s="616" t="s">
        <v>558</v>
      </c>
      <c r="D58" s="616" t="s">
        <v>558</v>
      </c>
      <c r="E58" s="616"/>
      <c r="F58" s="616" t="s">
        <v>558</v>
      </c>
      <c r="G58" s="616" t="s">
        <v>558</v>
      </c>
      <c r="H58" s="616" t="s">
        <v>558</v>
      </c>
      <c r="I58" s="617" t="s">
        <v>558</v>
      </c>
      <c r="J58" s="618" t="s">
        <v>0</v>
      </c>
    </row>
    <row r="59" spans="1:10" ht="14.4" customHeight="1" x14ac:dyDescent="0.3">
      <c r="A59" s="614" t="s">
        <v>574</v>
      </c>
      <c r="B59" s="615" t="s">
        <v>343</v>
      </c>
      <c r="C59" s="616" t="s">
        <v>558</v>
      </c>
      <c r="D59" s="616" t="s">
        <v>558</v>
      </c>
      <c r="E59" s="616"/>
      <c r="F59" s="616">
        <v>0</v>
      </c>
      <c r="G59" s="616">
        <v>47.5</v>
      </c>
      <c r="H59" s="616">
        <v>-47.5</v>
      </c>
      <c r="I59" s="617">
        <v>0</v>
      </c>
      <c r="J59" s="618" t="s">
        <v>1</v>
      </c>
    </row>
    <row r="60" spans="1:10" ht="14.4" customHeight="1" x14ac:dyDescent="0.3">
      <c r="A60" s="614" t="s">
        <v>574</v>
      </c>
      <c r="B60" s="615" t="s">
        <v>344</v>
      </c>
      <c r="C60" s="616">
        <v>3527.03514</v>
      </c>
      <c r="D60" s="616">
        <v>2461.4357500000001</v>
      </c>
      <c r="E60" s="616"/>
      <c r="F60" s="616">
        <v>2176.9938900000029</v>
      </c>
      <c r="G60" s="616">
        <v>2415.25</v>
      </c>
      <c r="H60" s="616">
        <v>-238.25610999999708</v>
      </c>
      <c r="I60" s="617">
        <v>0.90135343753234776</v>
      </c>
      <c r="J60" s="618" t="s">
        <v>1</v>
      </c>
    </row>
    <row r="61" spans="1:10" ht="14.4" customHeight="1" x14ac:dyDescent="0.3">
      <c r="A61" s="614" t="s">
        <v>574</v>
      </c>
      <c r="B61" s="615" t="s">
        <v>2258</v>
      </c>
      <c r="C61" s="616">
        <v>0</v>
      </c>
      <c r="D61" s="616" t="s">
        <v>558</v>
      </c>
      <c r="E61" s="616"/>
      <c r="F61" s="616" t="s">
        <v>558</v>
      </c>
      <c r="G61" s="616" t="s">
        <v>558</v>
      </c>
      <c r="H61" s="616" t="s">
        <v>558</v>
      </c>
      <c r="I61" s="617" t="s">
        <v>558</v>
      </c>
      <c r="J61" s="618" t="s">
        <v>1</v>
      </c>
    </row>
    <row r="62" spans="1:10" ht="14.4" customHeight="1" x14ac:dyDescent="0.3">
      <c r="A62" s="614" t="s">
        <v>574</v>
      </c>
      <c r="B62" s="615" t="s">
        <v>345</v>
      </c>
      <c r="C62" s="616" t="s">
        <v>558</v>
      </c>
      <c r="D62" s="616" t="s">
        <v>558</v>
      </c>
      <c r="E62" s="616"/>
      <c r="F62" s="616">
        <v>107.08707000000001</v>
      </c>
      <c r="G62" s="616">
        <v>69.75</v>
      </c>
      <c r="H62" s="616">
        <v>37.337070000000011</v>
      </c>
      <c r="I62" s="617">
        <v>1.5352984946236561</v>
      </c>
      <c r="J62" s="618" t="s">
        <v>1</v>
      </c>
    </row>
    <row r="63" spans="1:10" ht="14.4" customHeight="1" x14ac:dyDescent="0.3">
      <c r="A63" s="614" t="s">
        <v>574</v>
      </c>
      <c r="B63" s="615" t="s">
        <v>348</v>
      </c>
      <c r="C63" s="616">
        <v>2.8888999999999996</v>
      </c>
      <c r="D63" s="616">
        <v>2.0027999999999997</v>
      </c>
      <c r="E63" s="616"/>
      <c r="F63" s="616">
        <v>0.26219999999999999</v>
      </c>
      <c r="G63" s="616">
        <v>5.5</v>
      </c>
      <c r="H63" s="616">
        <v>-5.2378</v>
      </c>
      <c r="I63" s="617">
        <v>4.7672727272727269E-2</v>
      </c>
      <c r="J63" s="618" t="s">
        <v>1</v>
      </c>
    </row>
    <row r="64" spans="1:10" ht="14.4" customHeight="1" x14ac:dyDescent="0.3">
      <c r="A64" s="614" t="s">
        <v>574</v>
      </c>
      <c r="B64" s="615" t="s">
        <v>350</v>
      </c>
      <c r="C64" s="616">
        <v>432.33352000000002</v>
      </c>
      <c r="D64" s="616">
        <v>140.62871999999999</v>
      </c>
      <c r="E64" s="616"/>
      <c r="F64" s="616">
        <v>206.11865</v>
      </c>
      <c r="G64" s="616">
        <v>230.75</v>
      </c>
      <c r="H64" s="616">
        <v>-24.631349999999998</v>
      </c>
      <c r="I64" s="617">
        <v>0.89325525460455035</v>
      </c>
      <c r="J64" s="618" t="s">
        <v>1</v>
      </c>
    </row>
    <row r="65" spans="1:10" ht="14.4" customHeight="1" x14ac:dyDescent="0.3">
      <c r="A65" s="614" t="s">
        <v>574</v>
      </c>
      <c r="B65" s="615" t="s">
        <v>351</v>
      </c>
      <c r="C65" s="616">
        <v>0</v>
      </c>
      <c r="D65" s="616">
        <v>0</v>
      </c>
      <c r="E65" s="616"/>
      <c r="F65" s="616">
        <v>2.2869000000000002</v>
      </c>
      <c r="G65" s="616">
        <v>5.5</v>
      </c>
      <c r="H65" s="616">
        <v>-3.2130999999999998</v>
      </c>
      <c r="I65" s="617">
        <v>0.4158</v>
      </c>
      <c r="J65" s="618" t="s">
        <v>1</v>
      </c>
    </row>
    <row r="66" spans="1:10" ht="14.4" customHeight="1" x14ac:dyDescent="0.3">
      <c r="A66" s="614" t="s">
        <v>574</v>
      </c>
      <c r="B66" s="615" t="s">
        <v>352</v>
      </c>
      <c r="C66" s="616">
        <v>11.927820000000001</v>
      </c>
      <c r="D66" s="616">
        <v>20.714109999999998</v>
      </c>
      <c r="E66" s="616"/>
      <c r="F66" s="616">
        <v>25.379620000000003</v>
      </c>
      <c r="G66" s="616">
        <v>31.5</v>
      </c>
      <c r="H66" s="616">
        <v>-6.1203799999999973</v>
      </c>
      <c r="I66" s="617">
        <v>0.80570222222222232</v>
      </c>
      <c r="J66" s="618" t="s">
        <v>1</v>
      </c>
    </row>
    <row r="67" spans="1:10" ht="14.4" customHeight="1" x14ac:dyDescent="0.3">
      <c r="A67" s="614" t="s">
        <v>574</v>
      </c>
      <c r="B67" s="615" t="s">
        <v>353</v>
      </c>
      <c r="C67" s="616">
        <v>26.676000000000002</v>
      </c>
      <c r="D67" s="616">
        <v>4.4850000000000003</v>
      </c>
      <c r="E67" s="616"/>
      <c r="F67" s="616">
        <v>7.26</v>
      </c>
      <c r="G67" s="616">
        <v>1.25</v>
      </c>
      <c r="H67" s="616">
        <v>6.01</v>
      </c>
      <c r="I67" s="617">
        <v>5.8079999999999998</v>
      </c>
      <c r="J67" s="618" t="s">
        <v>1</v>
      </c>
    </row>
    <row r="68" spans="1:10" ht="14.4" customHeight="1" x14ac:dyDescent="0.3">
      <c r="A68" s="614" t="s">
        <v>574</v>
      </c>
      <c r="B68" s="615" t="s">
        <v>2259</v>
      </c>
      <c r="C68" s="616">
        <v>0</v>
      </c>
      <c r="D68" s="616">
        <v>0</v>
      </c>
      <c r="E68" s="616"/>
      <c r="F68" s="616" t="s">
        <v>558</v>
      </c>
      <c r="G68" s="616" t="s">
        <v>558</v>
      </c>
      <c r="H68" s="616" t="s">
        <v>558</v>
      </c>
      <c r="I68" s="617" t="s">
        <v>558</v>
      </c>
      <c r="J68" s="618" t="s">
        <v>1</v>
      </c>
    </row>
    <row r="69" spans="1:10" ht="14.4" customHeight="1" x14ac:dyDescent="0.3">
      <c r="A69" s="614" t="s">
        <v>574</v>
      </c>
      <c r="B69" s="615" t="s">
        <v>354</v>
      </c>
      <c r="C69" s="616">
        <v>0</v>
      </c>
      <c r="D69" s="616">
        <v>0</v>
      </c>
      <c r="E69" s="616"/>
      <c r="F69" s="616" t="s">
        <v>558</v>
      </c>
      <c r="G69" s="616" t="s">
        <v>558</v>
      </c>
      <c r="H69" s="616" t="s">
        <v>558</v>
      </c>
      <c r="I69" s="617" t="s">
        <v>558</v>
      </c>
      <c r="J69" s="618" t="s">
        <v>1</v>
      </c>
    </row>
    <row r="70" spans="1:10" ht="14.4" customHeight="1" x14ac:dyDescent="0.3">
      <c r="A70" s="614" t="s">
        <v>574</v>
      </c>
      <c r="B70" s="615" t="s">
        <v>355</v>
      </c>
      <c r="C70" s="616">
        <v>0</v>
      </c>
      <c r="D70" s="616">
        <v>0</v>
      </c>
      <c r="E70" s="616"/>
      <c r="F70" s="616">
        <v>0</v>
      </c>
      <c r="G70" s="616">
        <v>0.25</v>
      </c>
      <c r="H70" s="616">
        <v>-0.25</v>
      </c>
      <c r="I70" s="617">
        <v>0</v>
      </c>
      <c r="J70" s="618" t="s">
        <v>1</v>
      </c>
    </row>
    <row r="71" spans="1:10" ht="14.4" customHeight="1" x14ac:dyDescent="0.3">
      <c r="A71" s="614" t="s">
        <v>574</v>
      </c>
      <c r="B71" s="615" t="s">
        <v>356</v>
      </c>
      <c r="C71" s="616">
        <v>17.100000000000001</v>
      </c>
      <c r="D71" s="616">
        <v>0</v>
      </c>
      <c r="E71" s="616"/>
      <c r="F71" s="616">
        <v>59.489429999999999</v>
      </c>
      <c r="G71" s="616">
        <v>54.5</v>
      </c>
      <c r="H71" s="616">
        <v>4.9894299999999987</v>
      </c>
      <c r="I71" s="617">
        <v>1.0915491743119266</v>
      </c>
      <c r="J71" s="618" t="s">
        <v>1</v>
      </c>
    </row>
    <row r="72" spans="1:10" ht="14.4" customHeight="1" x14ac:dyDescent="0.3">
      <c r="A72" s="614" t="s">
        <v>574</v>
      </c>
      <c r="B72" s="615" t="s">
        <v>2260</v>
      </c>
      <c r="C72" s="616">
        <v>2.1295199999999999</v>
      </c>
      <c r="D72" s="616" t="s">
        <v>558</v>
      </c>
      <c r="E72" s="616"/>
      <c r="F72" s="616" t="s">
        <v>558</v>
      </c>
      <c r="G72" s="616" t="s">
        <v>558</v>
      </c>
      <c r="H72" s="616" t="s">
        <v>558</v>
      </c>
      <c r="I72" s="617" t="s">
        <v>558</v>
      </c>
      <c r="J72" s="618" t="s">
        <v>1</v>
      </c>
    </row>
    <row r="73" spans="1:10" ht="14.4" customHeight="1" x14ac:dyDescent="0.3">
      <c r="A73" s="614" t="s">
        <v>574</v>
      </c>
      <c r="B73" s="615" t="s">
        <v>576</v>
      </c>
      <c r="C73" s="616">
        <v>4020.0908999999997</v>
      </c>
      <c r="D73" s="616">
        <v>2629.2663800000005</v>
      </c>
      <c r="E73" s="616"/>
      <c r="F73" s="616">
        <v>2584.8777600000035</v>
      </c>
      <c r="G73" s="616">
        <v>2861.75</v>
      </c>
      <c r="H73" s="616">
        <v>-276.87223999999651</v>
      </c>
      <c r="I73" s="617">
        <v>0.90325072420721708</v>
      </c>
      <c r="J73" s="618" t="s">
        <v>566</v>
      </c>
    </row>
    <row r="74" spans="1:10" ht="14.4" customHeight="1" x14ac:dyDescent="0.3">
      <c r="A74" s="614" t="s">
        <v>558</v>
      </c>
      <c r="B74" s="615" t="s">
        <v>558</v>
      </c>
      <c r="C74" s="616" t="s">
        <v>558</v>
      </c>
      <c r="D74" s="616" t="s">
        <v>558</v>
      </c>
      <c r="E74" s="616"/>
      <c r="F74" s="616" t="s">
        <v>558</v>
      </c>
      <c r="G74" s="616" t="s">
        <v>558</v>
      </c>
      <c r="H74" s="616" t="s">
        <v>558</v>
      </c>
      <c r="I74" s="617" t="s">
        <v>558</v>
      </c>
      <c r="J74" s="618" t="s">
        <v>567</v>
      </c>
    </row>
    <row r="75" spans="1:10" ht="14.4" customHeight="1" x14ac:dyDescent="0.3">
      <c r="A75" s="614" t="s">
        <v>2261</v>
      </c>
      <c r="B75" s="615" t="s">
        <v>2262</v>
      </c>
      <c r="C75" s="616" t="s">
        <v>558</v>
      </c>
      <c r="D75" s="616" t="s">
        <v>558</v>
      </c>
      <c r="E75" s="616"/>
      <c r="F75" s="616" t="s">
        <v>558</v>
      </c>
      <c r="G75" s="616" t="s">
        <v>558</v>
      </c>
      <c r="H75" s="616" t="s">
        <v>558</v>
      </c>
      <c r="I75" s="617" t="s">
        <v>558</v>
      </c>
      <c r="J75" s="618" t="s">
        <v>0</v>
      </c>
    </row>
    <row r="76" spans="1:10" ht="14.4" customHeight="1" x14ac:dyDescent="0.3">
      <c r="A76" s="614" t="s">
        <v>2261</v>
      </c>
      <c r="B76" s="615" t="s">
        <v>354</v>
      </c>
      <c r="C76" s="616">
        <v>0</v>
      </c>
      <c r="D76" s="616">
        <v>0</v>
      </c>
      <c r="E76" s="616"/>
      <c r="F76" s="616" t="s">
        <v>558</v>
      </c>
      <c r="G76" s="616" t="s">
        <v>558</v>
      </c>
      <c r="H76" s="616" t="s">
        <v>558</v>
      </c>
      <c r="I76" s="617" t="s">
        <v>558</v>
      </c>
      <c r="J76" s="618" t="s">
        <v>1</v>
      </c>
    </row>
    <row r="77" spans="1:10" ht="14.4" customHeight="1" x14ac:dyDescent="0.3">
      <c r="A77" s="614" t="s">
        <v>2261</v>
      </c>
      <c r="B77" s="615" t="s">
        <v>2263</v>
      </c>
      <c r="C77" s="616">
        <v>0</v>
      </c>
      <c r="D77" s="616">
        <v>0</v>
      </c>
      <c r="E77" s="616"/>
      <c r="F77" s="616" t="s">
        <v>558</v>
      </c>
      <c r="G77" s="616" t="s">
        <v>558</v>
      </c>
      <c r="H77" s="616" t="s">
        <v>558</v>
      </c>
      <c r="I77" s="617" t="s">
        <v>558</v>
      </c>
      <c r="J77" s="618" t="s">
        <v>566</v>
      </c>
    </row>
    <row r="78" spans="1:10" ht="14.4" customHeight="1" x14ac:dyDescent="0.3">
      <c r="A78" s="614" t="s">
        <v>558</v>
      </c>
      <c r="B78" s="615" t="s">
        <v>558</v>
      </c>
      <c r="C78" s="616" t="s">
        <v>558</v>
      </c>
      <c r="D78" s="616" t="s">
        <v>558</v>
      </c>
      <c r="E78" s="616"/>
      <c r="F78" s="616" t="s">
        <v>558</v>
      </c>
      <c r="G78" s="616" t="s">
        <v>558</v>
      </c>
      <c r="H78" s="616" t="s">
        <v>558</v>
      </c>
      <c r="I78" s="617" t="s">
        <v>558</v>
      </c>
      <c r="J78" s="618" t="s">
        <v>567</v>
      </c>
    </row>
    <row r="79" spans="1:10" ht="14.4" customHeight="1" x14ac:dyDescent="0.3">
      <c r="A79" s="614" t="s">
        <v>556</v>
      </c>
      <c r="B79" s="615" t="s">
        <v>561</v>
      </c>
      <c r="C79" s="616">
        <v>4378.4408700000004</v>
      </c>
      <c r="D79" s="616">
        <v>2971.1634300000005</v>
      </c>
      <c r="E79" s="616"/>
      <c r="F79" s="616">
        <v>2918.1325800000036</v>
      </c>
      <c r="G79" s="616">
        <v>3256.25</v>
      </c>
      <c r="H79" s="616">
        <v>-338.1174199999964</v>
      </c>
      <c r="I79" s="617">
        <v>0.89616355623800492</v>
      </c>
      <c r="J79" s="618" t="s">
        <v>562</v>
      </c>
    </row>
  </sheetData>
  <mergeCells count="3">
    <mergeCell ref="A1:I1"/>
    <mergeCell ref="F3:I3"/>
    <mergeCell ref="C4:D4"/>
  </mergeCells>
  <conditionalFormatting sqref="F24 F80:F65537">
    <cfRule type="cellIs" dxfId="36" priority="18" stopIfTrue="1" operator="greaterThan">
      <formula>1</formula>
    </cfRule>
  </conditionalFormatting>
  <conditionalFormatting sqref="H5:H23">
    <cfRule type="expression" dxfId="35" priority="14">
      <formula>$H5&gt;0</formula>
    </cfRule>
  </conditionalFormatting>
  <conditionalFormatting sqref="I5:I23">
    <cfRule type="expression" dxfId="34" priority="15">
      <formula>$I5&gt;1</formula>
    </cfRule>
  </conditionalFormatting>
  <conditionalFormatting sqref="B5:B23">
    <cfRule type="expression" dxfId="33" priority="11">
      <formula>OR($J5="NS",$J5="SumaNS",$J5="Účet")</formula>
    </cfRule>
  </conditionalFormatting>
  <conditionalFormatting sqref="F5:I23 B5:D23">
    <cfRule type="expression" dxfId="32" priority="17">
      <formula>AND($J5&lt;&gt;"",$J5&lt;&gt;"mezeraKL")</formula>
    </cfRule>
  </conditionalFormatting>
  <conditionalFormatting sqref="B5:D23 F5:I23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B5:D23 F5:I23">
    <cfRule type="expression" dxfId="30" priority="13">
      <formula>OR($J5="SumaNS",$J5="NS")</formula>
    </cfRule>
  </conditionalFormatting>
  <conditionalFormatting sqref="A5:A23">
    <cfRule type="expression" dxfId="29" priority="9">
      <formula>AND($J5&lt;&gt;"mezeraKL",$J5&lt;&gt;"")</formula>
    </cfRule>
  </conditionalFormatting>
  <conditionalFormatting sqref="A5:A23">
    <cfRule type="expression" dxfId="28" priority="10">
      <formula>AND($J5&lt;&gt;"",$J5&lt;&gt;"mezeraKL")</formula>
    </cfRule>
  </conditionalFormatting>
  <conditionalFormatting sqref="H25:H79">
    <cfRule type="expression" dxfId="27" priority="5">
      <formula>$H25&gt;0</formula>
    </cfRule>
  </conditionalFormatting>
  <conditionalFormatting sqref="A25:A79">
    <cfRule type="expression" dxfId="26" priority="2">
      <formula>AND($J25&lt;&gt;"mezeraKL",$J25&lt;&gt;"")</formula>
    </cfRule>
  </conditionalFormatting>
  <conditionalFormatting sqref="I25:I79">
    <cfRule type="expression" dxfId="25" priority="6">
      <formula>$I25&gt;1</formula>
    </cfRule>
  </conditionalFormatting>
  <conditionalFormatting sqref="B25:B79">
    <cfRule type="expression" dxfId="24" priority="1">
      <formula>OR($J25="NS",$J25="SumaNS",$J25="Účet")</formula>
    </cfRule>
  </conditionalFormatting>
  <conditionalFormatting sqref="A25:D79 F25:I79">
    <cfRule type="expression" dxfId="23" priority="8">
      <formula>AND($J25&lt;&gt;"",$J25&lt;&gt;"mezeraKL")</formula>
    </cfRule>
  </conditionalFormatting>
  <conditionalFormatting sqref="B25:D79 F25:I79">
    <cfRule type="expression" dxfId="22" priority="3">
      <formula>OR($J25="KL",$J25="SumaKL")</formula>
    </cfRule>
    <cfRule type="expression" priority="7" stopIfTrue="1">
      <formula>OR($J25="mezeraNS",$J25="mezeraKL")</formula>
    </cfRule>
  </conditionalFormatting>
  <conditionalFormatting sqref="B25:D79 F25:I79">
    <cfRule type="expression" dxfId="21" priority="4">
      <formula>OR($J25="SumaNS",$J25="NS")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2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12.44140625" style="342" hidden="1" customWidth="1" outlineLevel="1"/>
    <col min="8" max="8" width="25.77734375" style="342" customWidth="1" collapsed="1"/>
    <col min="9" max="9" width="7.77734375" style="340" customWidth="1"/>
    <col min="10" max="10" width="10" style="340" customWidth="1"/>
    <col min="11" max="11" width="11.109375" style="340" customWidth="1"/>
    <col min="12" max="16384" width="8.88671875" style="257"/>
  </cols>
  <sheetData>
    <row r="1" spans="1:11" ht="18.600000000000001" customHeight="1" thickBot="1" x14ac:dyDescent="0.4">
      <c r="A1" s="494" t="s">
        <v>3579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</row>
    <row r="2" spans="1:11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5"/>
      <c r="J2" s="345"/>
      <c r="K2" s="345"/>
    </row>
    <row r="3" spans="1:11" ht="14.4" customHeight="1" thickBot="1" x14ac:dyDescent="0.35">
      <c r="A3" s="66"/>
      <c r="B3" s="66"/>
      <c r="C3" s="490"/>
      <c r="D3" s="491"/>
      <c r="E3" s="491"/>
      <c r="F3" s="491"/>
      <c r="G3" s="491"/>
      <c r="H3" s="270" t="s">
        <v>160</v>
      </c>
      <c r="I3" s="210">
        <f>IF(J3&lt;&gt;0,K3/J3,0)</f>
        <v>41.595337428228092</v>
      </c>
      <c r="J3" s="210">
        <f>SUBTOTAL(9,J5:J1048576)</f>
        <v>74890</v>
      </c>
      <c r="K3" s="211">
        <f>SUBTOTAL(9,K5:K1048576)</f>
        <v>3115074.8200000017</v>
      </c>
    </row>
    <row r="4" spans="1:11" s="341" customFormat="1" ht="14.4" customHeight="1" thickBot="1" x14ac:dyDescent="0.35">
      <c r="A4" s="619" t="s">
        <v>4</v>
      </c>
      <c r="B4" s="620" t="s">
        <v>5</v>
      </c>
      <c r="C4" s="620" t="s">
        <v>0</v>
      </c>
      <c r="D4" s="620" t="s">
        <v>6</v>
      </c>
      <c r="E4" s="620" t="s">
        <v>7</v>
      </c>
      <c r="F4" s="620" t="s">
        <v>1</v>
      </c>
      <c r="G4" s="620" t="s">
        <v>90</v>
      </c>
      <c r="H4" s="621" t="s">
        <v>11</v>
      </c>
      <c r="I4" s="622" t="s">
        <v>185</v>
      </c>
      <c r="J4" s="622" t="s">
        <v>13</v>
      </c>
      <c r="K4" s="623" t="s">
        <v>202</v>
      </c>
    </row>
    <row r="5" spans="1:11" ht="14.4" customHeight="1" x14ac:dyDescent="0.3">
      <c r="A5" s="624" t="s">
        <v>556</v>
      </c>
      <c r="B5" s="625" t="s">
        <v>557</v>
      </c>
      <c r="C5" s="626" t="s">
        <v>563</v>
      </c>
      <c r="D5" s="627" t="s">
        <v>1455</v>
      </c>
      <c r="E5" s="626" t="s">
        <v>3552</v>
      </c>
      <c r="F5" s="627" t="s">
        <v>3553</v>
      </c>
      <c r="G5" s="626" t="s">
        <v>2264</v>
      </c>
      <c r="H5" s="626" t="s">
        <v>2265</v>
      </c>
      <c r="I5" s="628">
        <v>2.4</v>
      </c>
      <c r="J5" s="628">
        <v>40</v>
      </c>
      <c r="K5" s="629">
        <v>96</v>
      </c>
    </row>
    <row r="6" spans="1:11" ht="14.4" customHeight="1" x14ac:dyDescent="0.3">
      <c r="A6" s="695" t="s">
        <v>556</v>
      </c>
      <c r="B6" s="696" t="s">
        <v>557</v>
      </c>
      <c r="C6" s="699" t="s">
        <v>563</v>
      </c>
      <c r="D6" s="720" t="s">
        <v>1455</v>
      </c>
      <c r="E6" s="699" t="s">
        <v>3552</v>
      </c>
      <c r="F6" s="720" t="s">
        <v>3553</v>
      </c>
      <c r="G6" s="699" t="s">
        <v>2266</v>
      </c>
      <c r="H6" s="699" t="s">
        <v>2267</v>
      </c>
      <c r="I6" s="711">
        <v>3.11</v>
      </c>
      <c r="J6" s="711">
        <v>160</v>
      </c>
      <c r="K6" s="712">
        <v>497.6</v>
      </c>
    </row>
    <row r="7" spans="1:11" ht="14.4" customHeight="1" x14ac:dyDescent="0.3">
      <c r="A7" s="695" t="s">
        <v>556</v>
      </c>
      <c r="B7" s="696" t="s">
        <v>557</v>
      </c>
      <c r="C7" s="699" t="s">
        <v>563</v>
      </c>
      <c r="D7" s="720" t="s">
        <v>1455</v>
      </c>
      <c r="E7" s="699" t="s">
        <v>3552</v>
      </c>
      <c r="F7" s="720" t="s">
        <v>3553</v>
      </c>
      <c r="G7" s="699" t="s">
        <v>2268</v>
      </c>
      <c r="H7" s="699" t="s">
        <v>2269</v>
      </c>
      <c r="I7" s="711">
        <v>3.78</v>
      </c>
      <c r="J7" s="711">
        <v>200</v>
      </c>
      <c r="K7" s="712">
        <v>756</v>
      </c>
    </row>
    <row r="8" spans="1:11" ht="14.4" customHeight="1" x14ac:dyDescent="0.3">
      <c r="A8" s="695" t="s">
        <v>556</v>
      </c>
      <c r="B8" s="696" t="s">
        <v>557</v>
      </c>
      <c r="C8" s="699" t="s">
        <v>563</v>
      </c>
      <c r="D8" s="720" t="s">
        <v>1455</v>
      </c>
      <c r="E8" s="699" t="s">
        <v>3552</v>
      </c>
      <c r="F8" s="720" t="s">
        <v>3553</v>
      </c>
      <c r="G8" s="699" t="s">
        <v>2270</v>
      </c>
      <c r="H8" s="699" t="s">
        <v>2271</v>
      </c>
      <c r="I8" s="711">
        <v>12.076666666666666</v>
      </c>
      <c r="J8" s="711">
        <v>140</v>
      </c>
      <c r="K8" s="712">
        <v>1690.8</v>
      </c>
    </row>
    <row r="9" spans="1:11" ht="14.4" customHeight="1" x14ac:dyDescent="0.3">
      <c r="A9" s="695" t="s">
        <v>556</v>
      </c>
      <c r="B9" s="696" t="s">
        <v>557</v>
      </c>
      <c r="C9" s="699" t="s">
        <v>563</v>
      </c>
      <c r="D9" s="720" t="s">
        <v>1455</v>
      </c>
      <c r="E9" s="699" t="s">
        <v>3552</v>
      </c>
      <c r="F9" s="720" t="s">
        <v>3553</v>
      </c>
      <c r="G9" s="699" t="s">
        <v>2272</v>
      </c>
      <c r="H9" s="699" t="s">
        <v>2273</v>
      </c>
      <c r="I9" s="711">
        <v>8.56</v>
      </c>
      <c r="J9" s="711">
        <v>1</v>
      </c>
      <c r="K9" s="712">
        <v>8.56</v>
      </c>
    </row>
    <row r="10" spans="1:11" ht="14.4" customHeight="1" x14ac:dyDescent="0.3">
      <c r="A10" s="695" t="s">
        <v>556</v>
      </c>
      <c r="B10" s="696" t="s">
        <v>557</v>
      </c>
      <c r="C10" s="699" t="s">
        <v>563</v>
      </c>
      <c r="D10" s="720" t="s">
        <v>1455</v>
      </c>
      <c r="E10" s="699" t="s">
        <v>3552</v>
      </c>
      <c r="F10" s="720" t="s">
        <v>3553</v>
      </c>
      <c r="G10" s="699" t="s">
        <v>2274</v>
      </c>
      <c r="H10" s="699" t="s">
        <v>2275</v>
      </c>
      <c r="I10" s="711">
        <v>7.59</v>
      </c>
      <c r="J10" s="711">
        <v>30</v>
      </c>
      <c r="K10" s="712">
        <v>227.7</v>
      </c>
    </row>
    <row r="11" spans="1:11" ht="14.4" customHeight="1" x14ac:dyDescent="0.3">
      <c r="A11" s="695" t="s">
        <v>556</v>
      </c>
      <c r="B11" s="696" t="s">
        <v>557</v>
      </c>
      <c r="C11" s="699" t="s">
        <v>563</v>
      </c>
      <c r="D11" s="720" t="s">
        <v>1455</v>
      </c>
      <c r="E11" s="699" t="s">
        <v>3552</v>
      </c>
      <c r="F11" s="720" t="s">
        <v>3553</v>
      </c>
      <c r="G11" s="699" t="s">
        <v>2276</v>
      </c>
      <c r="H11" s="699" t="s">
        <v>2277</v>
      </c>
      <c r="I11" s="711">
        <v>27.36</v>
      </c>
      <c r="J11" s="711">
        <v>50</v>
      </c>
      <c r="K11" s="712">
        <v>1368</v>
      </c>
    </row>
    <row r="12" spans="1:11" ht="14.4" customHeight="1" x14ac:dyDescent="0.3">
      <c r="A12" s="695" t="s">
        <v>556</v>
      </c>
      <c r="B12" s="696" t="s">
        <v>557</v>
      </c>
      <c r="C12" s="699" t="s">
        <v>563</v>
      </c>
      <c r="D12" s="720" t="s">
        <v>1455</v>
      </c>
      <c r="E12" s="699" t="s">
        <v>3552</v>
      </c>
      <c r="F12" s="720" t="s">
        <v>3553</v>
      </c>
      <c r="G12" s="699" t="s">
        <v>2278</v>
      </c>
      <c r="H12" s="699" t="s">
        <v>2279</v>
      </c>
      <c r="I12" s="711">
        <v>5.94</v>
      </c>
      <c r="J12" s="711">
        <v>100</v>
      </c>
      <c r="K12" s="712">
        <v>594</v>
      </c>
    </row>
    <row r="13" spans="1:11" ht="14.4" customHeight="1" x14ac:dyDescent="0.3">
      <c r="A13" s="695" t="s">
        <v>556</v>
      </c>
      <c r="B13" s="696" t="s">
        <v>557</v>
      </c>
      <c r="C13" s="699" t="s">
        <v>563</v>
      </c>
      <c r="D13" s="720" t="s">
        <v>1455</v>
      </c>
      <c r="E13" s="699" t="s">
        <v>3552</v>
      </c>
      <c r="F13" s="720" t="s">
        <v>3553</v>
      </c>
      <c r="G13" s="699" t="s">
        <v>2280</v>
      </c>
      <c r="H13" s="699" t="s">
        <v>2281</v>
      </c>
      <c r="I13" s="711">
        <v>2.83</v>
      </c>
      <c r="J13" s="711">
        <v>2760</v>
      </c>
      <c r="K13" s="712">
        <v>8005.2</v>
      </c>
    </row>
    <row r="14" spans="1:11" ht="14.4" customHeight="1" x14ac:dyDescent="0.3">
      <c r="A14" s="695" t="s">
        <v>556</v>
      </c>
      <c r="B14" s="696" t="s">
        <v>557</v>
      </c>
      <c r="C14" s="699" t="s">
        <v>563</v>
      </c>
      <c r="D14" s="720" t="s">
        <v>1455</v>
      </c>
      <c r="E14" s="699" t="s">
        <v>3552</v>
      </c>
      <c r="F14" s="720" t="s">
        <v>3553</v>
      </c>
      <c r="G14" s="699" t="s">
        <v>2282</v>
      </c>
      <c r="H14" s="699" t="s">
        <v>2283</v>
      </c>
      <c r="I14" s="711">
        <v>0.85</v>
      </c>
      <c r="J14" s="711">
        <v>2600</v>
      </c>
      <c r="K14" s="712">
        <v>2214</v>
      </c>
    </row>
    <row r="15" spans="1:11" ht="14.4" customHeight="1" x14ac:dyDescent="0.3">
      <c r="A15" s="695" t="s">
        <v>556</v>
      </c>
      <c r="B15" s="696" t="s">
        <v>557</v>
      </c>
      <c r="C15" s="699" t="s">
        <v>563</v>
      </c>
      <c r="D15" s="720" t="s">
        <v>1455</v>
      </c>
      <c r="E15" s="699" t="s">
        <v>3552</v>
      </c>
      <c r="F15" s="720" t="s">
        <v>3553</v>
      </c>
      <c r="G15" s="699" t="s">
        <v>2284</v>
      </c>
      <c r="H15" s="699" t="s">
        <v>2285</v>
      </c>
      <c r="I15" s="711">
        <v>22.149999999999995</v>
      </c>
      <c r="J15" s="711">
        <v>100</v>
      </c>
      <c r="K15" s="712">
        <v>2215</v>
      </c>
    </row>
    <row r="16" spans="1:11" ht="14.4" customHeight="1" x14ac:dyDescent="0.3">
      <c r="A16" s="695" t="s">
        <v>556</v>
      </c>
      <c r="B16" s="696" t="s">
        <v>557</v>
      </c>
      <c r="C16" s="699" t="s">
        <v>563</v>
      </c>
      <c r="D16" s="720" t="s">
        <v>1455</v>
      </c>
      <c r="E16" s="699" t="s">
        <v>3552</v>
      </c>
      <c r="F16" s="720" t="s">
        <v>3553</v>
      </c>
      <c r="G16" s="699" t="s">
        <v>2286</v>
      </c>
      <c r="H16" s="699" t="s">
        <v>2287</v>
      </c>
      <c r="I16" s="711">
        <v>30.175000000000001</v>
      </c>
      <c r="J16" s="711">
        <v>50</v>
      </c>
      <c r="K16" s="712">
        <v>1508.75</v>
      </c>
    </row>
    <row r="17" spans="1:11" ht="14.4" customHeight="1" x14ac:dyDescent="0.3">
      <c r="A17" s="695" t="s">
        <v>556</v>
      </c>
      <c r="B17" s="696" t="s">
        <v>557</v>
      </c>
      <c r="C17" s="699" t="s">
        <v>563</v>
      </c>
      <c r="D17" s="720" t="s">
        <v>1455</v>
      </c>
      <c r="E17" s="699" t="s">
        <v>3552</v>
      </c>
      <c r="F17" s="720" t="s">
        <v>3553</v>
      </c>
      <c r="G17" s="699" t="s">
        <v>2288</v>
      </c>
      <c r="H17" s="699" t="s">
        <v>2289</v>
      </c>
      <c r="I17" s="711">
        <v>39.1</v>
      </c>
      <c r="J17" s="711">
        <v>40</v>
      </c>
      <c r="K17" s="712">
        <v>1564</v>
      </c>
    </row>
    <row r="18" spans="1:11" ht="14.4" customHeight="1" x14ac:dyDescent="0.3">
      <c r="A18" s="695" t="s">
        <v>556</v>
      </c>
      <c r="B18" s="696" t="s">
        <v>557</v>
      </c>
      <c r="C18" s="699" t="s">
        <v>563</v>
      </c>
      <c r="D18" s="720" t="s">
        <v>1455</v>
      </c>
      <c r="E18" s="699" t="s">
        <v>3552</v>
      </c>
      <c r="F18" s="720" t="s">
        <v>3553</v>
      </c>
      <c r="G18" s="699" t="s">
        <v>2290</v>
      </c>
      <c r="H18" s="699" t="s">
        <v>2291</v>
      </c>
      <c r="I18" s="711">
        <v>4.2649999999999997</v>
      </c>
      <c r="J18" s="711">
        <v>180</v>
      </c>
      <c r="K18" s="712">
        <v>768.19999999999993</v>
      </c>
    </row>
    <row r="19" spans="1:11" ht="14.4" customHeight="1" x14ac:dyDescent="0.3">
      <c r="A19" s="695" t="s">
        <v>556</v>
      </c>
      <c r="B19" s="696" t="s">
        <v>557</v>
      </c>
      <c r="C19" s="699" t="s">
        <v>563</v>
      </c>
      <c r="D19" s="720" t="s">
        <v>1455</v>
      </c>
      <c r="E19" s="699" t="s">
        <v>3552</v>
      </c>
      <c r="F19" s="720" t="s">
        <v>3553</v>
      </c>
      <c r="G19" s="699" t="s">
        <v>2292</v>
      </c>
      <c r="H19" s="699" t="s">
        <v>2293</v>
      </c>
      <c r="I19" s="711">
        <v>8.58</v>
      </c>
      <c r="J19" s="711">
        <v>132</v>
      </c>
      <c r="K19" s="712">
        <v>1132.56</v>
      </c>
    </row>
    <row r="20" spans="1:11" ht="14.4" customHeight="1" x14ac:dyDescent="0.3">
      <c r="A20" s="695" t="s">
        <v>556</v>
      </c>
      <c r="B20" s="696" t="s">
        <v>557</v>
      </c>
      <c r="C20" s="699" t="s">
        <v>563</v>
      </c>
      <c r="D20" s="720" t="s">
        <v>1455</v>
      </c>
      <c r="E20" s="699" t="s">
        <v>3552</v>
      </c>
      <c r="F20" s="720" t="s">
        <v>3553</v>
      </c>
      <c r="G20" s="699" t="s">
        <v>2294</v>
      </c>
      <c r="H20" s="699" t="s">
        <v>2295</v>
      </c>
      <c r="I20" s="711">
        <v>27.94</v>
      </c>
      <c r="J20" s="711">
        <v>11</v>
      </c>
      <c r="K20" s="712">
        <v>307.34000000000003</v>
      </c>
    </row>
    <row r="21" spans="1:11" ht="14.4" customHeight="1" x14ac:dyDescent="0.3">
      <c r="A21" s="695" t="s">
        <v>556</v>
      </c>
      <c r="B21" s="696" t="s">
        <v>557</v>
      </c>
      <c r="C21" s="699" t="s">
        <v>563</v>
      </c>
      <c r="D21" s="720" t="s">
        <v>1455</v>
      </c>
      <c r="E21" s="699" t="s">
        <v>3552</v>
      </c>
      <c r="F21" s="720" t="s">
        <v>3553</v>
      </c>
      <c r="G21" s="699" t="s">
        <v>2296</v>
      </c>
      <c r="H21" s="699" t="s">
        <v>2297</v>
      </c>
      <c r="I21" s="711">
        <v>8.59</v>
      </c>
      <c r="J21" s="711">
        <v>100</v>
      </c>
      <c r="K21" s="712">
        <v>859</v>
      </c>
    </row>
    <row r="22" spans="1:11" ht="14.4" customHeight="1" x14ac:dyDescent="0.3">
      <c r="A22" s="695" t="s">
        <v>556</v>
      </c>
      <c r="B22" s="696" t="s">
        <v>557</v>
      </c>
      <c r="C22" s="699" t="s">
        <v>563</v>
      </c>
      <c r="D22" s="720" t="s">
        <v>1455</v>
      </c>
      <c r="E22" s="699" t="s">
        <v>3552</v>
      </c>
      <c r="F22" s="720" t="s">
        <v>3553</v>
      </c>
      <c r="G22" s="699" t="s">
        <v>2298</v>
      </c>
      <c r="H22" s="699" t="s">
        <v>2299</v>
      </c>
      <c r="I22" s="711">
        <v>1.17</v>
      </c>
      <c r="J22" s="711">
        <v>800</v>
      </c>
      <c r="K22" s="712">
        <v>936</v>
      </c>
    </row>
    <row r="23" spans="1:11" ht="14.4" customHeight="1" x14ac:dyDescent="0.3">
      <c r="A23" s="695" t="s">
        <v>556</v>
      </c>
      <c r="B23" s="696" t="s">
        <v>557</v>
      </c>
      <c r="C23" s="699" t="s">
        <v>563</v>
      </c>
      <c r="D23" s="720" t="s">
        <v>1455</v>
      </c>
      <c r="E23" s="699" t="s">
        <v>3552</v>
      </c>
      <c r="F23" s="720" t="s">
        <v>3553</v>
      </c>
      <c r="G23" s="699" t="s">
        <v>2300</v>
      </c>
      <c r="H23" s="699" t="s">
        <v>2301</v>
      </c>
      <c r="I23" s="711">
        <v>98.37</v>
      </c>
      <c r="J23" s="711">
        <v>5</v>
      </c>
      <c r="K23" s="712">
        <v>491.85</v>
      </c>
    </row>
    <row r="24" spans="1:11" ht="14.4" customHeight="1" x14ac:dyDescent="0.3">
      <c r="A24" s="695" t="s">
        <v>556</v>
      </c>
      <c r="B24" s="696" t="s">
        <v>557</v>
      </c>
      <c r="C24" s="699" t="s">
        <v>563</v>
      </c>
      <c r="D24" s="720" t="s">
        <v>1455</v>
      </c>
      <c r="E24" s="699" t="s">
        <v>3552</v>
      </c>
      <c r="F24" s="720" t="s">
        <v>3553</v>
      </c>
      <c r="G24" s="699" t="s">
        <v>2302</v>
      </c>
      <c r="H24" s="699" t="s">
        <v>2303</v>
      </c>
      <c r="I24" s="711">
        <v>0.85499999999999998</v>
      </c>
      <c r="J24" s="711">
        <v>400</v>
      </c>
      <c r="K24" s="712">
        <v>342</v>
      </c>
    </row>
    <row r="25" spans="1:11" ht="14.4" customHeight="1" x14ac:dyDescent="0.3">
      <c r="A25" s="695" t="s">
        <v>556</v>
      </c>
      <c r="B25" s="696" t="s">
        <v>557</v>
      </c>
      <c r="C25" s="699" t="s">
        <v>563</v>
      </c>
      <c r="D25" s="720" t="s">
        <v>1455</v>
      </c>
      <c r="E25" s="699" t="s">
        <v>3552</v>
      </c>
      <c r="F25" s="720" t="s">
        <v>3553</v>
      </c>
      <c r="G25" s="699" t="s">
        <v>2304</v>
      </c>
      <c r="H25" s="699" t="s">
        <v>2305</v>
      </c>
      <c r="I25" s="711">
        <v>1.5133333333333334</v>
      </c>
      <c r="J25" s="711">
        <v>350</v>
      </c>
      <c r="K25" s="712">
        <v>529.5</v>
      </c>
    </row>
    <row r="26" spans="1:11" ht="14.4" customHeight="1" x14ac:dyDescent="0.3">
      <c r="A26" s="695" t="s">
        <v>556</v>
      </c>
      <c r="B26" s="696" t="s">
        <v>557</v>
      </c>
      <c r="C26" s="699" t="s">
        <v>563</v>
      </c>
      <c r="D26" s="720" t="s">
        <v>1455</v>
      </c>
      <c r="E26" s="699" t="s">
        <v>3552</v>
      </c>
      <c r="F26" s="720" t="s">
        <v>3553</v>
      </c>
      <c r="G26" s="699" t="s">
        <v>2306</v>
      </c>
      <c r="H26" s="699" t="s">
        <v>2307</v>
      </c>
      <c r="I26" s="711">
        <v>3.3650000000000002</v>
      </c>
      <c r="J26" s="711">
        <v>200</v>
      </c>
      <c r="K26" s="712">
        <v>673</v>
      </c>
    </row>
    <row r="27" spans="1:11" ht="14.4" customHeight="1" x14ac:dyDescent="0.3">
      <c r="A27" s="695" t="s">
        <v>556</v>
      </c>
      <c r="B27" s="696" t="s">
        <v>557</v>
      </c>
      <c r="C27" s="699" t="s">
        <v>563</v>
      </c>
      <c r="D27" s="720" t="s">
        <v>1455</v>
      </c>
      <c r="E27" s="699" t="s">
        <v>3552</v>
      </c>
      <c r="F27" s="720" t="s">
        <v>3553</v>
      </c>
      <c r="G27" s="699" t="s">
        <v>2308</v>
      </c>
      <c r="H27" s="699" t="s">
        <v>2309</v>
      </c>
      <c r="I27" s="711">
        <v>991.55600000000015</v>
      </c>
      <c r="J27" s="711">
        <v>29</v>
      </c>
      <c r="K27" s="712">
        <v>28755.3</v>
      </c>
    </row>
    <row r="28" spans="1:11" ht="14.4" customHeight="1" x14ac:dyDescent="0.3">
      <c r="A28" s="695" t="s">
        <v>556</v>
      </c>
      <c r="B28" s="696" t="s">
        <v>557</v>
      </c>
      <c r="C28" s="699" t="s">
        <v>563</v>
      </c>
      <c r="D28" s="720" t="s">
        <v>1455</v>
      </c>
      <c r="E28" s="699" t="s">
        <v>3552</v>
      </c>
      <c r="F28" s="720" t="s">
        <v>3553</v>
      </c>
      <c r="G28" s="699" t="s">
        <v>2310</v>
      </c>
      <c r="H28" s="699" t="s">
        <v>2311</v>
      </c>
      <c r="I28" s="711">
        <v>1253.2933333333333</v>
      </c>
      <c r="J28" s="711">
        <v>19</v>
      </c>
      <c r="K28" s="712">
        <v>23812.5</v>
      </c>
    </row>
    <row r="29" spans="1:11" ht="14.4" customHeight="1" x14ac:dyDescent="0.3">
      <c r="A29" s="695" t="s">
        <v>556</v>
      </c>
      <c r="B29" s="696" t="s">
        <v>557</v>
      </c>
      <c r="C29" s="699" t="s">
        <v>563</v>
      </c>
      <c r="D29" s="720" t="s">
        <v>1455</v>
      </c>
      <c r="E29" s="699" t="s">
        <v>3552</v>
      </c>
      <c r="F29" s="720" t="s">
        <v>3553</v>
      </c>
      <c r="G29" s="699" t="s">
        <v>2312</v>
      </c>
      <c r="H29" s="699" t="s">
        <v>2313</v>
      </c>
      <c r="I29" s="711">
        <v>879.38</v>
      </c>
      <c r="J29" s="711">
        <v>4</v>
      </c>
      <c r="K29" s="712">
        <v>3517.5</v>
      </c>
    </row>
    <row r="30" spans="1:11" ht="14.4" customHeight="1" x14ac:dyDescent="0.3">
      <c r="A30" s="695" t="s">
        <v>556</v>
      </c>
      <c r="B30" s="696" t="s">
        <v>557</v>
      </c>
      <c r="C30" s="699" t="s">
        <v>563</v>
      </c>
      <c r="D30" s="720" t="s">
        <v>1455</v>
      </c>
      <c r="E30" s="699" t="s">
        <v>3552</v>
      </c>
      <c r="F30" s="720" t="s">
        <v>3553</v>
      </c>
      <c r="G30" s="699" t="s">
        <v>2314</v>
      </c>
      <c r="H30" s="699" t="s">
        <v>2315</v>
      </c>
      <c r="I30" s="711">
        <v>11.74</v>
      </c>
      <c r="J30" s="711">
        <v>1</v>
      </c>
      <c r="K30" s="712">
        <v>11.74</v>
      </c>
    </row>
    <row r="31" spans="1:11" ht="14.4" customHeight="1" x14ac:dyDescent="0.3">
      <c r="A31" s="695" t="s">
        <v>556</v>
      </c>
      <c r="B31" s="696" t="s">
        <v>557</v>
      </c>
      <c r="C31" s="699" t="s">
        <v>563</v>
      </c>
      <c r="D31" s="720" t="s">
        <v>1455</v>
      </c>
      <c r="E31" s="699" t="s">
        <v>3552</v>
      </c>
      <c r="F31" s="720" t="s">
        <v>3553</v>
      </c>
      <c r="G31" s="699" t="s">
        <v>2316</v>
      </c>
      <c r="H31" s="699" t="s">
        <v>2317</v>
      </c>
      <c r="I31" s="711">
        <v>14</v>
      </c>
      <c r="J31" s="711">
        <v>1</v>
      </c>
      <c r="K31" s="712">
        <v>14</v>
      </c>
    </row>
    <row r="32" spans="1:11" ht="14.4" customHeight="1" x14ac:dyDescent="0.3">
      <c r="A32" s="695" t="s">
        <v>556</v>
      </c>
      <c r="B32" s="696" t="s">
        <v>557</v>
      </c>
      <c r="C32" s="699" t="s">
        <v>563</v>
      </c>
      <c r="D32" s="720" t="s">
        <v>1455</v>
      </c>
      <c r="E32" s="699" t="s">
        <v>3552</v>
      </c>
      <c r="F32" s="720" t="s">
        <v>3553</v>
      </c>
      <c r="G32" s="699" t="s">
        <v>2318</v>
      </c>
      <c r="H32" s="699" t="s">
        <v>2319</v>
      </c>
      <c r="I32" s="711">
        <v>1021.17</v>
      </c>
      <c r="J32" s="711">
        <v>6</v>
      </c>
      <c r="K32" s="712">
        <v>6127</v>
      </c>
    </row>
    <row r="33" spans="1:11" ht="14.4" customHeight="1" x14ac:dyDescent="0.3">
      <c r="A33" s="695" t="s">
        <v>556</v>
      </c>
      <c r="B33" s="696" t="s">
        <v>557</v>
      </c>
      <c r="C33" s="699" t="s">
        <v>563</v>
      </c>
      <c r="D33" s="720" t="s">
        <v>1455</v>
      </c>
      <c r="E33" s="699" t="s">
        <v>3552</v>
      </c>
      <c r="F33" s="720" t="s">
        <v>3553</v>
      </c>
      <c r="G33" s="699" t="s">
        <v>2320</v>
      </c>
      <c r="H33" s="699" t="s">
        <v>2321</v>
      </c>
      <c r="I33" s="711">
        <v>1290.83</v>
      </c>
      <c r="J33" s="711">
        <v>3</v>
      </c>
      <c r="K33" s="712">
        <v>3872.5</v>
      </c>
    </row>
    <row r="34" spans="1:11" ht="14.4" customHeight="1" x14ac:dyDescent="0.3">
      <c r="A34" s="695" t="s">
        <v>556</v>
      </c>
      <c r="B34" s="696" t="s">
        <v>557</v>
      </c>
      <c r="C34" s="699" t="s">
        <v>563</v>
      </c>
      <c r="D34" s="720" t="s">
        <v>1455</v>
      </c>
      <c r="E34" s="699" t="s">
        <v>3552</v>
      </c>
      <c r="F34" s="720" t="s">
        <v>3553</v>
      </c>
      <c r="G34" s="699" t="s">
        <v>2322</v>
      </c>
      <c r="H34" s="699" t="s">
        <v>2323</v>
      </c>
      <c r="I34" s="711">
        <v>1151.0074999999999</v>
      </c>
      <c r="J34" s="711">
        <v>12</v>
      </c>
      <c r="K34" s="712">
        <v>13812.1</v>
      </c>
    </row>
    <row r="35" spans="1:11" ht="14.4" customHeight="1" x14ac:dyDescent="0.3">
      <c r="A35" s="695" t="s">
        <v>556</v>
      </c>
      <c r="B35" s="696" t="s">
        <v>557</v>
      </c>
      <c r="C35" s="699" t="s">
        <v>563</v>
      </c>
      <c r="D35" s="720" t="s">
        <v>1455</v>
      </c>
      <c r="E35" s="699" t="s">
        <v>3552</v>
      </c>
      <c r="F35" s="720" t="s">
        <v>3553</v>
      </c>
      <c r="G35" s="699" t="s">
        <v>2324</v>
      </c>
      <c r="H35" s="699" t="s">
        <v>2325</v>
      </c>
      <c r="I35" s="711">
        <v>7.1</v>
      </c>
      <c r="J35" s="711">
        <v>2</v>
      </c>
      <c r="K35" s="712">
        <v>14.2</v>
      </c>
    </row>
    <row r="36" spans="1:11" ht="14.4" customHeight="1" x14ac:dyDescent="0.3">
      <c r="A36" s="695" t="s">
        <v>556</v>
      </c>
      <c r="B36" s="696" t="s">
        <v>557</v>
      </c>
      <c r="C36" s="699" t="s">
        <v>563</v>
      </c>
      <c r="D36" s="720" t="s">
        <v>1455</v>
      </c>
      <c r="E36" s="699" t="s">
        <v>3552</v>
      </c>
      <c r="F36" s="720" t="s">
        <v>3553</v>
      </c>
      <c r="G36" s="699" t="s">
        <v>2326</v>
      </c>
      <c r="H36" s="699" t="s">
        <v>2327</v>
      </c>
      <c r="I36" s="711">
        <v>8.2799999999999994</v>
      </c>
      <c r="J36" s="711">
        <v>1</v>
      </c>
      <c r="K36" s="712">
        <v>8.2799999999999994</v>
      </c>
    </row>
    <row r="37" spans="1:11" ht="14.4" customHeight="1" x14ac:dyDescent="0.3">
      <c r="A37" s="695" t="s">
        <v>556</v>
      </c>
      <c r="B37" s="696" t="s">
        <v>557</v>
      </c>
      <c r="C37" s="699" t="s">
        <v>563</v>
      </c>
      <c r="D37" s="720" t="s">
        <v>1455</v>
      </c>
      <c r="E37" s="699" t="s">
        <v>3552</v>
      </c>
      <c r="F37" s="720" t="s">
        <v>3553</v>
      </c>
      <c r="G37" s="699" t="s">
        <v>2328</v>
      </c>
      <c r="H37" s="699" t="s">
        <v>2329</v>
      </c>
      <c r="I37" s="711">
        <v>5.92</v>
      </c>
      <c r="J37" s="711">
        <v>2</v>
      </c>
      <c r="K37" s="712">
        <v>11.84</v>
      </c>
    </row>
    <row r="38" spans="1:11" ht="14.4" customHeight="1" x14ac:dyDescent="0.3">
      <c r="A38" s="695" t="s">
        <v>556</v>
      </c>
      <c r="B38" s="696" t="s">
        <v>557</v>
      </c>
      <c r="C38" s="699" t="s">
        <v>563</v>
      </c>
      <c r="D38" s="720" t="s">
        <v>1455</v>
      </c>
      <c r="E38" s="699" t="s">
        <v>3552</v>
      </c>
      <c r="F38" s="720" t="s">
        <v>3553</v>
      </c>
      <c r="G38" s="699" t="s">
        <v>2330</v>
      </c>
      <c r="H38" s="699" t="s">
        <v>2331</v>
      </c>
      <c r="I38" s="711">
        <v>2.5499999999999998</v>
      </c>
      <c r="J38" s="711">
        <v>15</v>
      </c>
      <c r="K38" s="712">
        <v>38.25</v>
      </c>
    </row>
    <row r="39" spans="1:11" ht="14.4" customHeight="1" x14ac:dyDescent="0.3">
      <c r="A39" s="695" t="s">
        <v>556</v>
      </c>
      <c r="B39" s="696" t="s">
        <v>557</v>
      </c>
      <c r="C39" s="699" t="s">
        <v>563</v>
      </c>
      <c r="D39" s="720" t="s">
        <v>1455</v>
      </c>
      <c r="E39" s="699" t="s">
        <v>3552</v>
      </c>
      <c r="F39" s="720" t="s">
        <v>3553</v>
      </c>
      <c r="G39" s="699" t="s">
        <v>2332</v>
      </c>
      <c r="H39" s="699" t="s">
        <v>2333</v>
      </c>
      <c r="I39" s="711">
        <v>5.28</v>
      </c>
      <c r="J39" s="711">
        <v>20</v>
      </c>
      <c r="K39" s="712">
        <v>105.6</v>
      </c>
    </row>
    <row r="40" spans="1:11" ht="14.4" customHeight="1" x14ac:dyDescent="0.3">
      <c r="A40" s="695" t="s">
        <v>556</v>
      </c>
      <c r="B40" s="696" t="s">
        <v>557</v>
      </c>
      <c r="C40" s="699" t="s">
        <v>563</v>
      </c>
      <c r="D40" s="720" t="s">
        <v>1455</v>
      </c>
      <c r="E40" s="699" t="s">
        <v>3552</v>
      </c>
      <c r="F40" s="720" t="s">
        <v>3553</v>
      </c>
      <c r="G40" s="699" t="s">
        <v>2334</v>
      </c>
      <c r="H40" s="699" t="s">
        <v>2335</v>
      </c>
      <c r="I40" s="711">
        <v>1490.21</v>
      </c>
      <c r="J40" s="711">
        <v>7</v>
      </c>
      <c r="K40" s="712">
        <v>10431.5</v>
      </c>
    </row>
    <row r="41" spans="1:11" ht="14.4" customHeight="1" x14ac:dyDescent="0.3">
      <c r="A41" s="695" t="s">
        <v>556</v>
      </c>
      <c r="B41" s="696" t="s">
        <v>557</v>
      </c>
      <c r="C41" s="699" t="s">
        <v>563</v>
      </c>
      <c r="D41" s="720" t="s">
        <v>1455</v>
      </c>
      <c r="E41" s="699" t="s">
        <v>3554</v>
      </c>
      <c r="F41" s="720" t="s">
        <v>3555</v>
      </c>
      <c r="G41" s="699" t="s">
        <v>2336</v>
      </c>
      <c r="H41" s="699" t="s">
        <v>2337</v>
      </c>
      <c r="I41" s="711">
        <v>11.14</v>
      </c>
      <c r="J41" s="711">
        <v>50</v>
      </c>
      <c r="K41" s="712">
        <v>557</v>
      </c>
    </row>
    <row r="42" spans="1:11" ht="14.4" customHeight="1" x14ac:dyDescent="0.3">
      <c r="A42" s="695" t="s">
        <v>556</v>
      </c>
      <c r="B42" s="696" t="s">
        <v>557</v>
      </c>
      <c r="C42" s="699" t="s">
        <v>563</v>
      </c>
      <c r="D42" s="720" t="s">
        <v>1455</v>
      </c>
      <c r="E42" s="699" t="s">
        <v>3554</v>
      </c>
      <c r="F42" s="720" t="s">
        <v>3555</v>
      </c>
      <c r="G42" s="699" t="s">
        <v>2338</v>
      </c>
      <c r="H42" s="699" t="s">
        <v>2339</v>
      </c>
      <c r="I42" s="711">
        <v>2.75</v>
      </c>
      <c r="J42" s="711">
        <v>900</v>
      </c>
      <c r="K42" s="712">
        <v>2475</v>
      </c>
    </row>
    <row r="43" spans="1:11" ht="14.4" customHeight="1" x14ac:dyDescent="0.3">
      <c r="A43" s="695" t="s">
        <v>556</v>
      </c>
      <c r="B43" s="696" t="s">
        <v>557</v>
      </c>
      <c r="C43" s="699" t="s">
        <v>563</v>
      </c>
      <c r="D43" s="720" t="s">
        <v>1455</v>
      </c>
      <c r="E43" s="699" t="s">
        <v>3554</v>
      </c>
      <c r="F43" s="720" t="s">
        <v>3555</v>
      </c>
      <c r="G43" s="699" t="s">
        <v>2340</v>
      </c>
      <c r="H43" s="699" t="s">
        <v>2341</v>
      </c>
      <c r="I43" s="711">
        <v>0.93333333333333346</v>
      </c>
      <c r="J43" s="711">
        <v>1400</v>
      </c>
      <c r="K43" s="712">
        <v>1304</v>
      </c>
    </row>
    <row r="44" spans="1:11" ht="14.4" customHeight="1" x14ac:dyDescent="0.3">
      <c r="A44" s="695" t="s">
        <v>556</v>
      </c>
      <c r="B44" s="696" t="s">
        <v>557</v>
      </c>
      <c r="C44" s="699" t="s">
        <v>563</v>
      </c>
      <c r="D44" s="720" t="s">
        <v>1455</v>
      </c>
      <c r="E44" s="699" t="s">
        <v>3554</v>
      </c>
      <c r="F44" s="720" t="s">
        <v>3555</v>
      </c>
      <c r="G44" s="699" t="s">
        <v>2342</v>
      </c>
      <c r="H44" s="699" t="s">
        <v>2343</v>
      </c>
      <c r="I44" s="711">
        <v>1.43</v>
      </c>
      <c r="J44" s="711">
        <v>600</v>
      </c>
      <c r="K44" s="712">
        <v>858</v>
      </c>
    </row>
    <row r="45" spans="1:11" ht="14.4" customHeight="1" x14ac:dyDescent="0.3">
      <c r="A45" s="695" t="s">
        <v>556</v>
      </c>
      <c r="B45" s="696" t="s">
        <v>557</v>
      </c>
      <c r="C45" s="699" t="s">
        <v>563</v>
      </c>
      <c r="D45" s="720" t="s">
        <v>1455</v>
      </c>
      <c r="E45" s="699" t="s">
        <v>3554</v>
      </c>
      <c r="F45" s="720" t="s">
        <v>3555</v>
      </c>
      <c r="G45" s="699" t="s">
        <v>2344</v>
      </c>
      <c r="H45" s="699" t="s">
        <v>2345</v>
      </c>
      <c r="I45" s="711">
        <v>0.42</v>
      </c>
      <c r="J45" s="711">
        <v>100</v>
      </c>
      <c r="K45" s="712">
        <v>42</v>
      </c>
    </row>
    <row r="46" spans="1:11" ht="14.4" customHeight="1" x14ac:dyDescent="0.3">
      <c r="A46" s="695" t="s">
        <v>556</v>
      </c>
      <c r="B46" s="696" t="s">
        <v>557</v>
      </c>
      <c r="C46" s="699" t="s">
        <v>563</v>
      </c>
      <c r="D46" s="720" t="s">
        <v>1455</v>
      </c>
      <c r="E46" s="699" t="s">
        <v>3554</v>
      </c>
      <c r="F46" s="720" t="s">
        <v>3555</v>
      </c>
      <c r="G46" s="699" t="s">
        <v>2346</v>
      </c>
      <c r="H46" s="699" t="s">
        <v>2347</v>
      </c>
      <c r="I46" s="711">
        <v>0.57666666666666666</v>
      </c>
      <c r="J46" s="711">
        <v>2600</v>
      </c>
      <c r="K46" s="712">
        <v>1500</v>
      </c>
    </row>
    <row r="47" spans="1:11" ht="14.4" customHeight="1" x14ac:dyDescent="0.3">
      <c r="A47" s="695" t="s">
        <v>556</v>
      </c>
      <c r="B47" s="696" t="s">
        <v>557</v>
      </c>
      <c r="C47" s="699" t="s">
        <v>563</v>
      </c>
      <c r="D47" s="720" t="s">
        <v>1455</v>
      </c>
      <c r="E47" s="699" t="s">
        <v>3554</v>
      </c>
      <c r="F47" s="720" t="s">
        <v>3555</v>
      </c>
      <c r="G47" s="699" t="s">
        <v>2348</v>
      </c>
      <c r="H47" s="699" t="s">
        <v>2349</v>
      </c>
      <c r="I47" s="711">
        <v>5.56</v>
      </c>
      <c r="J47" s="711">
        <v>50</v>
      </c>
      <c r="K47" s="712">
        <v>278</v>
      </c>
    </row>
    <row r="48" spans="1:11" ht="14.4" customHeight="1" x14ac:dyDescent="0.3">
      <c r="A48" s="695" t="s">
        <v>556</v>
      </c>
      <c r="B48" s="696" t="s">
        <v>557</v>
      </c>
      <c r="C48" s="699" t="s">
        <v>563</v>
      </c>
      <c r="D48" s="720" t="s">
        <v>1455</v>
      </c>
      <c r="E48" s="699" t="s">
        <v>3554</v>
      </c>
      <c r="F48" s="720" t="s">
        <v>3555</v>
      </c>
      <c r="G48" s="699" t="s">
        <v>2350</v>
      </c>
      <c r="H48" s="699" t="s">
        <v>2351</v>
      </c>
      <c r="I48" s="711">
        <v>8.9600000000000009</v>
      </c>
      <c r="J48" s="711">
        <v>30</v>
      </c>
      <c r="K48" s="712">
        <v>268.8</v>
      </c>
    </row>
    <row r="49" spans="1:11" ht="14.4" customHeight="1" x14ac:dyDescent="0.3">
      <c r="A49" s="695" t="s">
        <v>556</v>
      </c>
      <c r="B49" s="696" t="s">
        <v>557</v>
      </c>
      <c r="C49" s="699" t="s">
        <v>563</v>
      </c>
      <c r="D49" s="720" t="s">
        <v>1455</v>
      </c>
      <c r="E49" s="699" t="s">
        <v>3554</v>
      </c>
      <c r="F49" s="720" t="s">
        <v>3555</v>
      </c>
      <c r="G49" s="699" t="s">
        <v>2352</v>
      </c>
      <c r="H49" s="699" t="s">
        <v>2353</v>
      </c>
      <c r="I49" s="711">
        <v>23.48</v>
      </c>
      <c r="J49" s="711">
        <v>60</v>
      </c>
      <c r="K49" s="712">
        <v>1408.8</v>
      </c>
    </row>
    <row r="50" spans="1:11" ht="14.4" customHeight="1" x14ac:dyDescent="0.3">
      <c r="A50" s="695" t="s">
        <v>556</v>
      </c>
      <c r="B50" s="696" t="s">
        <v>557</v>
      </c>
      <c r="C50" s="699" t="s">
        <v>563</v>
      </c>
      <c r="D50" s="720" t="s">
        <v>1455</v>
      </c>
      <c r="E50" s="699" t="s">
        <v>3554</v>
      </c>
      <c r="F50" s="720" t="s">
        <v>3555</v>
      </c>
      <c r="G50" s="699" t="s">
        <v>2354</v>
      </c>
      <c r="H50" s="699" t="s">
        <v>2355</v>
      </c>
      <c r="I50" s="711">
        <v>1.78</v>
      </c>
      <c r="J50" s="711">
        <v>100</v>
      </c>
      <c r="K50" s="712">
        <v>178</v>
      </c>
    </row>
    <row r="51" spans="1:11" ht="14.4" customHeight="1" x14ac:dyDescent="0.3">
      <c r="A51" s="695" t="s">
        <v>556</v>
      </c>
      <c r="B51" s="696" t="s">
        <v>557</v>
      </c>
      <c r="C51" s="699" t="s">
        <v>563</v>
      </c>
      <c r="D51" s="720" t="s">
        <v>1455</v>
      </c>
      <c r="E51" s="699" t="s">
        <v>3554</v>
      </c>
      <c r="F51" s="720" t="s">
        <v>3555</v>
      </c>
      <c r="G51" s="699" t="s">
        <v>2356</v>
      </c>
      <c r="H51" s="699" t="s">
        <v>2357</v>
      </c>
      <c r="I51" s="711">
        <v>2.82</v>
      </c>
      <c r="J51" s="711">
        <v>50</v>
      </c>
      <c r="K51" s="712">
        <v>141</v>
      </c>
    </row>
    <row r="52" spans="1:11" ht="14.4" customHeight="1" x14ac:dyDescent="0.3">
      <c r="A52" s="695" t="s">
        <v>556</v>
      </c>
      <c r="B52" s="696" t="s">
        <v>557</v>
      </c>
      <c r="C52" s="699" t="s">
        <v>563</v>
      </c>
      <c r="D52" s="720" t="s">
        <v>1455</v>
      </c>
      <c r="E52" s="699" t="s">
        <v>3554</v>
      </c>
      <c r="F52" s="720" t="s">
        <v>3555</v>
      </c>
      <c r="G52" s="699" t="s">
        <v>2358</v>
      </c>
      <c r="H52" s="699" t="s">
        <v>2359</v>
      </c>
      <c r="I52" s="711">
        <v>2.81</v>
      </c>
      <c r="J52" s="711">
        <v>50</v>
      </c>
      <c r="K52" s="712">
        <v>140.5</v>
      </c>
    </row>
    <row r="53" spans="1:11" ht="14.4" customHeight="1" x14ac:dyDescent="0.3">
      <c r="A53" s="695" t="s">
        <v>556</v>
      </c>
      <c r="B53" s="696" t="s">
        <v>557</v>
      </c>
      <c r="C53" s="699" t="s">
        <v>563</v>
      </c>
      <c r="D53" s="720" t="s">
        <v>1455</v>
      </c>
      <c r="E53" s="699" t="s">
        <v>3554</v>
      </c>
      <c r="F53" s="720" t="s">
        <v>3555</v>
      </c>
      <c r="G53" s="699" t="s">
        <v>2360</v>
      </c>
      <c r="H53" s="699" t="s">
        <v>2361</v>
      </c>
      <c r="I53" s="711">
        <v>2</v>
      </c>
      <c r="J53" s="711">
        <v>50</v>
      </c>
      <c r="K53" s="712">
        <v>100</v>
      </c>
    </row>
    <row r="54" spans="1:11" ht="14.4" customHeight="1" x14ac:dyDescent="0.3">
      <c r="A54" s="695" t="s">
        <v>556</v>
      </c>
      <c r="B54" s="696" t="s">
        <v>557</v>
      </c>
      <c r="C54" s="699" t="s">
        <v>563</v>
      </c>
      <c r="D54" s="720" t="s">
        <v>1455</v>
      </c>
      <c r="E54" s="699" t="s">
        <v>3554</v>
      </c>
      <c r="F54" s="720" t="s">
        <v>3555</v>
      </c>
      <c r="G54" s="699" t="s">
        <v>2362</v>
      </c>
      <c r="H54" s="699" t="s">
        <v>2363</v>
      </c>
      <c r="I54" s="711">
        <v>90.99</v>
      </c>
      <c r="J54" s="711">
        <v>30</v>
      </c>
      <c r="K54" s="712">
        <v>2729.7</v>
      </c>
    </row>
    <row r="55" spans="1:11" ht="14.4" customHeight="1" x14ac:dyDescent="0.3">
      <c r="A55" s="695" t="s">
        <v>556</v>
      </c>
      <c r="B55" s="696" t="s">
        <v>557</v>
      </c>
      <c r="C55" s="699" t="s">
        <v>563</v>
      </c>
      <c r="D55" s="720" t="s">
        <v>1455</v>
      </c>
      <c r="E55" s="699" t="s">
        <v>3554</v>
      </c>
      <c r="F55" s="720" t="s">
        <v>3555</v>
      </c>
      <c r="G55" s="699" t="s">
        <v>2364</v>
      </c>
      <c r="H55" s="699" t="s">
        <v>2365</v>
      </c>
      <c r="I55" s="711">
        <v>2.17</v>
      </c>
      <c r="J55" s="711">
        <v>100</v>
      </c>
      <c r="K55" s="712">
        <v>217</v>
      </c>
    </row>
    <row r="56" spans="1:11" ht="14.4" customHeight="1" x14ac:dyDescent="0.3">
      <c r="A56" s="695" t="s">
        <v>556</v>
      </c>
      <c r="B56" s="696" t="s">
        <v>557</v>
      </c>
      <c r="C56" s="699" t="s">
        <v>563</v>
      </c>
      <c r="D56" s="720" t="s">
        <v>1455</v>
      </c>
      <c r="E56" s="699" t="s">
        <v>3554</v>
      </c>
      <c r="F56" s="720" t="s">
        <v>3555</v>
      </c>
      <c r="G56" s="699" t="s">
        <v>2366</v>
      </c>
      <c r="H56" s="699" t="s">
        <v>2367</v>
      </c>
      <c r="I56" s="711">
        <v>5.13</v>
      </c>
      <c r="J56" s="711">
        <v>280</v>
      </c>
      <c r="K56" s="712">
        <v>1436.4</v>
      </c>
    </row>
    <row r="57" spans="1:11" ht="14.4" customHeight="1" x14ac:dyDescent="0.3">
      <c r="A57" s="695" t="s">
        <v>556</v>
      </c>
      <c r="B57" s="696" t="s">
        <v>557</v>
      </c>
      <c r="C57" s="699" t="s">
        <v>563</v>
      </c>
      <c r="D57" s="720" t="s">
        <v>1455</v>
      </c>
      <c r="E57" s="699" t="s">
        <v>3554</v>
      </c>
      <c r="F57" s="720" t="s">
        <v>3555</v>
      </c>
      <c r="G57" s="699" t="s">
        <v>2368</v>
      </c>
      <c r="H57" s="699" t="s">
        <v>2369</v>
      </c>
      <c r="I57" s="711">
        <v>7.95</v>
      </c>
      <c r="J57" s="711">
        <v>60</v>
      </c>
      <c r="K57" s="712">
        <v>477</v>
      </c>
    </row>
    <row r="58" spans="1:11" ht="14.4" customHeight="1" x14ac:dyDescent="0.3">
      <c r="A58" s="695" t="s">
        <v>556</v>
      </c>
      <c r="B58" s="696" t="s">
        <v>557</v>
      </c>
      <c r="C58" s="699" t="s">
        <v>563</v>
      </c>
      <c r="D58" s="720" t="s">
        <v>1455</v>
      </c>
      <c r="E58" s="699" t="s">
        <v>3554</v>
      </c>
      <c r="F58" s="720" t="s">
        <v>3555</v>
      </c>
      <c r="G58" s="699" t="s">
        <v>2370</v>
      </c>
      <c r="H58" s="699" t="s">
        <v>2371</v>
      </c>
      <c r="I58" s="711">
        <v>17.98</v>
      </c>
      <c r="J58" s="711">
        <v>50</v>
      </c>
      <c r="K58" s="712">
        <v>899</v>
      </c>
    </row>
    <row r="59" spans="1:11" ht="14.4" customHeight="1" x14ac:dyDescent="0.3">
      <c r="A59" s="695" t="s">
        <v>556</v>
      </c>
      <c r="B59" s="696" t="s">
        <v>557</v>
      </c>
      <c r="C59" s="699" t="s">
        <v>563</v>
      </c>
      <c r="D59" s="720" t="s">
        <v>1455</v>
      </c>
      <c r="E59" s="699" t="s">
        <v>3554</v>
      </c>
      <c r="F59" s="720" t="s">
        <v>3555</v>
      </c>
      <c r="G59" s="699" t="s">
        <v>2372</v>
      </c>
      <c r="H59" s="699" t="s">
        <v>2373</v>
      </c>
      <c r="I59" s="711">
        <v>17.98</v>
      </c>
      <c r="J59" s="711">
        <v>300</v>
      </c>
      <c r="K59" s="712">
        <v>5394</v>
      </c>
    </row>
    <row r="60" spans="1:11" ht="14.4" customHeight="1" x14ac:dyDescent="0.3">
      <c r="A60" s="695" t="s">
        <v>556</v>
      </c>
      <c r="B60" s="696" t="s">
        <v>557</v>
      </c>
      <c r="C60" s="699" t="s">
        <v>563</v>
      </c>
      <c r="D60" s="720" t="s">
        <v>1455</v>
      </c>
      <c r="E60" s="699" t="s">
        <v>3554</v>
      </c>
      <c r="F60" s="720" t="s">
        <v>3555</v>
      </c>
      <c r="G60" s="699" t="s">
        <v>2374</v>
      </c>
      <c r="H60" s="699" t="s">
        <v>2375</v>
      </c>
      <c r="I60" s="711">
        <v>15.01</v>
      </c>
      <c r="J60" s="711">
        <v>50</v>
      </c>
      <c r="K60" s="712">
        <v>750.5</v>
      </c>
    </row>
    <row r="61" spans="1:11" ht="14.4" customHeight="1" x14ac:dyDescent="0.3">
      <c r="A61" s="695" t="s">
        <v>556</v>
      </c>
      <c r="B61" s="696" t="s">
        <v>557</v>
      </c>
      <c r="C61" s="699" t="s">
        <v>563</v>
      </c>
      <c r="D61" s="720" t="s">
        <v>1455</v>
      </c>
      <c r="E61" s="699" t="s">
        <v>3554</v>
      </c>
      <c r="F61" s="720" t="s">
        <v>3555</v>
      </c>
      <c r="G61" s="699" t="s">
        <v>2376</v>
      </c>
      <c r="H61" s="699" t="s">
        <v>2377</v>
      </c>
      <c r="I61" s="711">
        <v>2.84</v>
      </c>
      <c r="J61" s="711">
        <v>50</v>
      </c>
      <c r="K61" s="712">
        <v>142</v>
      </c>
    </row>
    <row r="62" spans="1:11" ht="14.4" customHeight="1" x14ac:dyDescent="0.3">
      <c r="A62" s="695" t="s">
        <v>556</v>
      </c>
      <c r="B62" s="696" t="s">
        <v>557</v>
      </c>
      <c r="C62" s="699" t="s">
        <v>563</v>
      </c>
      <c r="D62" s="720" t="s">
        <v>1455</v>
      </c>
      <c r="E62" s="699" t="s">
        <v>3554</v>
      </c>
      <c r="F62" s="720" t="s">
        <v>3555</v>
      </c>
      <c r="G62" s="699" t="s">
        <v>2378</v>
      </c>
      <c r="H62" s="699" t="s">
        <v>2379</v>
      </c>
      <c r="I62" s="711">
        <v>5.21</v>
      </c>
      <c r="J62" s="711">
        <v>60</v>
      </c>
      <c r="K62" s="712">
        <v>312.60000000000002</v>
      </c>
    </row>
    <row r="63" spans="1:11" ht="14.4" customHeight="1" x14ac:dyDescent="0.3">
      <c r="A63" s="695" t="s">
        <v>556</v>
      </c>
      <c r="B63" s="696" t="s">
        <v>557</v>
      </c>
      <c r="C63" s="699" t="s">
        <v>563</v>
      </c>
      <c r="D63" s="720" t="s">
        <v>1455</v>
      </c>
      <c r="E63" s="699" t="s">
        <v>3554</v>
      </c>
      <c r="F63" s="720" t="s">
        <v>3555</v>
      </c>
      <c r="G63" s="699" t="s">
        <v>2380</v>
      </c>
      <c r="H63" s="699" t="s">
        <v>2381</v>
      </c>
      <c r="I63" s="711">
        <v>13.2</v>
      </c>
      <c r="J63" s="711">
        <v>40</v>
      </c>
      <c r="K63" s="712">
        <v>528</v>
      </c>
    </row>
    <row r="64" spans="1:11" ht="14.4" customHeight="1" x14ac:dyDescent="0.3">
      <c r="A64" s="695" t="s">
        <v>556</v>
      </c>
      <c r="B64" s="696" t="s">
        <v>557</v>
      </c>
      <c r="C64" s="699" t="s">
        <v>563</v>
      </c>
      <c r="D64" s="720" t="s">
        <v>1455</v>
      </c>
      <c r="E64" s="699" t="s">
        <v>3554</v>
      </c>
      <c r="F64" s="720" t="s">
        <v>3555</v>
      </c>
      <c r="G64" s="699" t="s">
        <v>2382</v>
      </c>
      <c r="H64" s="699" t="s">
        <v>2383</v>
      </c>
      <c r="I64" s="711">
        <v>13.2</v>
      </c>
      <c r="J64" s="711">
        <v>10</v>
      </c>
      <c r="K64" s="712">
        <v>132</v>
      </c>
    </row>
    <row r="65" spans="1:11" ht="14.4" customHeight="1" x14ac:dyDescent="0.3">
      <c r="A65" s="695" t="s">
        <v>556</v>
      </c>
      <c r="B65" s="696" t="s">
        <v>557</v>
      </c>
      <c r="C65" s="699" t="s">
        <v>563</v>
      </c>
      <c r="D65" s="720" t="s">
        <v>1455</v>
      </c>
      <c r="E65" s="699" t="s">
        <v>3554</v>
      </c>
      <c r="F65" s="720" t="s">
        <v>3555</v>
      </c>
      <c r="G65" s="699" t="s">
        <v>2384</v>
      </c>
      <c r="H65" s="699" t="s">
        <v>2385</v>
      </c>
      <c r="I65" s="711">
        <v>13.2</v>
      </c>
      <c r="J65" s="711">
        <v>20</v>
      </c>
      <c r="K65" s="712">
        <v>264</v>
      </c>
    </row>
    <row r="66" spans="1:11" ht="14.4" customHeight="1" x14ac:dyDescent="0.3">
      <c r="A66" s="695" t="s">
        <v>556</v>
      </c>
      <c r="B66" s="696" t="s">
        <v>557</v>
      </c>
      <c r="C66" s="699" t="s">
        <v>563</v>
      </c>
      <c r="D66" s="720" t="s">
        <v>1455</v>
      </c>
      <c r="E66" s="699" t="s">
        <v>3554</v>
      </c>
      <c r="F66" s="720" t="s">
        <v>3555</v>
      </c>
      <c r="G66" s="699" t="s">
        <v>2386</v>
      </c>
      <c r="H66" s="699" t="s">
        <v>2387</v>
      </c>
      <c r="I66" s="711">
        <v>13.2</v>
      </c>
      <c r="J66" s="711">
        <v>10</v>
      </c>
      <c r="K66" s="712">
        <v>132</v>
      </c>
    </row>
    <row r="67" spans="1:11" ht="14.4" customHeight="1" x14ac:dyDescent="0.3">
      <c r="A67" s="695" t="s">
        <v>556</v>
      </c>
      <c r="B67" s="696" t="s">
        <v>557</v>
      </c>
      <c r="C67" s="699" t="s">
        <v>563</v>
      </c>
      <c r="D67" s="720" t="s">
        <v>1455</v>
      </c>
      <c r="E67" s="699" t="s">
        <v>3554</v>
      </c>
      <c r="F67" s="720" t="s">
        <v>3555</v>
      </c>
      <c r="G67" s="699" t="s">
        <v>2388</v>
      </c>
      <c r="H67" s="699" t="s">
        <v>2389</v>
      </c>
      <c r="I67" s="711">
        <v>1.55</v>
      </c>
      <c r="J67" s="711">
        <v>75</v>
      </c>
      <c r="K67" s="712">
        <v>116.25</v>
      </c>
    </row>
    <row r="68" spans="1:11" ht="14.4" customHeight="1" x14ac:dyDescent="0.3">
      <c r="A68" s="695" t="s">
        <v>556</v>
      </c>
      <c r="B68" s="696" t="s">
        <v>557</v>
      </c>
      <c r="C68" s="699" t="s">
        <v>563</v>
      </c>
      <c r="D68" s="720" t="s">
        <v>1455</v>
      </c>
      <c r="E68" s="699" t="s">
        <v>3554</v>
      </c>
      <c r="F68" s="720" t="s">
        <v>3555</v>
      </c>
      <c r="G68" s="699" t="s">
        <v>2390</v>
      </c>
      <c r="H68" s="699" t="s">
        <v>2391</v>
      </c>
      <c r="I68" s="711">
        <v>0.47333333333333333</v>
      </c>
      <c r="J68" s="711">
        <v>1200</v>
      </c>
      <c r="K68" s="712">
        <v>568</v>
      </c>
    </row>
    <row r="69" spans="1:11" ht="14.4" customHeight="1" x14ac:dyDescent="0.3">
      <c r="A69" s="695" t="s">
        <v>556</v>
      </c>
      <c r="B69" s="696" t="s">
        <v>557</v>
      </c>
      <c r="C69" s="699" t="s">
        <v>563</v>
      </c>
      <c r="D69" s="720" t="s">
        <v>1455</v>
      </c>
      <c r="E69" s="699" t="s">
        <v>3554</v>
      </c>
      <c r="F69" s="720" t="s">
        <v>3555</v>
      </c>
      <c r="G69" s="699" t="s">
        <v>2392</v>
      </c>
      <c r="H69" s="699" t="s">
        <v>2393</v>
      </c>
      <c r="I69" s="711">
        <v>2.88</v>
      </c>
      <c r="J69" s="711">
        <v>50</v>
      </c>
      <c r="K69" s="712">
        <v>144</v>
      </c>
    </row>
    <row r="70" spans="1:11" ht="14.4" customHeight="1" x14ac:dyDescent="0.3">
      <c r="A70" s="695" t="s">
        <v>556</v>
      </c>
      <c r="B70" s="696" t="s">
        <v>557</v>
      </c>
      <c r="C70" s="699" t="s">
        <v>563</v>
      </c>
      <c r="D70" s="720" t="s">
        <v>1455</v>
      </c>
      <c r="E70" s="699" t="s">
        <v>3554</v>
      </c>
      <c r="F70" s="720" t="s">
        <v>3555</v>
      </c>
      <c r="G70" s="699" t="s">
        <v>2394</v>
      </c>
      <c r="H70" s="699" t="s">
        <v>2395</v>
      </c>
      <c r="I70" s="711">
        <v>2.34</v>
      </c>
      <c r="J70" s="711">
        <v>50</v>
      </c>
      <c r="K70" s="712">
        <v>117</v>
      </c>
    </row>
    <row r="71" spans="1:11" ht="14.4" customHeight="1" x14ac:dyDescent="0.3">
      <c r="A71" s="695" t="s">
        <v>556</v>
      </c>
      <c r="B71" s="696" t="s">
        <v>557</v>
      </c>
      <c r="C71" s="699" t="s">
        <v>563</v>
      </c>
      <c r="D71" s="720" t="s">
        <v>1455</v>
      </c>
      <c r="E71" s="699" t="s">
        <v>3554</v>
      </c>
      <c r="F71" s="720" t="s">
        <v>3555</v>
      </c>
      <c r="G71" s="699" t="s">
        <v>2396</v>
      </c>
      <c r="H71" s="699" t="s">
        <v>2397</v>
      </c>
      <c r="I71" s="711">
        <v>9.1999999999999993</v>
      </c>
      <c r="J71" s="711">
        <v>250</v>
      </c>
      <c r="K71" s="712">
        <v>2300</v>
      </c>
    </row>
    <row r="72" spans="1:11" ht="14.4" customHeight="1" x14ac:dyDescent="0.3">
      <c r="A72" s="695" t="s">
        <v>556</v>
      </c>
      <c r="B72" s="696" t="s">
        <v>557</v>
      </c>
      <c r="C72" s="699" t="s">
        <v>563</v>
      </c>
      <c r="D72" s="720" t="s">
        <v>1455</v>
      </c>
      <c r="E72" s="699" t="s">
        <v>3554</v>
      </c>
      <c r="F72" s="720" t="s">
        <v>3555</v>
      </c>
      <c r="G72" s="699" t="s">
        <v>2398</v>
      </c>
      <c r="H72" s="699" t="s">
        <v>2399</v>
      </c>
      <c r="I72" s="711">
        <v>172.5</v>
      </c>
      <c r="J72" s="711">
        <v>1</v>
      </c>
      <c r="K72" s="712">
        <v>172.5</v>
      </c>
    </row>
    <row r="73" spans="1:11" ht="14.4" customHeight="1" x14ac:dyDescent="0.3">
      <c r="A73" s="695" t="s">
        <v>556</v>
      </c>
      <c r="B73" s="696" t="s">
        <v>557</v>
      </c>
      <c r="C73" s="699" t="s">
        <v>563</v>
      </c>
      <c r="D73" s="720" t="s">
        <v>1455</v>
      </c>
      <c r="E73" s="699" t="s">
        <v>3556</v>
      </c>
      <c r="F73" s="720" t="s">
        <v>3557</v>
      </c>
      <c r="G73" s="699" t="s">
        <v>2400</v>
      </c>
      <c r="H73" s="699" t="s">
        <v>2401</v>
      </c>
      <c r="I73" s="711">
        <v>8.1649999999999991</v>
      </c>
      <c r="J73" s="711">
        <v>1400</v>
      </c>
      <c r="K73" s="712">
        <v>11431</v>
      </c>
    </row>
    <row r="74" spans="1:11" ht="14.4" customHeight="1" x14ac:dyDescent="0.3">
      <c r="A74" s="695" t="s">
        <v>556</v>
      </c>
      <c r="B74" s="696" t="s">
        <v>557</v>
      </c>
      <c r="C74" s="699" t="s">
        <v>563</v>
      </c>
      <c r="D74" s="720" t="s">
        <v>1455</v>
      </c>
      <c r="E74" s="699" t="s">
        <v>3558</v>
      </c>
      <c r="F74" s="720" t="s">
        <v>3559</v>
      </c>
      <c r="G74" s="699" t="s">
        <v>2402</v>
      </c>
      <c r="H74" s="699" t="s">
        <v>2403</v>
      </c>
      <c r="I74" s="711">
        <v>0.3</v>
      </c>
      <c r="J74" s="711">
        <v>400</v>
      </c>
      <c r="K74" s="712">
        <v>120</v>
      </c>
    </row>
    <row r="75" spans="1:11" ht="14.4" customHeight="1" x14ac:dyDescent="0.3">
      <c r="A75" s="695" t="s">
        <v>556</v>
      </c>
      <c r="B75" s="696" t="s">
        <v>557</v>
      </c>
      <c r="C75" s="699" t="s">
        <v>563</v>
      </c>
      <c r="D75" s="720" t="s">
        <v>1455</v>
      </c>
      <c r="E75" s="699" t="s">
        <v>3558</v>
      </c>
      <c r="F75" s="720" t="s">
        <v>3559</v>
      </c>
      <c r="G75" s="699" t="s">
        <v>2404</v>
      </c>
      <c r="H75" s="699" t="s">
        <v>2405</v>
      </c>
      <c r="I75" s="711">
        <v>0.31</v>
      </c>
      <c r="J75" s="711">
        <v>300</v>
      </c>
      <c r="K75" s="712">
        <v>93</v>
      </c>
    </row>
    <row r="76" spans="1:11" ht="14.4" customHeight="1" x14ac:dyDescent="0.3">
      <c r="A76" s="695" t="s">
        <v>556</v>
      </c>
      <c r="B76" s="696" t="s">
        <v>557</v>
      </c>
      <c r="C76" s="699" t="s">
        <v>563</v>
      </c>
      <c r="D76" s="720" t="s">
        <v>1455</v>
      </c>
      <c r="E76" s="699" t="s">
        <v>3558</v>
      </c>
      <c r="F76" s="720" t="s">
        <v>3559</v>
      </c>
      <c r="G76" s="699" t="s">
        <v>2406</v>
      </c>
      <c r="H76" s="699" t="s">
        <v>2407</v>
      </c>
      <c r="I76" s="711">
        <v>0.48</v>
      </c>
      <c r="J76" s="711">
        <v>900</v>
      </c>
      <c r="K76" s="712">
        <v>432</v>
      </c>
    </row>
    <row r="77" spans="1:11" ht="14.4" customHeight="1" x14ac:dyDescent="0.3">
      <c r="A77" s="695" t="s">
        <v>556</v>
      </c>
      <c r="B77" s="696" t="s">
        <v>557</v>
      </c>
      <c r="C77" s="699" t="s">
        <v>563</v>
      </c>
      <c r="D77" s="720" t="s">
        <v>1455</v>
      </c>
      <c r="E77" s="699" t="s">
        <v>3558</v>
      </c>
      <c r="F77" s="720" t="s">
        <v>3559</v>
      </c>
      <c r="G77" s="699" t="s">
        <v>2408</v>
      </c>
      <c r="H77" s="699" t="s">
        <v>2409</v>
      </c>
      <c r="I77" s="711">
        <v>0.30666666666666664</v>
      </c>
      <c r="J77" s="711">
        <v>1800</v>
      </c>
      <c r="K77" s="712">
        <v>552</v>
      </c>
    </row>
    <row r="78" spans="1:11" ht="14.4" customHeight="1" x14ac:dyDescent="0.3">
      <c r="A78" s="695" t="s">
        <v>556</v>
      </c>
      <c r="B78" s="696" t="s">
        <v>557</v>
      </c>
      <c r="C78" s="699" t="s">
        <v>563</v>
      </c>
      <c r="D78" s="720" t="s">
        <v>1455</v>
      </c>
      <c r="E78" s="699" t="s">
        <v>3560</v>
      </c>
      <c r="F78" s="720" t="s">
        <v>3561</v>
      </c>
      <c r="G78" s="699" t="s">
        <v>2410</v>
      </c>
      <c r="H78" s="699" t="s">
        <v>2411</v>
      </c>
      <c r="I78" s="711">
        <v>0.77333333333333343</v>
      </c>
      <c r="J78" s="711">
        <v>7500</v>
      </c>
      <c r="K78" s="712">
        <v>5801</v>
      </c>
    </row>
    <row r="79" spans="1:11" ht="14.4" customHeight="1" x14ac:dyDescent="0.3">
      <c r="A79" s="695" t="s">
        <v>556</v>
      </c>
      <c r="B79" s="696" t="s">
        <v>557</v>
      </c>
      <c r="C79" s="699" t="s">
        <v>568</v>
      </c>
      <c r="D79" s="720" t="s">
        <v>1456</v>
      </c>
      <c r="E79" s="699" t="s">
        <v>3552</v>
      </c>
      <c r="F79" s="720" t="s">
        <v>3553</v>
      </c>
      <c r="G79" s="699" t="s">
        <v>2264</v>
      </c>
      <c r="H79" s="699" t="s">
        <v>2265</v>
      </c>
      <c r="I79" s="711">
        <v>2.39</v>
      </c>
      <c r="J79" s="711">
        <v>300</v>
      </c>
      <c r="K79" s="712">
        <v>717</v>
      </c>
    </row>
    <row r="80" spans="1:11" ht="14.4" customHeight="1" x14ac:dyDescent="0.3">
      <c r="A80" s="695" t="s">
        <v>556</v>
      </c>
      <c r="B80" s="696" t="s">
        <v>557</v>
      </c>
      <c r="C80" s="699" t="s">
        <v>568</v>
      </c>
      <c r="D80" s="720" t="s">
        <v>1456</v>
      </c>
      <c r="E80" s="699" t="s">
        <v>3552</v>
      </c>
      <c r="F80" s="720" t="s">
        <v>3553</v>
      </c>
      <c r="G80" s="699" t="s">
        <v>2266</v>
      </c>
      <c r="H80" s="699" t="s">
        <v>2267</v>
      </c>
      <c r="I80" s="711">
        <v>3.1033333333333335</v>
      </c>
      <c r="J80" s="711">
        <v>500</v>
      </c>
      <c r="K80" s="712">
        <v>1552</v>
      </c>
    </row>
    <row r="81" spans="1:11" ht="14.4" customHeight="1" x14ac:dyDescent="0.3">
      <c r="A81" s="695" t="s">
        <v>556</v>
      </c>
      <c r="B81" s="696" t="s">
        <v>557</v>
      </c>
      <c r="C81" s="699" t="s">
        <v>568</v>
      </c>
      <c r="D81" s="720" t="s">
        <v>1456</v>
      </c>
      <c r="E81" s="699" t="s">
        <v>3552</v>
      </c>
      <c r="F81" s="720" t="s">
        <v>3553</v>
      </c>
      <c r="G81" s="699" t="s">
        <v>2268</v>
      </c>
      <c r="H81" s="699" t="s">
        <v>2269</v>
      </c>
      <c r="I81" s="711">
        <v>3.78</v>
      </c>
      <c r="J81" s="711">
        <v>500</v>
      </c>
      <c r="K81" s="712">
        <v>1890</v>
      </c>
    </row>
    <row r="82" spans="1:11" ht="14.4" customHeight="1" x14ac:dyDescent="0.3">
      <c r="A82" s="695" t="s">
        <v>556</v>
      </c>
      <c r="B82" s="696" t="s">
        <v>557</v>
      </c>
      <c r="C82" s="699" t="s">
        <v>568</v>
      </c>
      <c r="D82" s="720" t="s">
        <v>1456</v>
      </c>
      <c r="E82" s="699" t="s">
        <v>3552</v>
      </c>
      <c r="F82" s="720" t="s">
        <v>3553</v>
      </c>
      <c r="G82" s="699" t="s">
        <v>2412</v>
      </c>
      <c r="H82" s="699" t="s">
        <v>2413</v>
      </c>
      <c r="I82" s="711">
        <v>13.96</v>
      </c>
      <c r="J82" s="711">
        <v>10</v>
      </c>
      <c r="K82" s="712">
        <v>139.6</v>
      </c>
    </row>
    <row r="83" spans="1:11" ht="14.4" customHeight="1" x14ac:dyDescent="0.3">
      <c r="A83" s="695" t="s">
        <v>556</v>
      </c>
      <c r="B83" s="696" t="s">
        <v>557</v>
      </c>
      <c r="C83" s="699" t="s">
        <v>568</v>
      </c>
      <c r="D83" s="720" t="s">
        <v>1456</v>
      </c>
      <c r="E83" s="699" t="s">
        <v>3552</v>
      </c>
      <c r="F83" s="720" t="s">
        <v>3553</v>
      </c>
      <c r="G83" s="699" t="s">
        <v>2414</v>
      </c>
      <c r="H83" s="699" t="s">
        <v>2415</v>
      </c>
      <c r="I83" s="711">
        <v>14.21</v>
      </c>
      <c r="J83" s="711">
        <v>10</v>
      </c>
      <c r="K83" s="712">
        <v>142.1</v>
      </c>
    </row>
    <row r="84" spans="1:11" ht="14.4" customHeight="1" x14ac:dyDescent="0.3">
      <c r="A84" s="695" t="s">
        <v>556</v>
      </c>
      <c r="B84" s="696" t="s">
        <v>557</v>
      </c>
      <c r="C84" s="699" t="s">
        <v>568</v>
      </c>
      <c r="D84" s="720" t="s">
        <v>1456</v>
      </c>
      <c r="E84" s="699" t="s">
        <v>3552</v>
      </c>
      <c r="F84" s="720" t="s">
        <v>3553</v>
      </c>
      <c r="G84" s="699" t="s">
        <v>2416</v>
      </c>
      <c r="H84" s="699" t="s">
        <v>2417</v>
      </c>
      <c r="I84" s="711">
        <v>17.556666666666668</v>
      </c>
      <c r="J84" s="711">
        <v>280</v>
      </c>
      <c r="K84" s="712">
        <v>4915.3999999999996</v>
      </c>
    </row>
    <row r="85" spans="1:11" ht="14.4" customHeight="1" x14ac:dyDescent="0.3">
      <c r="A85" s="695" t="s">
        <v>556</v>
      </c>
      <c r="B85" s="696" t="s">
        <v>557</v>
      </c>
      <c r="C85" s="699" t="s">
        <v>568</v>
      </c>
      <c r="D85" s="720" t="s">
        <v>1456</v>
      </c>
      <c r="E85" s="699" t="s">
        <v>3552</v>
      </c>
      <c r="F85" s="720" t="s">
        <v>3553</v>
      </c>
      <c r="G85" s="699" t="s">
        <v>2274</v>
      </c>
      <c r="H85" s="699" t="s">
        <v>2275</v>
      </c>
      <c r="I85" s="711">
        <v>7.59</v>
      </c>
      <c r="J85" s="711">
        <v>36</v>
      </c>
      <c r="K85" s="712">
        <v>273.24</v>
      </c>
    </row>
    <row r="86" spans="1:11" ht="14.4" customHeight="1" x14ac:dyDescent="0.3">
      <c r="A86" s="695" t="s">
        <v>556</v>
      </c>
      <c r="B86" s="696" t="s">
        <v>557</v>
      </c>
      <c r="C86" s="699" t="s">
        <v>568</v>
      </c>
      <c r="D86" s="720" t="s">
        <v>1456</v>
      </c>
      <c r="E86" s="699" t="s">
        <v>3552</v>
      </c>
      <c r="F86" s="720" t="s">
        <v>3553</v>
      </c>
      <c r="G86" s="699" t="s">
        <v>2276</v>
      </c>
      <c r="H86" s="699" t="s">
        <v>2277</v>
      </c>
      <c r="I86" s="711">
        <v>27.365000000000002</v>
      </c>
      <c r="J86" s="711">
        <v>6</v>
      </c>
      <c r="K86" s="712">
        <v>164.19</v>
      </c>
    </row>
    <row r="87" spans="1:11" ht="14.4" customHeight="1" x14ac:dyDescent="0.3">
      <c r="A87" s="695" t="s">
        <v>556</v>
      </c>
      <c r="B87" s="696" t="s">
        <v>557</v>
      </c>
      <c r="C87" s="699" t="s">
        <v>568</v>
      </c>
      <c r="D87" s="720" t="s">
        <v>1456</v>
      </c>
      <c r="E87" s="699" t="s">
        <v>3552</v>
      </c>
      <c r="F87" s="720" t="s">
        <v>3553</v>
      </c>
      <c r="G87" s="699" t="s">
        <v>2280</v>
      </c>
      <c r="H87" s="699" t="s">
        <v>2281</v>
      </c>
      <c r="I87" s="711">
        <v>2.9649999999999999</v>
      </c>
      <c r="J87" s="711">
        <v>480</v>
      </c>
      <c r="K87" s="712">
        <v>1423.1999999999998</v>
      </c>
    </row>
    <row r="88" spans="1:11" ht="14.4" customHeight="1" x14ac:dyDescent="0.3">
      <c r="A88" s="695" t="s">
        <v>556</v>
      </c>
      <c r="B88" s="696" t="s">
        <v>557</v>
      </c>
      <c r="C88" s="699" t="s">
        <v>568</v>
      </c>
      <c r="D88" s="720" t="s">
        <v>1456</v>
      </c>
      <c r="E88" s="699" t="s">
        <v>3552</v>
      </c>
      <c r="F88" s="720" t="s">
        <v>3553</v>
      </c>
      <c r="G88" s="699" t="s">
        <v>2282</v>
      </c>
      <c r="H88" s="699" t="s">
        <v>2283</v>
      </c>
      <c r="I88" s="711">
        <v>0.85</v>
      </c>
      <c r="J88" s="711">
        <v>400</v>
      </c>
      <c r="K88" s="712">
        <v>340</v>
      </c>
    </row>
    <row r="89" spans="1:11" ht="14.4" customHeight="1" x14ac:dyDescent="0.3">
      <c r="A89" s="695" t="s">
        <v>556</v>
      </c>
      <c r="B89" s="696" t="s">
        <v>557</v>
      </c>
      <c r="C89" s="699" t="s">
        <v>568</v>
      </c>
      <c r="D89" s="720" t="s">
        <v>1456</v>
      </c>
      <c r="E89" s="699" t="s">
        <v>3552</v>
      </c>
      <c r="F89" s="720" t="s">
        <v>3553</v>
      </c>
      <c r="G89" s="699" t="s">
        <v>2418</v>
      </c>
      <c r="H89" s="699" t="s">
        <v>2419</v>
      </c>
      <c r="I89" s="711">
        <v>42.63</v>
      </c>
      <c r="J89" s="711">
        <v>189</v>
      </c>
      <c r="K89" s="712">
        <v>8056.98</v>
      </c>
    </row>
    <row r="90" spans="1:11" ht="14.4" customHeight="1" x14ac:dyDescent="0.3">
      <c r="A90" s="695" t="s">
        <v>556</v>
      </c>
      <c r="B90" s="696" t="s">
        <v>557</v>
      </c>
      <c r="C90" s="699" t="s">
        <v>568</v>
      </c>
      <c r="D90" s="720" t="s">
        <v>1456</v>
      </c>
      <c r="E90" s="699" t="s">
        <v>3552</v>
      </c>
      <c r="F90" s="720" t="s">
        <v>3553</v>
      </c>
      <c r="G90" s="699" t="s">
        <v>2420</v>
      </c>
      <c r="H90" s="699" t="s">
        <v>2421</v>
      </c>
      <c r="I90" s="711">
        <v>61.21</v>
      </c>
      <c r="J90" s="711">
        <v>1</v>
      </c>
      <c r="K90" s="712">
        <v>61.21</v>
      </c>
    </row>
    <row r="91" spans="1:11" ht="14.4" customHeight="1" x14ac:dyDescent="0.3">
      <c r="A91" s="695" t="s">
        <v>556</v>
      </c>
      <c r="B91" s="696" t="s">
        <v>557</v>
      </c>
      <c r="C91" s="699" t="s">
        <v>568</v>
      </c>
      <c r="D91" s="720" t="s">
        <v>1456</v>
      </c>
      <c r="E91" s="699" t="s">
        <v>3552</v>
      </c>
      <c r="F91" s="720" t="s">
        <v>3553</v>
      </c>
      <c r="G91" s="699" t="s">
        <v>2284</v>
      </c>
      <c r="H91" s="699" t="s">
        <v>2285</v>
      </c>
      <c r="I91" s="711">
        <v>22.149999999999995</v>
      </c>
      <c r="J91" s="711">
        <v>200</v>
      </c>
      <c r="K91" s="712">
        <v>4430</v>
      </c>
    </row>
    <row r="92" spans="1:11" ht="14.4" customHeight="1" x14ac:dyDescent="0.3">
      <c r="A92" s="695" t="s">
        <v>556</v>
      </c>
      <c r="B92" s="696" t="s">
        <v>557</v>
      </c>
      <c r="C92" s="699" t="s">
        <v>568</v>
      </c>
      <c r="D92" s="720" t="s">
        <v>1456</v>
      </c>
      <c r="E92" s="699" t="s">
        <v>3552</v>
      </c>
      <c r="F92" s="720" t="s">
        <v>3553</v>
      </c>
      <c r="G92" s="699" t="s">
        <v>2286</v>
      </c>
      <c r="H92" s="699" t="s">
        <v>2287</v>
      </c>
      <c r="I92" s="711">
        <v>30.18</v>
      </c>
      <c r="J92" s="711">
        <v>50</v>
      </c>
      <c r="K92" s="712">
        <v>1509</v>
      </c>
    </row>
    <row r="93" spans="1:11" ht="14.4" customHeight="1" x14ac:dyDescent="0.3">
      <c r="A93" s="695" t="s">
        <v>556</v>
      </c>
      <c r="B93" s="696" t="s">
        <v>557</v>
      </c>
      <c r="C93" s="699" t="s">
        <v>568</v>
      </c>
      <c r="D93" s="720" t="s">
        <v>1456</v>
      </c>
      <c r="E93" s="699" t="s">
        <v>3552</v>
      </c>
      <c r="F93" s="720" t="s">
        <v>3553</v>
      </c>
      <c r="G93" s="699" t="s">
        <v>2422</v>
      </c>
      <c r="H93" s="699" t="s">
        <v>2423</v>
      </c>
      <c r="I93" s="711">
        <v>1.1766666666666667</v>
      </c>
      <c r="J93" s="711">
        <v>1100</v>
      </c>
      <c r="K93" s="712">
        <v>1301</v>
      </c>
    </row>
    <row r="94" spans="1:11" ht="14.4" customHeight="1" x14ac:dyDescent="0.3">
      <c r="A94" s="695" t="s">
        <v>556</v>
      </c>
      <c r="B94" s="696" t="s">
        <v>557</v>
      </c>
      <c r="C94" s="699" t="s">
        <v>568</v>
      </c>
      <c r="D94" s="720" t="s">
        <v>1456</v>
      </c>
      <c r="E94" s="699" t="s">
        <v>3552</v>
      </c>
      <c r="F94" s="720" t="s">
        <v>3553</v>
      </c>
      <c r="G94" s="699" t="s">
        <v>2424</v>
      </c>
      <c r="H94" s="699" t="s">
        <v>2425</v>
      </c>
      <c r="I94" s="711">
        <v>1.38</v>
      </c>
      <c r="J94" s="711">
        <v>100</v>
      </c>
      <c r="K94" s="712">
        <v>138</v>
      </c>
    </row>
    <row r="95" spans="1:11" ht="14.4" customHeight="1" x14ac:dyDescent="0.3">
      <c r="A95" s="695" t="s">
        <v>556</v>
      </c>
      <c r="B95" s="696" t="s">
        <v>557</v>
      </c>
      <c r="C95" s="699" t="s">
        <v>568</v>
      </c>
      <c r="D95" s="720" t="s">
        <v>1456</v>
      </c>
      <c r="E95" s="699" t="s">
        <v>3552</v>
      </c>
      <c r="F95" s="720" t="s">
        <v>3553</v>
      </c>
      <c r="G95" s="699" t="s">
        <v>2426</v>
      </c>
      <c r="H95" s="699" t="s">
        <v>2427</v>
      </c>
      <c r="I95" s="711">
        <v>0.6</v>
      </c>
      <c r="J95" s="711">
        <v>1500</v>
      </c>
      <c r="K95" s="712">
        <v>900</v>
      </c>
    </row>
    <row r="96" spans="1:11" ht="14.4" customHeight="1" x14ac:dyDescent="0.3">
      <c r="A96" s="695" t="s">
        <v>556</v>
      </c>
      <c r="B96" s="696" t="s">
        <v>557</v>
      </c>
      <c r="C96" s="699" t="s">
        <v>568</v>
      </c>
      <c r="D96" s="720" t="s">
        <v>1456</v>
      </c>
      <c r="E96" s="699" t="s">
        <v>3552</v>
      </c>
      <c r="F96" s="720" t="s">
        <v>3553</v>
      </c>
      <c r="G96" s="699" t="s">
        <v>2290</v>
      </c>
      <c r="H96" s="699" t="s">
        <v>2291</v>
      </c>
      <c r="I96" s="711">
        <v>4.2699999999999996</v>
      </c>
      <c r="J96" s="711">
        <v>400</v>
      </c>
      <c r="K96" s="712">
        <v>1708</v>
      </c>
    </row>
    <row r="97" spans="1:11" ht="14.4" customHeight="1" x14ac:dyDescent="0.3">
      <c r="A97" s="695" t="s">
        <v>556</v>
      </c>
      <c r="B97" s="696" t="s">
        <v>557</v>
      </c>
      <c r="C97" s="699" t="s">
        <v>568</v>
      </c>
      <c r="D97" s="720" t="s">
        <v>1456</v>
      </c>
      <c r="E97" s="699" t="s">
        <v>3552</v>
      </c>
      <c r="F97" s="720" t="s">
        <v>3553</v>
      </c>
      <c r="G97" s="699" t="s">
        <v>2292</v>
      </c>
      <c r="H97" s="699" t="s">
        <v>2293</v>
      </c>
      <c r="I97" s="711">
        <v>8.58</v>
      </c>
      <c r="J97" s="711">
        <v>36</v>
      </c>
      <c r="K97" s="712">
        <v>308.88</v>
      </c>
    </row>
    <row r="98" spans="1:11" ht="14.4" customHeight="1" x14ac:dyDescent="0.3">
      <c r="A98" s="695" t="s">
        <v>556</v>
      </c>
      <c r="B98" s="696" t="s">
        <v>557</v>
      </c>
      <c r="C98" s="699" t="s">
        <v>568</v>
      </c>
      <c r="D98" s="720" t="s">
        <v>1456</v>
      </c>
      <c r="E98" s="699" t="s">
        <v>3552</v>
      </c>
      <c r="F98" s="720" t="s">
        <v>3553</v>
      </c>
      <c r="G98" s="699" t="s">
        <v>2428</v>
      </c>
      <c r="H98" s="699" t="s">
        <v>2429</v>
      </c>
      <c r="I98" s="711">
        <v>10.72</v>
      </c>
      <c r="J98" s="711">
        <v>360</v>
      </c>
      <c r="K98" s="712">
        <v>3858.7200000000003</v>
      </c>
    </row>
    <row r="99" spans="1:11" ht="14.4" customHeight="1" x14ac:dyDescent="0.3">
      <c r="A99" s="695" t="s">
        <v>556</v>
      </c>
      <c r="B99" s="696" t="s">
        <v>557</v>
      </c>
      <c r="C99" s="699" t="s">
        <v>568</v>
      </c>
      <c r="D99" s="720" t="s">
        <v>1456</v>
      </c>
      <c r="E99" s="699" t="s">
        <v>3552</v>
      </c>
      <c r="F99" s="720" t="s">
        <v>3553</v>
      </c>
      <c r="G99" s="699" t="s">
        <v>2430</v>
      </c>
      <c r="H99" s="699" t="s">
        <v>2431</v>
      </c>
      <c r="I99" s="711">
        <v>9.27</v>
      </c>
      <c r="J99" s="711">
        <v>360</v>
      </c>
      <c r="K99" s="712">
        <v>3336.96</v>
      </c>
    </row>
    <row r="100" spans="1:11" ht="14.4" customHeight="1" x14ac:dyDescent="0.3">
      <c r="A100" s="695" t="s">
        <v>556</v>
      </c>
      <c r="B100" s="696" t="s">
        <v>557</v>
      </c>
      <c r="C100" s="699" t="s">
        <v>568</v>
      </c>
      <c r="D100" s="720" t="s">
        <v>1456</v>
      </c>
      <c r="E100" s="699" t="s">
        <v>3552</v>
      </c>
      <c r="F100" s="720" t="s">
        <v>3553</v>
      </c>
      <c r="G100" s="699" t="s">
        <v>2298</v>
      </c>
      <c r="H100" s="699" t="s">
        <v>2299</v>
      </c>
      <c r="I100" s="711">
        <v>1.1733333333333331</v>
      </c>
      <c r="J100" s="711">
        <v>700</v>
      </c>
      <c r="K100" s="712">
        <v>822</v>
      </c>
    </row>
    <row r="101" spans="1:11" ht="14.4" customHeight="1" x14ac:dyDescent="0.3">
      <c r="A101" s="695" t="s">
        <v>556</v>
      </c>
      <c r="B101" s="696" t="s">
        <v>557</v>
      </c>
      <c r="C101" s="699" t="s">
        <v>568</v>
      </c>
      <c r="D101" s="720" t="s">
        <v>1456</v>
      </c>
      <c r="E101" s="699" t="s">
        <v>3552</v>
      </c>
      <c r="F101" s="720" t="s">
        <v>3553</v>
      </c>
      <c r="G101" s="699" t="s">
        <v>2300</v>
      </c>
      <c r="H101" s="699" t="s">
        <v>2301</v>
      </c>
      <c r="I101" s="711">
        <v>98.38</v>
      </c>
      <c r="J101" s="711">
        <v>5</v>
      </c>
      <c r="K101" s="712">
        <v>491.9</v>
      </c>
    </row>
    <row r="102" spans="1:11" ht="14.4" customHeight="1" x14ac:dyDescent="0.3">
      <c r="A102" s="695" t="s">
        <v>556</v>
      </c>
      <c r="B102" s="696" t="s">
        <v>557</v>
      </c>
      <c r="C102" s="699" t="s">
        <v>568</v>
      </c>
      <c r="D102" s="720" t="s">
        <v>1456</v>
      </c>
      <c r="E102" s="699" t="s">
        <v>3552</v>
      </c>
      <c r="F102" s="720" t="s">
        <v>3553</v>
      </c>
      <c r="G102" s="699" t="s">
        <v>2432</v>
      </c>
      <c r="H102" s="699" t="s">
        <v>2433</v>
      </c>
      <c r="I102" s="711">
        <v>0.92500000000000004</v>
      </c>
      <c r="J102" s="711">
        <v>1000</v>
      </c>
      <c r="K102" s="712">
        <v>925</v>
      </c>
    </row>
    <row r="103" spans="1:11" ht="14.4" customHeight="1" x14ac:dyDescent="0.3">
      <c r="A103" s="695" t="s">
        <v>556</v>
      </c>
      <c r="B103" s="696" t="s">
        <v>557</v>
      </c>
      <c r="C103" s="699" t="s">
        <v>568</v>
      </c>
      <c r="D103" s="720" t="s">
        <v>1456</v>
      </c>
      <c r="E103" s="699" t="s">
        <v>3552</v>
      </c>
      <c r="F103" s="720" t="s">
        <v>3553</v>
      </c>
      <c r="G103" s="699" t="s">
        <v>2434</v>
      </c>
      <c r="H103" s="699" t="s">
        <v>2435</v>
      </c>
      <c r="I103" s="711">
        <v>0.56000000000000005</v>
      </c>
      <c r="J103" s="711">
        <v>2000</v>
      </c>
      <c r="K103" s="712">
        <v>1120</v>
      </c>
    </row>
    <row r="104" spans="1:11" ht="14.4" customHeight="1" x14ac:dyDescent="0.3">
      <c r="A104" s="695" t="s">
        <v>556</v>
      </c>
      <c r="B104" s="696" t="s">
        <v>557</v>
      </c>
      <c r="C104" s="699" t="s">
        <v>568</v>
      </c>
      <c r="D104" s="720" t="s">
        <v>1456</v>
      </c>
      <c r="E104" s="699" t="s">
        <v>3552</v>
      </c>
      <c r="F104" s="720" t="s">
        <v>3553</v>
      </c>
      <c r="G104" s="699" t="s">
        <v>2302</v>
      </c>
      <c r="H104" s="699" t="s">
        <v>2303</v>
      </c>
      <c r="I104" s="711">
        <v>0.85</v>
      </c>
      <c r="J104" s="711">
        <v>200</v>
      </c>
      <c r="K104" s="712">
        <v>170</v>
      </c>
    </row>
    <row r="105" spans="1:11" ht="14.4" customHeight="1" x14ac:dyDescent="0.3">
      <c r="A105" s="695" t="s">
        <v>556</v>
      </c>
      <c r="B105" s="696" t="s">
        <v>557</v>
      </c>
      <c r="C105" s="699" t="s">
        <v>568</v>
      </c>
      <c r="D105" s="720" t="s">
        <v>1456</v>
      </c>
      <c r="E105" s="699" t="s">
        <v>3552</v>
      </c>
      <c r="F105" s="720" t="s">
        <v>3553</v>
      </c>
      <c r="G105" s="699" t="s">
        <v>2304</v>
      </c>
      <c r="H105" s="699" t="s">
        <v>2305</v>
      </c>
      <c r="I105" s="711">
        <v>1.5133333333333334</v>
      </c>
      <c r="J105" s="711">
        <v>200</v>
      </c>
      <c r="K105" s="712">
        <v>303</v>
      </c>
    </row>
    <row r="106" spans="1:11" ht="14.4" customHeight="1" x14ac:dyDescent="0.3">
      <c r="A106" s="695" t="s">
        <v>556</v>
      </c>
      <c r="B106" s="696" t="s">
        <v>557</v>
      </c>
      <c r="C106" s="699" t="s">
        <v>568</v>
      </c>
      <c r="D106" s="720" t="s">
        <v>1456</v>
      </c>
      <c r="E106" s="699" t="s">
        <v>3552</v>
      </c>
      <c r="F106" s="720" t="s">
        <v>3553</v>
      </c>
      <c r="G106" s="699" t="s">
        <v>2436</v>
      </c>
      <c r="H106" s="699" t="s">
        <v>2437</v>
      </c>
      <c r="I106" s="711">
        <v>2.06</v>
      </c>
      <c r="J106" s="711">
        <v>100</v>
      </c>
      <c r="K106" s="712">
        <v>206</v>
      </c>
    </row>
    <row r="107" spans="1:11" ht="14.4" customHeight="1" x14ac:dyDescent="0.3">
      <c r="A107" s="695" t="s">
        <v>556</v>
      </c>
      <c r="B107" s="696" t="s">
        <v>557</v>
      </c>
      <c r="C107" s="699" t="s">
        <v>568</v>
      </c>
      <c r="D107" s="720" t="s">
        <v>1456</v>
      </c>
      <c r="E107" s="699" t="s">
        <v>3552</v>
      </c>
      <c r="F107" s="720" t="s">
        <v>3553</v>
      </c>
      <c r="G107" s="699" t="s">
        <v>2438</v>
      </c>
      <c r="H107" s="699" t="s">
        <v>2439</v>
      </c>
      <c r="I107" s="711">
        <v>13.43</v>
      </c>
      <c r="J107" s="711">
        <v>120</v>
      </c>
      <c r="K107" s="712">
        <v>1611.15</v>
      </c>
    </row>
    <row r="108" spans="1:11" ht="14.4" customHeight="1" x14ac:dyDescent="0.3">
      <c r="A108" s="695" t="s">
        <v>556</v>
      </c>
      <c r="B108" s="696" t="s">
        <v>557</v>
      </c>
      <c r="C108" s="699" t="s">
        <v>568</v>
      </c>
      <c r="D108" s="720" t="s">
        <v>1456</v>
      </c>
      <c r="E108" s="699" t="s">
        <v>3552</v>
      </c>
      <c r="F108" s="720" t="s">
        <v>3553</v>
      </c>
      <c r="G108" s="699" t="s">
        <v>2440</v>
      </c>
      <c r="H108" s="699" t="s">
        <v>2441</v>
      </c>
      <c r="I108" s="711">
        <v>15.49</v>
      </c>
      <c r="J108" s="711">
        <v>80</v>
      </c>
      <c r="K108" s="712">
        <v>1239.0999999999999</v>
      </c>
    </row>
    <row r="109" spans="1:11" ht="14.4" customHeight="1" x14ac:dyDescent="0.3">
      <c r="A109" s="695" t="s">
        <v>556</v>
      </c>
      <c r="B109" s="696" t="s">
        <v>557</v>
      </c>
      <c r="C109" s="699" t="s">
        <v>568</v>
      </c>
      <c r="D109" s="720" t="s">
        <v>1456</v>
      </c>
      <c r="E109" s="699" t="s">
        <v>3552</v>
      </c>
      <c r="F109" s="720" t="s">
        <v>3553</v>
      </c>
      <c r="G109" s="699" t="s">
        <v>2442</v>
      </c>
      <c r="H109" s="699" t="s">
        <v>2443</v>
      </c>
      <c r="I109" s="711">
        <v>13.87</v>
      </c>
      <c r="J109" s="711">
        <v>144</v>
      </c>
      <c r="K109" s="712">
        <v>1997.4799999999998</v>
      </c>
    </row>
    <row r="110" spans="1:11" ht="14.4" customHeight="1" x14ac:dyDescent="0.3">
      <c r="A110" s="695" t="s">
        <v>556</v>
      </c>
      <c r="B110" s="696" t="s">
        <v>557</v>
      </c>
      <c r="C110" s="699" t="s">
        <v>568</v>
      </c>
      <c r="D110" s="720" t="s">
        <v>1456</v>
      </c>
      <c r="E110" s="699" t="s">
        <v>3552</v>
      </c>
      <c r="F110" s="720" t="s">
        <v>3553</v>
      </c>
      <c r="G110" s="699" t="s">
        <v>2444</v>
      </c>
      <c r="H110" s="699" t="s">
        <v>2445</v>
      </c>
      <c r="I110" s="711">
        <v>11.31</v>
      </c>
      <c r="J110" s="711">
        <v>60</v>
      </c>
      <c r="K110" s="712">
        <v>678.6</v>
      </c>
    </row>
    <row r="111" spans="1:11" ht="14.4" customHeight="1" x14ac:dyDescent="0.3">
      <c r="A111" s="695" t="s">
        <v>556</v>
      </c>
      <c r="B111" s="696" t="s">
        <v>557</v>
      </c>
      <c r="C111" s="699" t="s">
        <v>568</v>
      </c>
      <c r="D111" s="720" t="s">
        <v>1456</v>
      </c>
      <c r="E111" s="699" t="s">
        <v>3552</v>
      </c>
      <c r="F111" s="720" t="s">
        <v>3553</v>
      </c>
      <c r="G111" s="699" t="s">
        <v>2446</v>
      </c>
      <c r="H111" s="699" t="s">
        <v>2447</v>
      </c>
      <c r="I111" s="711">
        <v>500.15000000000003</v>
      </c>
      <c r="J111" s="711">
        <v>3</v>
      </c>
      <c r="K111" s="712">
        <v>1500.45</v>
      </c>
    </row>
    <row r="112" spans="1:11" ht="14.4" customHeight="1" x14ac:dyDescent="0.3">
      <c r="A112" s="695" t="s">
        <v>556</v>
      </c>
      <c r="B112" s="696" t="s">
        <v>557</v>
      </c>
      <c r="C112" s="699" t="s">
        <v>568</v>
      </c>
      <c r="D112" s="720" t="s">
        <v>1456</v>
      </c>
      <c r="E112" s="699" t="s">
        <v>3552</v>
      </c>
      <c r="F112" s="720" t="s">
        <v>3553</v>
      </c>
      <c r="G112" s="699" t="s">
        <v>2448</v>
      </c>
      <c r="H112" s="699" t="s">
        <v>2449</v>
      </c>
      <c r="I112" s="711">
        <v>555.41666666666663</v>
      </c>
      <c r="J112" s="711">
        <v>3</v>
      </c>
      <c r="K112" s="712">
        <v>1666.25</v>
      </c>
    </row>
    <row r="113" spans="1:11" ht="14.4" customHeight="1" x14ac:dyDescent="0.3">
      <c r="A113" s="695" t="s">
        <v>556</v>
      </c>
      <c r="B113" s="696" t="s">
        <v>557</v>
      </c>
      <c r="C113" s="699" t="s">
        <v>568</v>
      </c>
      <c r="D113" s="720" t="s">
        <v>1456</v>
      </c>
      <c r="E113" s="699" t="s">
        <v>3552</v>
      </c>
      <c r="F113" s="720" t="s">
        <v>3553</v>
      </c>
      <c r="G113" s="699" t="s">
        <v>2316</v>
      </c>
      <c r="H113" s="699" t="s">
        <v>2317</v>
      </c>
      <c r="I113" s="711">
        <v>14.09</v>
      </c>
      <c r="J113" s="711">
        <v>1</v>
      </c>
      <c r="K113" s="712">
        <v>14.09</v>
      </c>
    </row>
    <row r="114" spans="1:11" ht="14.4" customHeight="1" x14ac:dyDescent="0.3">
      <c r="A114" s="695" t="s">
        <v>556</v>
      </c>
      <c r="B114" s="696" t="s">
        <v>557</v>
      </c>
      <c r="C114" s="699" t="s">
        <v>568</v>
      </c>
      <c r="D114" s="720" t="s">
        <v>1456</v>
      </c>
      <c r="E114" s="699" t="s">
        <v>3552</v>
      </c>
      <c r="F114" s="720" t="s">
        <v>3553</v>
      </c>
      <c r="G114" s="699" t="s">
        <v>2450</v>
      </c>
      <c r="H114" s="699" t="s">
        <v>2451</v>
      </c>
      <c r="I114" s="711">
        <v>13.04</v>
      </c>
      <c r="J114" s="711">
        <v>30</v>
      </c>
      <c r="K114" s="712">
        <v>391.2</v>
      </c>
    </row>
    <row r="115" spans="1:11" ht="14.4" customHeight="1" x14ac:dyDescent="0.3">
      <c r="A115" s="695" t="s">
        <v>556</v>
      </c>
      <c r="B115" s="696" t="s">
        <v>557</v>
      </c>
      <c r="C115" s="699" t="s">
        <v>568</v>
      </c>
      <c r="D115" s="720" t="s">
        <v>1456</v>
      </c>
      <c r="E115" s="699" t="s">
        <v>3552</v>
      </c>
      <c r="F115" s="720" t="s">
        <v>3553</v>
      </c>
      <c r="G115" s="699" t="s">
        <v>2452</v>
      </c>
      <c r="H115" s="699" t="s">
        <v>2453</v>
      </c>
      <c r="I115" s="711">
        <v>8.6999999999999993</v>
      </c>
      <c r="J115" s="711">
        <v>1</v>
      </c>
      <c r="K115" s="712">
        <v>8.6999999999999993</v>
      </c>
    </row>
    <row r="116" spans="1:11" ht="14.4" customHeight="1" x14ac:dyDescent="0.3">
      <c r="A116" s="695" t="s">
        <v>556</v>
      </c>
      <c r="B116" s="696" t="s">
        <v>557</v>
      </c>
      <c r="C116" s="699" t="s">
        <v>568</v>
      </c>
      <c r="D116" s="720" t="s">
        <v>1456</v>
      </c>
      <c r="E116" s="699" t="s">
        <v>3552</v>
      </c>
      <c r="F116" s="720" t="s">
        <v>3553</v>
      </c>
      <c r="G116" s="699" t="s">
        <v>2330</v>
      </c>
      <c r="H116" s="699" t="s">
        <v>2331</v>
      </c>
      <c r="I116" s="711">
        <v>2.29</v>
      </c>
      <c r="J116" s="711">
        <v>12</v>
      </c>
      <c r="K116" s="712">
        <v>27.44</v>
      </c>
    </row>
    <row r="117" spans="1:11" ht="14.4" customHeight="1" x14ac:dyDescent="0.3">
      <c r="A117" s="695" t="s">
        <v>556</v>
      </c>
      <c r="B117" s="696" t="s">
        <v>557</v>
      </c>
      <c r="C117" s="699" t="s">
        <v>568</v>
      </c>
      <c r="D117" s="720" t="s">
        <v>1456</v>
      </c>
      <c r="E117" s="699" t="s">
        <v>3552</v>
      </c>
      <c r="F117" s="720" t="s">
        <v>3553</v>
      </c>
      <c r="G117" s="699" t="s">
        <v>2454</v>
      </c>
      <c r="H117" s="699" t="s">
        <v>2455</v>
      </c>
      <c r="I117" s="711">
        <v>18.93</v>
      </c>
      <c r="J117" s="711">
        <v>200</v>
      </c>
      <c r="K117" s="712">
        <v>3786.95</v>
      </c>
    </row>
    <row r="118" spans="1:11" ht="14.4" customHeight="1" x14ac:dyDescent="0.3">
      <c r="A118" s="695" t="s">
        <v>556</v>
      </c>
      <c r="B118" s="696" t="s">
        <v>557</v>
      </c>
      <c r="C118" s="699" t="s">
        <v>568</v>
      </c>
      <c r="D118" s="720" t="s">
        <v>1456</v>
      </c>
      <c r="E118" s="699" t="s">
        <v>3552</v>
      </c>
      <c r="F118" s="720" t="s">
        <v>3553</v>
      </c>
      <c r="G118" s="699" t="s">
        <v>2456</v>
      </c>
      <c r="H118" s="699" t="s">
        <v>2457</v>
      </c>
      <c r="I118" s="711">
        <v>13.64</v>
      </c>
      <c r="J118" s="711">
        <v>48</v>
      </c>
      <c r="K118" s="712">
        <v>654.66999999999996</v>
      </c>
    </row>
    <row r="119" spans="1:11" ht="14.4" customHeight="1" x14ac:dyDescent="0.3">
      <c r="A119" s="695" t="s">
        <v>556</v>
      </c>
      <c r="B119" s="696" t="s">
        <v>557</v>
      </c>
      <c r="C119" s="699" t="s">
        <v>568</v>
      </c>
      <c r="D119" s="720" t="s">
        <v>1456</v>
      </c>
      <c r="E119" s="699" t="s">
        <v>3554</v>
      </c>
      <c r="F119" s="720" t="s">
        <v>3555</v>
      </c>
      <c r="G119" s="699" t="s">
        <v>2342</v>
      </c>
      <c r="H119" s="699" t="s">
        <v>2343</v>
      </c>
      <c r="I119" s="711">
        <v>1.44</v>
      </c>
      <c r="J119" s="711">
        <v>200</v>
      </c>
      <c r="K119" s="712">
        <v>288</v>
      </c>
    </row>
    <row r="120" spans="1:11" ht="14.4" customHeight="1" x14ac:dyDescent="0.3">
      <c r="A120" s="695" t="s">
        <v>556</v>
      </c>
      <c r="B120" s="696" t="s">
        <v>557</v>
      </c>
      <c r="C120" s="699" t="s">
        <v>568</v>
      </c>
      <c r="D120" s="720" t="s">
        <v>1456</v>
      </c>
      <c r="E120" s="699" t="s">
        <v>3554</v>
      </c>
      <c r="F120" s="720" t="s">
        <v>3555</v>
      </c>
      <c r="G120" s="699" t="s">
        <v>2458</v>
      </c>
      <c r="H120" s="699" t="s">
        <v>2459</v>
      </c>
      <c r="I120" s="711">
        <v>5.32</v>
      </c>
      <c r="J120" s="711">
        <v>100</v>
      </c>
      <c r="K120" s="712">
        <v>532.4</v>
      </c>
    </row>
    <row r="121" spans="1:11" ht="14.4" customHeight="1" x14ac:dyDescent="0.3">
      <c r="A121" s="695" t="s">
        <v>556</v>
      </c>
      <c r="B121" s="696" t="s">
        <v>557</v>
      </c>
      <c r="C121" s="699" t="s">
        <v>568</v>
      </c>
      <c r="D121" s="720" t="s">
        <v>1456</v>
      </c>
      <c r="E121" s="699" t="s">
        <v>3554</v>
      </c>
      <c r="F121" s="720" t="s">
        <v>3555</v>
      </c>
      <c r="G121" s="699" t="s">
        <v>2354</v>
      </c>
      <c r="H121" s="699" t="s">
        <v>2355</v>
      </c>
      <c r="I121" s="711">
        <v>1.78</v>
      </c>
      <c r="J121" s="711">
        <v>50</v>
      </c>
      <c r="K121" s="712">
        <v>89</v>
      </c>
    </row>
    <row r="122" spans="1:11" ht="14.4" customHeight="1" x14ac:dyDescent="0.3">
      <c r="A122" s="695" t="s">
        <v>556</v>
      </c>
      <c r="B122" s="696" t="s">
        <v>557</v>
      </c>
      <c r="C122" s="699" t="s">
        <v>568</v>
      </c>
      <c r="D122" s="720" t="s">
        <v>1456</v>
      </c>
      <c r="E122" s="699" t="s">
        <v>3554</v>
      </c>
      <c r="F122" s="720" t="s">
        <v>3555</v>
      </c>
      <c r="G122" s="699" t="s">
        <v>2356</v>
      </c>
      <c r="H122" s="699" t="s">
        <v>2357</v>
      </c>
      <c r="I122" s="711">
        <v>2.85</v>
      </c>
      <c r="J122" s="711">
        <v>50</v>
      </c>
      <c r="K122" s="712">
        <v>142.5</v>
      </c>
    </row>
    <row r="123" spans="1:11" ht="14.4" customHeight="1" x14ac:dyDescent="0.3">
      <c r="A123" s="695" t="s">
        <v>556</v>
      </c>
      <c r="B123" s="696" t="s">
        <v>557</v>
      </c>
      <c r="C123" s="699" t="s">
        <v>568</v>
      </c>
      <c r="D123" s="720" t="s">
        <v>1456</v>
      </c>
      <c r="E123" s="699" t="s">
        <v>3554</v>
      </c>
      <c r="F123" s="720" t="s">
        <v>3555</v>
      </c>
      <c r="G123" s="699" t="s">
        <v>2460</v>
      </c>
      <c r="H123" s="699" t="s">
        <v>2461</v>
      </c>
      <c r="I123" s="711">
        <v>4.8099999999999996</v>
      </c>
      <c r="J123" s="711">
        <v>100</v>
      </c>
      <c r="K123" s="712">
        <v>481</v>
      </c>
    </row>
    <row r="124" spans="1:11" ht="14.4" customHeight="1" x14ac:dyDescent="0.3">
      <c r="A124" s="695" t="s">
        <v>556</v>
      </c>
      <c r="B124" s="696" t="s">
        <v>557</v>
      </c>
      <c r="C124" s="699" t="s">
        <v>568</v>
      </c>
      <c r="D124" s="720" t="s">
        <v>1456</v>
      </c>
      <c r="E124" s="699" t="s">
        <v>3554</v>
      </c>
      <c r="F124" s="720" t="s">
        <v>3555</v>
      </c>
      <c r="G124" s="699" t="s">
        <v>2462</v>
      </c>
      <c r="H124" s="699" t="s">
        <v>2463</v>
      </c>
      <c r="I124" s="711">
        <v>0.01</v>
      </c>
      <c r="J124" s="711">
        <v>100</v>
      </c>
      <c r="K124" s="712">
        <v>1</v>
      </c>
    </row>
    <row r="125" spans="1:11" ht="14.4" customHeight="1" x14ac:dyDescent="0.3">
      <c r="A125" s="695" t="s">
        <v>556</v>
      </c>
      <c r="B125" s="696" t="s">
        <v>557</v>
      </c>
      <c r="C125" s="699" t="s">
        <v>568</v>
      </c>
      <c r="D125" s="720" t="s">
        <v>1456</v>
      </c>
      <c r="E125" s="699" t="s">
        <v>3554</v>
      </c>
      <c r="F125" s="720" t="s">
        <v>3555</v>
      </c>
      <c r="G125" s="699" t="s">
        <v>2360</v>
      </c>
      <c r="H125" s="699" t="s">
        <v>2361</v>
      </c>
      <c r="I125" s="711">
        <v>2</v>
      </c>
      <c r="J125" s="711">
        <v>50</v>
      </c>
      <c r="K125" s="712">
        <v>100</v>
      </c>
    </row>
    <row r="126" spans="1:11" ht="14.4" customHeight="1" x14ac:dyDescent="0.3">
      <c r="A126" s="695" t="s">
        <v>556</v>
      </c>
      <c r="B126" s="696" t="s">
        <v>557</v>
      </c>
      <c r="C126" s="699" t="s">
        <v>568</v>
      </c>
      <c r="D126" s="720" t="s">
        <v>1456</v>
      </c>
      <c r="E126" s="699" t="s">
        <v>3554</v>
      </c>
      <c r="F126" s="720" t="s">
        <v>3555</v>
      </c>
      <c r="G126" s="699" t="s">
        <v>2464</v>
      </c>
      <c r="H126" s="699" t="s">
        <v>2465</v>
      </c>
      <c r="I126" s="711">
        <v>2.91</v>
      </c>
      <c r="J126" s="711">
        <v>100</v>
      </c>
      <c r="K126" s="712">
        <v>291</v>
      </c>
    </row>
    <row r="127" spans="1:11" ht="14.4" customHeight="1" x14ac:dyDescent="0.3">
      <c r="A127" s="695" t="s">
        <v>556</v>
      </c>
      <c r="B127" s="696" t="s">
        <v>557</v>
      </c>
      <c r="C127" s="699" t="s">
        <v>568</v>
      </c>
      <c r="D127" s="720" t="s">
        <v>1456</v>
      </c>
      <c r="E127" s="699" t="s">
        <v>3554</v>
      </c>
      <c r="F127" s="720" t="s">
        <v>3555</v>
      </c>
      <c r="G127" s="699" t="s">
        <v>2466</v>
      </c>
      <c r="H127" s="699" t="s">
        <v>2467</v>
      </c>
      <c r="I127" s="711">
        <v>12.11</v>
      </c>
      <c r="J127" s="711">
        <v>50</v>
      </c>
      <c r="K127" s="712">
        <v>605.5</v>
      </c>
    </row>
    <row r="128" spans="1:11" ht="14.4" customHeight="1" x14ac:dyDescent="0.3">
      <c r="A128" s="695" t="s">
        <v>556</v>
      </c>
      <c r="B128" s="696" t="s">
        <v>557</v>
      </c>
      <c r="C128" s="699" t="s">
        <v>568</v>
      </c>
      <c r="D128" s="720" t="s">
        <v>1456</v>
      </c>
      <c r="E128" s="699" t="s">
        <v>3554</v>
      </c>
      <c r="F128" s="720" t="s">
        <v>3555</v>
      </c>
      <c r="G128" s="699" t="s">
        <v>2376</v>
      </c>
      <c r="H128" s="699" t="s">
        <v>2377</v>
      </c>
      <c r="I128" s="711">
        <v>2.91</v>
      </c>
      <c r="J128" s="711">
        <v>50</v>
      </c>
      <c r="K128" s="712">
        <v>145.5</v>
      </c>
    </row>
    <row r="129" spans="1:11" ht="14.4" customHeight="1" x14ac:dyDescent="0.3">
      <c r="A129" s="695" t="s">
        <v>556</v>
      </c>
      <c r="B129" s="696" t="s">
        <v>557</v>
      </c>
      <c r="C129" s="699" t="s">
        <v>568</v>
      </c>
      <c r="D129" s="720" t="s">
        <v>1456</v>
      </c>
      <c r="E129" s="699" t="s">
        <v>3554</v>
      </c>
      <c r="F129" s="720" t="s">
        <v>3555</v>
      </c>
      <c r="G129" s="699" t="s">
        <v>2468</v>
      </c>
      <c r="H129" s="699" t="s">
        <v>2469</v>
      </c>
      <c r="I129" s="711">
        <v>21.24</v>
      </c>
      <c r="J129" s="711">
        <v>50</v>
      </c>
      <c r="K129" s="712">
        <v>1062</v>
      </c>
    </row>
    <row r="130" spans="1:11" ht="14.4" customHeight="1" x14ac:dyDescent="0.3">
      <c r="A130" s="695" t="s">
        <v>556</v>
      </c>
      <c r="B130" s="696" t="s">
        <v>557</v>
      </c>
      <c r="C130" s="699" t="s">
        <v>568</v>
      </c>
      <c r="D130" s="720" t="s">
        <v>1456</v>
      </c>
      <c r="E130" s="699" t="s">
        <v>3554</v>
      </c>
      <c r="F130" s="720" t="s">
        <v>3555</v>
      </c>
      <c r="G130" s="699" t="s">
        <v>2470</v>
      </c>
      <c r="H130" s="699" t="s">
        <v>2471</v>
      </c>
      <c r="I130" s="711">
        <v>0.47</v>
      </c>
      <c r="J130" s="711">
        <v>100</v>
      </c>
      <c r="K130" s="712">
        <v>47</v>
      </c>
    </row>
    <row r="131" spans="1:11" ht="14.4" customHeight="1" x14ac:dyDescent="0.3">
      <c r="A131" s="695" t="s">
        <v>556</v>
      </c>
      <c r="B131" s="696" t="s">
        <v>557</v>
      </c>
      <c r="C131" s="699" t="s">
        <v>568</v>
      </c>
      <c r="D131" s="720" t="s">
        <v>1456</v>
      </c>
      <c r="E131" s="699" t="s">
        <v>3554</v>
      </c>
      <c r="F131" s="720" t="s">
        <v>3555</v>
      </c>
      <c r="G131" s="699" t="s">
        <v>2392</v>
      </c>
      <c r="H131" s="699" t="s">
        <v>2393</v>
      </c>
      <c r="I131" s="711">
        <v>2.88</v>
      </c>
      <c r="J131" s="711">
        <v>50</v>
      </c>
      <c r="K131" s="712">
        <v>144</v>
      </c>
    </row>
    <row r="132" spans="1:11" ht="14.4" customHeight="1" x14ac:dyDescent="0.3">
      <c r="A132" s="695" t="s">
        <v>556</v>
      </c>
      <c r="B132" s="696" t="s">
        <v>557</v>
      </c>
      <c r="C132" s="699" t="s">
        <v>568</v>
      </c>
      <c r="D132" s="720" t="s">
        <v>1456</v>
      </c>
      <c r="E132" s="699" t="s">
        <v>3554</v>
      </c>
      <c r="F132" s="720" t="s">
        <v>3555</v>
      </c>
      <c r="G132" s="699" t="s">
        <v>2472</v>
      </c>
      <c r="H132" s="699" t="s">
        <v>2473</v>
      </c>
      <c r="I132" s="711">
        <v>209.58499999999998</v>
      </c>
      <c r="J132" s="711">
        <v>10</v>
      </c>
      <c r="K132" s="712">
        <v>2095.5</v>
      </c>
    </row>
    <row r="133" spans="1:11" ht="14.4" customHeight="1" x14ac:dyDescent="0.3">
      <c r="A133" s="695" t="s">
        <v>556</v>
      </c>
      <c r="B133" s="696" t="s">
        <v>557</v>
      </c>
      <c r="C133" s="699" t="s">
        <v>568</v>
      </c>
      <c r="D133" s="720" t="s">
        <v>1456</v>
      </c>
      <c r="E133" s="699" t="s">
        <v>3562</v>
      </c>
      <c r="F133" s="720" t="s">
        <v>3563</v>
      </c>
      <c r="G133" s="699" t="s">
        <v>2474</v>
      </c>
      <c r="H133" s="699" t="s">
        <v>2475</v>
      </c>
      <c r="I133" s="711">
        <v>34.880000000000003</v>
      </c>
      <c r="J133" s="711">
        <v>36</v>
      </c>
      <c r="K133" s="712">
        <v>1255.6400000000001</v>
      </c>
    </row>
    <row r="134" spans="1:11" ht="14.4" customHeight="1" x14ac:dyDescent="0.3">
      <c r="A134" s="695" t="s">
        <v>556</v>
      </c>
      <c r="B134" s="696" t="s">
        <v>557</v>
      </c>
      <c r="C134" s="699" t="s">
        <v>568</v>
      </c>
      <c r="D134" s="720" t="s">
        <v>1456</v>
      </c>
      <c r="E134" s="699" t="s">
        <v>3562</v>
      </c>
      <c r="F134" s="720" t="s">
        <v>3563</v>
      </c>
      <c r="G134" s="699" t="s">
        <v>2476</v>
      </c>
      <c r="H134" s="699" t="s">
        <v>2477</v>
      </c>
      <c r="I134" s="711">
        <v>34.119999999999997</v>
      </c>
      <c r="J134" s="711">
        <v>36</v>
      </c>
      <c r="K134" s="712">
        <v>1228.3399999999999</v>
      </c>
    </row>
    <row r="135" spans="1:11" ht="14.4" customHeight="1" x14ac:dyDescent="0.3">
      <c r="A135" s="695" t="s">
        <v>556</v>
      </c>
      <c r="B135" s="696" t="s">
        <v>557</v>
      </c>
      <c r="C135" s="699" t="s">
        <v>568</v>
      </c>
      <c r="D135" s="720" t="s">
        <v>1456</v>
      </c>
      <c r="E135" s="699" t="s">
        <v>3558</v>
      </c>
      <c r="F135" s="720" t="s">
        <v>3559</v>
      </c>
      <c r="G135" s="699" t="s">
        <v>2478</v>
      </c>
      <c r="H135" s="699" t="s">
        <v>2479</v>
      </c>
      <c r="I135" s="711">
        <v>0.3</v>
      </c>
      <c r="J135" s="711">
        <v>200</v>
      </c>
      <c r="K135" s="712">
        <v>60</v>
      </c>
    </row>
    <row r="136" spans="1:11" ht="14.4" customHeight="1" x14ac:dyDescent="0.3">
      <c r="A136" s="695" t="s">
        <v>556</v>
      </c>
      <c r="B136" s="696" t="s">
        <v>557</v>
      </c>
      <c r="C136" s="699" t="s">
        <v>568</v>
      </c>
      <c r="D136" s="720" t="s">
        <v>1456</v>
      </c>
      <c r="E136" s="699" t="s">
        <v>3558</v>
      </c>
      <c r="F136" s="720" t="s">
        <v>3559</v>
      </c>
      <c r="G136" s="699" t="s">
        <v>2408</v>
      </c>
      <c r="H136" s="699" t="s">
        <v>2409</v>
      </c>
      <c r="I136" s="711">
        <v>0.3</v>
      </c>
      <c r="J136" s="711">
        <v>200</v>
      </c>
      <c r="K136" s="712">
        <v>60</v>
      </c>
    </row>
    <row r="137" spans="1:11" ht="14.4" customHeight="1" x14ac:dyDescent="0.3">
      <c r="A137" s="695" t="s">
        <v>556</v>
      </c>
      <c r="B137" s="696" t="s">
        <v>557</v>
      </c>
      <c r="C137" s="699" t="s">
        <v>568</v>
      </c>
      <c r="D137" s="720" t="s">
        <v>1456</v>
      </c>
      <c r="E137" s="699" t="s">
        <v>3560</v>
      </c>
      <c r="F137" s="720" t="s">
        <v>3561</v>
      </c>
      <c r="G137" s="699" t="s">
        <v>2480</v>
      </c>
      <c r="H137" s="699" t="s">
        <v>2481</v>
      </c>
      <c r="I137" s="711">
        <v>1.21</v>
      </c>
      <c r="J137" s="711">
        <v>200</v>
      </c>
      <c r="K137" s="712">
        <v>242</v>
      </c>
    </row>
    <row r="138" spans="1:11" ht="14.4" customHeight="1" x14ac:dyDescent="0.3">
      <c r="A138" s="695" t="s">
        <v>556</v>
      </c>
      <c r="B138" s="696" t="s">
        <v>557</v>
      </c>
      <c r="C138" s="699" t="s">
        <v>568</v>
      </c>
      <c r="D138" s="720" t="s">
        <v>1456</v>
      </c>
      <c r="E138" s="699" t="s">
        <v>3560</v>
      </c>
      <c r="F138" s="720" t="s">
        <v>3561</v>
      </c>
      <c r="G138" s="699" t="s">
        <v>2482</v>
      </c>
      <c r="H138" s="699" t="s">
        <v>2483</v>
      </c>
      <c r="I138" s="711">
        <v>7.5</v>
      </c>
      <c r="J138" s="711">
        <v>50</v>
      </c>
      <c r="K138" s="712">
        <v>375</v>
      </c>
    </row>
    <row r="139" spans="1:11" ht="14.4" customHeight="1" x14ac:dyDescent="0.3">
      <c r="A139" s="695" t="s">
        <v>556</v>
      </c>
      <c r="B139" s="696" t="s">
        <v>557</v>
      </c>
      <c r="C139" s="699" t="s">
        <v>568</v>
      </c>
      <c r="D139" s="720" t="s">
        <v>1456</v>
      </c>
      <c r="E139" s="699" t="s">
        <v>3560</v>
      </c>
      <c r="F139" s="720" t="s">
        <v>3561</v>
      </c>
      <c r="G139" s="699" t="s">
        <v>2484</v>
      </c>
      <c r="H139" s="699" t="s">
        <v>2485</v>
      </c>
      <c r="I139" s="711">
        <v>11.01</v>
      </c>
      <c r="J139" s="711">
        <v>50</v>
      </c>
      <c r="K139" s="712">
        <v>550.5</v>
      </c>
    </row>
    <row r="140" spans="1:11" ht="14.4" customHeight="1" x14ac:dyDescent="0.3">
      <c r="A140" s="695" t="s">
        <v>556</v>
      </c>
      <c r="B140" s="696" t="s">
        <v>557</v>
      </c>
      <c r="C140" s="699" t="s">
        <v>568</v>
      </c>
      <c r="D140" s="720" t="s">
        <v>1456</v>
      </c>
      <c r="E140" s="699" t="s">
        <v>3560</v>
      </c>
      <c r="F140" s="720" t="s">
        <v>3561</v>
      </c>
      <c r="G140" s="699" t="s">
        <v>2486</v>
      </c>
      <c r="H140" s="699" t="s">
        <v>2487</v>
      </c>
      <c r="I140" s="711">
        <v>11.01</v>
      </c>
      <c r="J140" s="711">
        <v>40</v>
      </c>
      <c r="K140" s="712">
        <v>440.4</v>
      </c>
    </row>
    <row r="141" spans="1:11" ht="14.4" customHeight="1" x14ac:dyDescent="0.3">
      <c r="A141" s="695" t="s">
        <v>556</v>
      </c>
      <c r="B141" s="696" t="s">
        <v>557</v>
      </c>
      <c r="C141" s="699" t="s">
        <v>568</v>
      </c>
      <c r="D141" s="720" t="s">
        <v>1456</v>
      </c>
      <c r="E141" s="699" t="s">
        <v>3560</v>
      </c>
      <c r="F141" s="720" t="s">
        <v>3561</v>
      </c>
      <c r="G141" s="699" t="s">
        <v>2488</v>
      </c>
      <c r="H141" s="699" t="s">
        <v>2489</v>
      </c>
      <c r="I141" s="711">
        <v>11</v>
      </c>
      <c r="J141" s="711">
        <v>50</v>
      </c>
      <c r="K141" s="712">
        <v>550</v>
      </c>
    </row>
    <row r="142" spans="1:11" ht="14.4" customHeight="1" x14ac:dyDescent="0.3">
      <c r="A142" s="695" t="s">
        <v>556</v>
      </c>
      <c r="B142" s="696" t="s">
        <v>557</v>
      </c>
      <c r="C142" s="699" t="s">
        <v>568</v>
      </c>
      <c r="D142" s="720" t="s">
        <v>1456</v>
      </c>
      <c r="E142" s="699" t="s">
        <v>3560</v>
      </c>
      <c r="F142" s="720" t="s">
        <v>3561</v>
      </c>
      <c r="G142" s="699" t="s">
        <v>2490</v>
      </c>
      <c r="H142" s="699" t="s">
        <v>2491</v>
      </c>
      <c r="I142" s="711">
        <v>0.77</v>
      </c>
      <c r="J142" s="711">
        <v>1800</v>
      </c>
      <c r="K142" s="712">
        <v>1386</v>
      </c>
    </row>
    <row r="143" spans="1:11" ht="14.4" customHeight="1" x14ac:dyDescent="0.3">
      <c r="A143" s="695" t="s">
        <v>556</v>
      </c>
      <c r="B143" s="696" t="s">
        <v>557</v>
      </c>
      <c r="C143" s="699" t="s">
        <v>568</v>
      </c>
      <c r="D143" s="720" t="s">
        <v>1456</v>
      </c>
      <c r="E143" s="699" t="s">
        <v>3560</v>
      </c>
      <c r="F143" s="720" t="s">
        <v>3561</v>
      </c>
      <c r="G143" s="699" t="s">
        <v>2410</v>
      </c>
      <c r="H143" s="699" t="s">
        <v>2411</v>
      </c>
      <c r="I143" s="711">
        <v>0.77</v>
      </c>
      <c r="J143" s="711">
        <v>500</v>
      </c>
      <c r="K143" s="712">
        <v>385</v>
      </c>
    </row>
    <row r="144" spans="1:11" ht="14.4" customHeight="1" x14ac:dyDescent="0.3">
      <c r="A144" s="695" t="s">
        <v>556</v>
      </c>
      <c r="B144" s="696" t="s">
        <v>557</v>
      </c>
      <c r="C144" s="699" t="s">
        <v>568</v>
      </c>
      <c r="D144" s="720" t="s">
        <v>1456</v>
      </c>
      <c r="E144" s="699" t="s">
        <v>3560</v>
      </c>
      <c r="F144" s="720" t="s">
        <v>3561</v>
      </c>
      <c r="G144" s="699" t="s">
        <v>2492</v>
      </c>
      <c r="H144" s="699" t="s">
        <v>2493</v>
      </c>
      <c r="I144" s="711">
        <v>0.77500000000000002</v>
      </c>
      <c r="J144" s="711">
        <v>500</v>
      </c>
      <c r="K144" s="712">
        <v>388</v>
      </c>
    </row>
    <row r="145" spans="1:11" ht="14.4" customHeight="1" x14ac:dyDescent="0.3">
      <c r="A145" s="695" t="s">
        <v>556</v>
      </c>
      <c r="B145" s="696" t="s">
        <v>557</v>
      </c>
      <c r="C145" s="699" t="s">
        <v>571</v>
      </c>
      <c r="D145" s="720" t="s">
        <v>1457</v>
      </c>
      <c r="E145" s="699" t="s">
        <v>3552</v>
      </c>
      <c r="F145" s="720" t="s">
        <v>3553</v>
      </c>
      <c r="G145" s="699" t="s">
        <v>2266</v>
      </c>
      <c r="H145" s="699" t="s">
        <v>2267</v>
      </c>
      <c r="I145" s="711">
        <v>3.1</v>
      </c>
      <c r="J145" s="711">
        <v>100</v>
      </c>
      <c r="K145" s="712">
        <v>310</v>
      </c>
    </row>
    <row r="146" spans="1:11" ht="14.4" customHeight="1" x14ac:dyDescent="0.3">
      <c r="A146" s="695" t="s">
        <v>556</v>
      </c>
      <c r="B146" s="696" t="s">
        <v>557</v>
      </c>
      <c r="C146" s="699" t="s">
        <v>571</v>
      </c>
      <c r="D146" s="720" t="s">
        <v>1457</v>
      </c>
      <c r="E146" s="699" t="s">
        <v>3552</v>
      </c>
      <c r="F146" s="720" t="s">
        <v>3553</v>
      </c>
      <c r="G146" s="699" t="s">
        <v>2268</v>
      </c>
      <c r="H146" s="699" t="s">
        <v>2269</v>
      </c>
      <c r="I146" s="711">
        <v>3.78</v>
      </c>
      <c r="J146" s="711">
        <v>100</v>
      </c>
      <c r="K146" s="712">
        <v>378</v>
      </c>
    </row>
    <row r="147" spans="1:11" ht="14.4" customHeight="1" x14ac:dyDescent="0.3">
      <c r="A147" s="695" t="s">
        <v>556</v>
      </c>
      <c r="B147" s="696" t="s">
        <v>557</v>
      </c>
      <c r="C147" s="699" t="s">
        <v>571</v>
      </c>
      <c r="D147" s="720" t="s">
        <v>1457</v>
      </c>
      <c r="E147" s="699" t="s">
        <v>3552</v>
      </c>
      <c r="F147" s="720" t="s">
        <v>3553</v>
      </c>
      <c r="G147" s="699" t="s">
        <v>2270</v>
      </c>
      <c r="H147" s="699" t="s">
        <v>2271</v>
      </c>
      <c r="I147" s="711">
        <v>12.08</v>
      </c>
      <c r="J147" s="711">
        <v>120</v>
      </c>
      <c r="K147" s="712">
        <v>1449.6</v>
      </c>
    </row>
    <row r="148" spans="1:11" ht="14.4" customHeight="1" x14ac:dyDescent="0.3">
      <c r="A148" s="695" t="s">
        <v>556</v>
      </c>
      <c r="B148" s="696" t="s">
        <v>557</v>
      </c>
      <c r="C148" s="699" t="s">
        <v>571</v>
      </c>
      <c r="D148" s="720" t="s">
        <v>1457</v>
      </c>
      <c r="E148" s="699" t="s">
        <v>3552</v>
      </c>
      <c r="F148" s="720" t="s">
        <v>3553</v>
      </c>
      <c r="G148" s="699" t="s">
        <v>2274</v>
      </c>
      <c r="H148" s="699" t="s">
        <v>2275</v>
      </c>
      <c r="I148" s="711">
        <v>7.59</v>
      </c>
      <c r="J148" s="711">
        <v>10</v>
      </c>
      <c r="K148" s="712">
        <v>75.900000000000006</v>
      </c>
    </row>
    <row r="149" spans="1:11" ht="14.4" customHeight="1" x14ac:dyDescent="0.3">
      <c r="A149" s="695" t="s">
        <v>556</v>
      </c>
      <c r="B149" s="696" t="s">
        <v>557</v>
      </c>
      <c r="C149" s="699" t="s">
        <v>571</v>
      </c>
      <c r="D149" s="720" t="s">
        <v>1457</v>
      </c>
      <c r="E149" s="699" t="s">
        <v>3552</v>
      </c>
      <c r="F149" s="720" t="s">
        <v>3553</v>
      </c>
      <c r="G149" s="699" t="s">
        <v>2276</v>
      </c>
      <c r="H149" s="699" t="s">
        <v>2277</v>
      </c>
      <c r="I149" s="711">
        <v>27.366666666666671</v>
      </c>
      <c r="J149" s="711">
        <v>45</v>
      </c>
      <c r="K149" s="712">
        <v>1231.5</v>
      </c>
    </row>
    <row r="150" spans="1:11" ht="14.4" customHeight="1" x14ac:dyDescent="0.3">
      <c r="A150" s="695" t="s">
        <v>556</v>
      </c>
      <c r="B150" s="696" t="s">
        <v>557</v>
      </c>
      <c r="C150" s="699" t="s">
        <v>571</v>
      </c>
      <c r="D150" s="720" t="s">
        <v>1457</v>
      </c>
      <c r="E150" s="699" t="s">
        <v>3552</v>
      </c>
      <c r="F150" s="720" t="s">
        <v>3553</v>
      </c>
      <c r="G150" s="699" t="s">
        <v>2494</v>
      </c>
      <c r="H150" s="699" t="s">
        <v>2495</v>
      </c>
      <c r="I150" s="711">
        <v>3.91</v>
      </c>
      <c r="J150" s="711">
        <v>100</v>
      </c>
      <c r="K150" s="712">
        <v>391</v>
      </c>
    </row>
    <row r="151" spans="1:11" ht="14.4" customHeight="1" x14ac:dyDescent="0.3">
      <c r="A151" s="695" t="s">
        <v>556</v>
      </c>
      <c r="B151" s="696" t="s">
        <v>557</v>
      </c>
      <c r="C151" s="699" t="s">
        <v>571</v>
      </c>
      <c r="D151" s="720" t="s">
        <v>1457</v>
      </c>
      <c r="E151" s="699" t="s">
        <v>3552</v>
      </c>
      <c r="F151" s="720" t="s">
        <v>3553</v>
      </c>
      <c r="G151" s="699" t="s">
        <v>2496</v>
      </c>
      <c r="H151" s="699" t="s">
        <v>2497</v>
      </c>
      <c r="I151" s="711">
        <v>233.8</v>
      </c>
      <c r="J151" s="711">
        <v>5</v>
      </c>
      <c r="K151" s="712">
        <v>1168.98</v>
      </c>
    </row>
    <row r="152" spans="1:11" ht="14.4" customHeight="1" x14ac:dyDescent="0.3">
      <c r="A152" s="695" t="s">
        <v>556</v>
      </c>
      <c r="B152" s="696" t="s">
        <v>557</v>
      </c>
      <c r="C152" s="699" t="s">
        <v>571</v>
      </c>
      <c r="D152" s="720" t="s">
        <v>1457</v>
      </c>
      <c r="E152" s="699" t="s">
        <v>3552</v>
      </c>
      <c r="F152" s="720" t="s">
        <v>3553</v>
      </c>
      <c r="G152" s="699" t="s">
        <v>2284</v>
      </c>
      <c r="H152" s="699" t="s">
        <v>2285</v>
      </c>
      <c r="I152" s="711">
        <v>22.149999999999995</v>
      </c>
      <c r="J152" s="711">
        <v>80</v>
      </c>
      <c r="K152" s="712">
        <v>1772</v>
      </c>
    </row>
    <row r="153" spans="1:11" ht="14.4" customHeight="1" x14ac:dyDescent="0.3">
      <c r="A153" s="695" t="s">
        <v>556</v>
      </c>
      <c r="B153" s="696" t="s">
        <v>557</v>
      </c>
      <c r="C153" s="699" t="s">
        <v>571</v>
      </c>
      <c r="D153" s="720" t="s">
        <v>1457</v>
      </c>
      <c r="E153" s="699" t="s">
        <v>3552</v>
      </c>
      <c r="F153" s="720" t="s">
        <v>3553</v>
      </c>
      <c r="G153" s="699" t="s">
        <v>2422</v>
      </c>
      <c r="H153" s="699" t="s">
        <v>2423</v>
      </c>
      <c r="I153" s="711">
        <v>1.1766666666666665</v>
      </c>
      <c r="J153" s="711">
        <v>3000</v>
      </c>
      <c r="K153" s="712">
        <v>3530</v>
      </c>
    </row>
    <row r="154" spans="1:11" ht="14.4" customHeight="1" x14ac:dyDescent="0.3">
      <c r="A154" s="695" t="s">
        <v>556</v>
      </c>
      <c r="B154" s="696" t="s">
        <v>557</v>
      </c>
      <c r="C154" s="699" t="s">
        <v>571</v>
      </c>
      <c r="D154" s="720" t="s">
        <v>1457</v>
      </c>
      <c r="E154" s="699" t="s">
        <v>3552</v>
      </c>
      <c r="F154" s="720" t="s">
        <v>3553</v>
      </c>
      <c r="G154" s="699" t="s">
        <v>2498</v>
      </c>
      <c r="H154" s="699" t="s">
        <v>2499</v>
      </c>
      <c r="I154" s="711">
        <v>12.42</v>
      </c>
      <c r="J154" s="711">
        <v>70</v>
      </c>
      <c r="K154" s="712">
        <v>869.4</v>
      </c>
    </row>
    <row r="155" spans="1:11" ht="14.4" customHeight="1" x14ac:dyDescent="0.3">
      <c r="A155" s="695" t="s">
        <v>556</v>
      </c>
      <c r="B155" s="696" t="s">
        <v>557</v>
      </c>
      <c r="C155" s="699" t="s">
        <v>571</v>
      </c>
      <c r="D155" s="720" t="s">
        <v>1457</v>
      </c>
      <c r="E155" s="699" t="s">
        <v>3552</v>
      </c>
      <c r="F155" s="720" t="s">
        <v>3553</v>
      </c>
      <c r="G155" s="699" t="s">
        <v>2424</v>
      </c>
      <c r="H155" s="699" t="s">
        <v>2425</v>
      </c>
      <c r="I155" s="711">
        <v>1.38</v>
      </c>
      <c r="J155" s="711">
        <v>150</v>
      </c>
      <c r="K155" s="712">
        <v>207</v>
      </c>
    </row>
    <row r="156" spans="1:11" ht="14.4" customHeight="1" x14ac:dyDescent="0.3">
      <c r="A156" s="695" t="s">
        <v>556</v>
      </c>
      <c r="B156" s="696" t="s">
        <v>557</v>
      </c>
      <c r="C156" s="699" t="s">
        <v>571</v>
      </c>
      <c r="D156" s="720" t="s">
        <v>1457</v>
      </c>
      <c r="E156" s="699" t="s">
        <v>3552</v>
      </c>
      <c r="F156" s="720" t="s">
        <v>3553</v>
      </c>
      <c r="G156" s="699" t="s">
        <v>2288</v>
      </c>
      <c r="H156" s="699" t="s">
        <v>2289</v>
      </c>
      <c r="I156" s="711">
        <v>39.1</v>
      </c>
      <c r="J156" s="711">
        <v>20</v>
      </c>
      <c r="K156" s="712">
        <v>782</v>
      </c>
    </row>
    <row r="157" spans="1:11" ht="14.4" customHeight="1" x14ac:dyDescent="0.3">
      <c r="A157" s="695" t="s">
        <v>556</v>
      </c>
      <c r="B157" s="696" t="s">
        <v>557</v>
      </c>
      <c r="C157" s="699" t="s">
        <v>571</v>
      </c>
      <c r="D157" s="720" t="s">
        <v>1457</v>
      </c>
      <c r="E157" s="699" t="s">
        <v>3552</v>
      </c>
      <c r="F157" s="720" t="s">
        <v>3553</v>
      </c>
      <c r="G157" s="699" t="s">
        <v>2292</v>
      </c>
      <c r="H157" s="699" t="s">
        <v>2293</v>
      </c>
      <c r="I157" s="711">
        <v>8.58</v>
      </c>
      <c r="J157" s="711">
        <v>48</v>
      </c>
      <c r="K157" s="712">
        <v>411.84</v>
      </c>
    </row>
    <row r="158" spans="1:11" ht="14.4" customHeight="1" x14ac:dyDescent="0.3">
      <c r="A158" s="695" t="s">
        <v>556</v>
      </c>
      <c r="B158" s="696" t="s">
        <v>557</v>
      </c>
      <c r="C158" s="699" t="s">
        <v>571</v>
      </c>
      <c r="D158" s="720" t="s">
        <v>1457</v>
      </c>
      <c r="E158" s="699" t="s">
        <v>3552</v>
      </c>
      <c r="F158" s="720" t="s">
        <v>3553</v>
      </c>
      <c r="G158" s="699" t="s">
        <v>2294</v>
      </c>
      <c r="H158" s="699" t="s">
        <v>2295</v>
      </c>
      <c r="I158" s="711">
        <v>27.94</v>
      </c>
      <c r="J158" s="711">
        <v>6</v>
      </c>
      <c r="K158" s="712">
        <v>167.64000000000001</v>
      </c>
    </row>
    <row r="159" spans="1:11" ht="14.4" customHeight="1" x14ac:dyDescent="0.3">
      <c r="A159" s="695" t="s">
        <v>556</v>
      </c>
      <c r="B159" s="696" t="s">
        <v>557</v>
      </c>
      <c r="C159" s="699" t="s">
        <v>571</v>
      </c>
      <c r="D159" s="720" t="s">
        <v>1457</v>
      </c>
      <c r="E159" s="699" t="s">
        <v>3552</v>
      </c>
      <c r="F159" s="720" t="s">
        <v>3553</v>
      </c>
      <c r="G159" s="699" t="s">
        <v>2432</v>
      </c>
      <c r="H159" s="699" t="s">
        <v>2433</v>
      </c>
      <c r="I159" s="711">
        <v>0.92500000000000004</v>
      </c>
      <c r="J159" s="711">
        <v>1000</v>
      </c>
      <c r="K159" s="712">
        <v>925</v>
      </c>
    </row>
    <row r="160" spans="1:11" ht="14.4" customHeight="1" x14ac:dyDescent="0.3">
      <c r="A160" s="695" t="s">
        <v>556</v>
      </c>
      <c r="B160" s="696" t="s">
        <v>557</v>
      </c>
      <c r="C160" s="699" t="s">
        <v>571</v>
      </c>
      <c r="D160" s="720" t="s">
        <v>1457</v>
      </c>
      <c r="E160" s="699" t="s">
        <v>3552</v>
      </c>
      <c r="F160" s="720" t="s">
        <v>3553</v>
      </c>
      <c r="G160" s="699" t="s">
        <v>2302</v>
      </c>
      <c r="H160" s="699" t="s">
        <v>2303</v>
      </c>
      <c r="I160" s="711">
        <v>0.85</v>
      </c>
      <c r="J160" s="711">
        <v>200</v>
      </c>
      <c r="K160" s="712">
        <v>170</v>
      </c>
    </row>
    <row r="161" spans="1:11" ht="14.4" customHeight="1" x14ac:dyDescent="0.3">
      <c r="A161" s="695" t="s">
        <v>556</v>
      </c>
      <c r="B161" s="696" t="s">
        <v>557</v>
      </c>
      <c r="C161" s="699" t="s">
        <v>571</v>
      </c>
      <c r="D161" s="720" t="s">
        <v>1457</v>
      </c>
      <c r="E161" s="699" t="s">
        <v>3552</v>
      </c>
      <c r="F161" s="720" t="s">
        <v>3553</v>
      </c>
      <c r="G161" s="699" t="s">
        <v>2304</v>
      </c>
      <c r="H161" s="699" t="s">
        <v>2305</v>
      </c>
      <c r="I161" s="711">
        <v>1.52</v>
      </c>
      <c r="J161" s="711">
        <v>100</v>
      </c>
      <c r="K161" s="712">
        <v>152</v>
      </c>
    </row>
    <row r="162" spans="1:11" ht="14.4" customHeight="1" x14ac:dyDescent="0.3">
      <c r="A162" s="695" t="s">
        <v>556</v>
      </c>
      <c r="B162" s="696" t="s">
        <v>557</v>
      </c>
      <c r="C162" s="699" t="s">
        <v>571</v>
      </c>
      <c r="D162" s="720" t="s">
        <v>1457</v>
      </c>
      <c r="E162" s="699" t="s">
        <v>3552</v>
      </c>
      <c r="F162" s="720" t="s">
        <v>3553</v>
      </c>
      <c r="G162" s="699" t="s">
        <v>2436</v>
      </c>
      <c r="H162" s="699" t="s">
        <v>2437</v>
      </c>
      <c r="I162" s="711">
        <v>2.0699999999999998</v>
      </c>
      <c r="J162" s="711">
        <v>100</v>
      </c>
      <c r="K162" s="712">
        <v>207</v>
      </c>
    </row>
    <row r="163" spans="1:11" ht="14.4" customHeight="1" x14ac:dyDescent="0.3">
      <c r="A163" s="695" t="s">
        <v>556</v>
      </c>
      <c r="B163" s="696" t="s">
        <v>557</v>
      </c>
      <c r="C163" s="699" t="s">
        <v>571</v>
      </c>
      <c r="D163" s="720" t="s">
        <v>1457</v>
      </c>
      <c r="E163" s="699" t="s">
        <v>3552</v>
      </c>
      <c r="F163" s="720" t="s">
        <v>3553</v>
      </c>
      <c r="G163" s="699" t="s">
        <v>2308</v>
      </c>
      <c r="H163" s="699" t="s">
        <v>2309</v>
      </c>
      <c r="I163" s="711">
        <v>991.59500000000003</v>
      </c>
      <c r="J163" s="711">
        <v>11</v>
      </c>
      <c r="K163" s="712">
        <v>10907.6</v>
      </c>
    </row>
    <row r="164" spans="1:11" ht="14.4" customHeight="1" x14ac:dyDescent="0.3">
      <c r="A164" s="695" t="s">
        <v>556</v>
      </c>
      <c r="B164" s="696" t="s">
        <v>557</v>
      </c>
      <c r="C164" s="699" t="s">
        <v>571</v>
      </c>
      <c r="D164" s="720" t="s">
        <v>1457</v>
      </c>
      <c r="E164" s="699" t="s">
        <v>3552</v>
      </c>
      <c r="F164" s="720" t="s">
        <v>3553</v>
      </c>
      <c r="G164" s="699" t="s">
        <v>2310</v>
      </c>
      <c r="H164" s="699" t="s">
        <v>2311</v>
      </c>
      <c r="I164" s="711">
        <v>1253.2950000000001</v>
      </c>
      <c r="J164" s="711">
        <v>10</v>
      </c>
      <c r="K164" s="712">
        <v>12532.970000000001</v>
      </c>
    </row>
    <row r="165" spans="1:11" ht="14.4" customHeight="1" x14ac:dyDescent="0.3">
      <c r="A165" s="695" t="s">
        <v>556</v>
      </c>
      <c r="B165" s="696" t="s">
        <v>557</v>
      </c>
      <c r="C165" s="699" t="s">
        <v>571</v>
      </c>
      <c r="D165" s="720" t="s">
        <v>1457</v>
      </c>
      <c r="E165" s="699" t="s">
        <v>3552</v>
      </c>
      <c r="F165" s="720" t="s">
        <v>3553</v>
      </c>
      <c r="G165" s="699" t="s">
        <v>2312</v>
      </c>
      <c r="H165" s="699" t="s">
        <v>2313</v>
      </c>
      <c r="I165" s="711">
        <v>879.38</v>
      </c>
      <c r="J165" s="711">
        <v>4</v>
      </c>
      <c r="K165" s="712">
        <v>3517.51</v>
      </c>
    </row>
    <row r="166" spans="1:11" ht="14.4" customHeight="1" x14ac:dyDescent="0.3">
      <c r="A166" s="695" t="s">
        <v>556</v>
      </c>
      <c r="B166" s="696" t="s">
        <v>557</v>
      </c>
      <c r="C166" s="699" t="s">
        <v>571</v>
      </c>
      <c r="D166" s="720" t="s">
        <v>1457</v>
      </c>
      <c r="E166" s="699" t="s">
        <v>3552</v>
      </c>
      <c r="F166" s="720" t="s">
        <v>3553</v>
      </c>
      <c r="G166" s="699" t="s">
        <v>2500</v>
      </c>
      <c r="H166" s="699" t="s">
        <v>2501</v>
      </c>
      <c r="I166" s="711">
        <v>8.6199999999999992</v>
      </c>
      <c r="J166" s="711">
        <v>100</v>
      </c>
      <c r="K166" s="712">
        <v>862</v>
      </c>
    </row>
    <row r="167" spans="1:11" ht="14.4" customHeight="1" x14ac:dyDescent="0.3">
      <c r="A167" s="695" t="s">
        <v>556</v>
      </c>
      <c r="B167" s="696" t="s">
        <v>557</v>
      </c>
      <c r="C167" s="699" t="s">
        <v>571</v>
      </c>
      <c r="D167" s="720" t="s">
        <v>1457</v>
      </c>
      <c r="E167" s="699" t="s">
        <v>3552</v>
      </c>
      <c r="F167" s="720" t="s">
        <v>3553</v>
      </c>
      <c r="G167" s="699" t="s">
        <v>2502</v>
      </c>
      <c r="H167" s="699" t="s">
        <v>2503</v>
      </c>
      <c r="I167" s="711">
        <v>1.1599999999999999</v>
      </c>
      <c r="J167" s="711">
        <v>500</v>
      </c>
      <c r="K167" s="712">
        <v>578.25</v>
      </c>
    </row>
    <row r="168" spans="1:11" ht="14.4" customHeight="1" x14ac:dyDescent="0.3">
      <c r="A168" s="695" t="s">
        <v>556</v>
      </c>
      <c r="B168" s="696" t="s">
        <v>557</v>
      </c>
      <c r="C168" s="699" t="s">
        <v>571</v>
      </c>
      <c r="D168" s="720" t="s">
        <v>1457</v>
      </c>
      <c r="E168" s="699" t="s">
        <v>3554</v>
      </c>
      <c r="F168" s="720" t="s">
        <v>3555</v>
      </c>
      <c r="G168" s="699" t="s">
        <v>2504</v>
      </c>
      <c r="H168" s="699" t="s">
        <v>2505</v>
      </c>
      <c r="I168" s="711">
        <v>260.02999999999997</v>
      </c>
      <c r="J168" s="711">
        <v>10</v>
      </c>
      <c r="K168" s="712">
        <v>2600.3000000000002</v>
      </c>
    </row>
    <row r="169" spans="1:11" ht="14.4" customHeight="1" x14ac:dyDescent="0.3">
      <c r="A169" s="695" t="s">
        <v>556</v>
      </c>
      <c r="B169" s="696" t="s">
        <v>557</v>
      </c>
      <c r="C169" s="699" t="s">
        <v>571</v>
      </c>
      <c r="D169" s="720" t="s">
        <v>1457</v>
      </c>
      <c r="E169" s="699" t="s">
        <v>3554</v>
      </c>
      <c r="F169" s="720" t="s">
        <v>3555</v>
      </c>
      <c r="G169" s="699" t="s">
        <v>2506</v>
      </c>
      <c r="H169" s="699" t="s">
        <v>2507</v>
      </c>
      <c r="I169" s="711">
        <v>58.37</v>
      </c>
      <c r="J169" s="711">
        <v>30</v>
      </c>
      <c r="K169" s="712">
        <v>1751.1000000000001</v>
      </c>
    </row>
    <row r="170" spans="1:11" ht="14.4" customHeight="1" x14ac:dyDescent="0.3">
      <c r="A170" s="695" t="s">
        <v>556</v>
      </c>
      <c r="B170" s="696" t="s">
        <v>557</v>
      </c>
      <c r="C170" s="699" t="s">
        <v>571</v>
      </c>
      <c r="D170" s="720" t="s">
        <v>1457</v>
      </c>
      <c r="E170" s="699" t="s">
        <v>3554</v>
      </c>
      <c r="F170" s="720" t="s">
        <v>3555</v>
      </c>
      <c r="G170" s="699" t="s">
        <v>2508</v>
      </c>
      <c r="H170" s="699" t="s">
        <v>2509</v>
      </c>
      <c r="I170" s="711">
        <v>37.51</v>
      </c>
      <c r="J170" s="711">
        <v>50</v>
      </c>
      <c r="K170" s="712">
        <v>1875.5</v>
      </c>
    </row>
    <row r="171" spans="1:11" ht="14.4" customHeight="1" x14ac:dyDescent="0.3">
      <c r="A171" s="695" t="s">
        <v>556</v>
      </c>
      <c r="B171" s="696" t="s">
        <v>557</v>
      </c>
      <c r="C171" s="699" t="s">
        <v>571</v>
      </c>
      <c r="D171" s="720" t="s">
        <v>1457</v>
      </c>
      <c r="E171" s="699" t="s">
        <v>3554</v>
      </c>
      <c r="F171" s="720" t="s">
        <v>3555</v>
      </c>
      <c r="G171" s="699" t="s">
        <v>2336</v>
      </c>
      <c r="H171" s="699" t="s">
        <v>2337</v>
      </c>
      <c r="I171" s="711">
        <v>11.145</v>
      </c>
      <c r="J171" s="711">
        <v>100</v>
      </c>
      <c r="K171" s="712">
        <v>1114.5</v>
      </c>
    </row>
    <row r="172" spans="1:11" ht="14.4" customHeight="1" x14ac:dyDescent="0.3">
      <c r="A172" s="695" t="s">
        <v>556</v>
      </c>
      <c r="B172" s="696" t="s">
        <v>557</v>
      </c>
      <c r="C172" s="699" t="s">
        <v>571</v>
      </c>
      <c r="D172" s="720" t="s">
        <v>1457</v>
      </c>
      <c r="E172" s="699" t="s">
        <v>3554</v>
      </c>
      <c r="F172" s="720" t="s">
        <v>3555</v>
      </c>
      <c r="G172" s="699" t="s">
        <v>2510</v>
      </c>
      <c r="H172" s="699" t="s">
        <v>2511</v>
      </c>
      <c r="I172" s="711">
        <v>7.43</v>
      </c>
      <c r="J172" s="711">
        <v>100</v>
      </c>
      <c r="K172" s="712">
        <v>743</v>
      </c>
    </row>
    <row r="173" spans="1:11" ht="14.4" customHeight="1" x14ac:dyDescent="0.3">
      <c r="A173" s="695" t="s">
        <v>556</v>
      </c>
      <c r="B173" s="696" t="s">
        <v>557</v>
      </c>
      <c r="C173" s="699" t="s">
        <v>571</v>
      </c>
      <c r="D173" s="720" t="s">
        <v>1457</v>
      </c>
      <c r="E173" s="699" t="s">
        <v>3554</v>
      </c>
      <c r="F173" s="720" t="s">
        <v>3555</v>
      </c>
      <c r="G173" s="699" t="s">
        <v>2340</v>
      </c>
      <c r="H173" s="699" t="s">
        <v>2341</v>
      </c>
      <c r="I173" s="711">
        <v>0.93333333333333346</v>
      </c>
      <c r="J173" s="711">
        <v>900</v>
      </c>
      <c r="K173" s="712">
        <v>839</v>
      </c>
    </row>
    <row r="174" spans="1:11" ht="14.4" customHeight="1" x14ac:dyDescent="0.3">
      <c r="A174" s="695" t="s">
        <v>556</v>
      </c>
      <c r="B174" s="696" t="s">
        <v>557</v>
      </c>
      <c r="C174" s="699" t="s">
        <v>571</v>
      </c>
      <c r="D174" s="720" t="s">
        <v>1457</v>
      </c>
      <c r="E174" s="699" t="s">
        <v>3554</v>
      </c>
      <c r="F174" s="720" t="s">
        <v>3555</v>
      </c>
      <c r="G174" s="699" t="s">
        <v>2342</v>
      </c>
      <c r="H174" s="699" t="s">
        <v>2343</v>
      </c>
      <c r="I174" s="711">
        <v>1.4366666666666668</v>
      </c>
      <c r="J174" s="711">
        <v>600</v>
      </c>
      <c r="K174" s="712">
        <v>863</v>
      </c>
    </row>
    <row r="175" spans="1:11" ht="14.4" customHeight="1" x14ac:dyDescent="0.3">
      <c r="A175" s="695" t="s">
        <v>556</v>
      </c>
      <c r="B175" s="696" t="s">
        <v>557</v>
      </c>
      <c r="C175" s="699" t="s">
        <v>571</v>
      </c>
      <c r="D175" s="720" t="s">
        <v>1457</v>
      </c>
      <c r="E175" s="699" t="s">
        <v>3554</v>
      </c>
      <c r="F175" s="720" t="s">
        <v>3555</v>
      </c>
      <c r="G175" s="699" t="s">
        <v>2344</v>
      </c>
      <c r="H175" s="699" t="s">
        <v>2345</v>
      </c>
      <c r="I175" s="711">
        <v>0.42</v>
      </c>
      <c r="J175" s="711">
        <v>400</v>
      </c>
      <c r="K175" s="712">
        <v>168</v>
      </c>
    </row>
    <row r="176" spans="1:11" ht="14.4" customHeight="1" x14ac:dyDescent="0.3">
      <c r="A176" s="695" t="s">
        <v>556</v>
      </c>
      <c r="B176" s="696" t="s">
        <v>557</v>
      </c>
      <c r="C176" s="699" t="s">
        <v>571</v>
      </c>
      <c r="D176" s="720" t="s">
        <v>1457</v>
      </c>
      <c r="E176" s="699" t="s">
        <v>3554</v>
      </c>
      <c r="F176" s="720" t="s">
        <v>3555</v>
      </c>
      <c r="G176" s="699" t="s">
        <v>2346</v>
      </c>
      <c r="H176" s="699" t="s">
        <v>2347</v>
      </c>
      <c r="I176" s="711">
        <v>0.57999999999999996</v>
      </c>
      <c r="J176" s="711">
        <v>1400</v>
      </c>
      <c r="K176" s="712">
        <v>812</v>
      </c>
    </row>
    <row r="177" spans="1:11" ht="14.4" customHeight="1" x14ac:dyDescent="0.3">
      <c r="A177" s="695" t="s">
        <v>556</v>
      </c>
      <c r="B177" s="696" t="s">
        <v>557</v>
      </c>
      <c r="C177" s="699" t="s">
        <v>571</v>
      </c>
      <c r="D177" s="720" t="s">
        <v>1457</v>
      </c>
      <c r="E177" s="699" t="s">
        <v>3554</v>
      </c>
      <c r="F177" s="720" t="s">
        <v>3555</v>
      </c>
      <c r="G177" s="699" t="s">
        <v>2512</v>
      </c>
      <c r="H177" s="699" t="s">
        <v>2513</v>
      </c>
      <c r="I177" s="711">
        <v>3.13</v>
      </c>
      <c r="J177" s="711">
        <v>100</v>
      </c>
      <c r="K177" s="712">
        <v>313</v>
      </c>
    </row>
    <row r="178" spans="1:11" ht="14.4" customHeight="1" x14ac:dyDescent="0.3">
      <c r="A178" s="695" t="s">
        <v>556</v>
      </c>
      <c r="B178" s="696" t="s">
        <v>557</v>
      </c>
      <c r="C178" s="699" t="s">
        <v>571</v>
      </c>
      <c r="D178" s="720" t="s">
        <v>1457</v>
      </c>
      <c r="E178" s="699" t="s">
        <v>3554</v>
      </c>
      <c r="F178" s="720" t="s">
        <v>3555</v>
      </c>
      <c r="G178" s="699" t="s">
        <v>2514</v>
      </c>
      <c r="H178" s="699" t="s">
        <v>2515</v>
      </c>
      <c r="I178" s="711">
        <v>6.2949999999999999</v>
      </c>
      <c r="J178" s="711">
        <v>35</v>
      </c>
      <c r="K178" s="712">
        <v>220.35</v>
      </c>
    </row>
    <row r="179" spans="1:11" ht="14.4" customHeight="1" x14ac:dyDescent="0.3">
      <c r="A179" s="695" t="s">
        <v>556</v>
      </c>
      <c r="B179" s="696" t="s">
        <v>557</v>
      </c>
      <c r="C179" s="699" t="s">
        <v>571</v>
      </c>
      <c r="D179" s="720" t="s">
        <v>1457</v>
      </c>
      <c r="E179" s="699" t="s">
        <v>3554</v>
      </c>
      <c r="F179" s="720" t="s">
        <v>3555</v>
      </c>
      <c r="G179" s="699" t="s">
        <v>2516</v>
      </c>
      <c r="H179" s="699" t="s">
        <v>2517</v>
      </c>
      <c r="I179" s="711">
        <v>6.0233333333333334</v>
      </c>
      <c r="J179" s="711">
        <v>30</v>
      </c>
      <c r="K179" s="712">
        <v>180.7</v>
      </c>
    </row>
    <row r="180" spans="1:11" ht="14.4" customHeight="1" x14ac:dyDescent="0.3">
      <c r="A180" s="695" t="s">
        <v>556</v>
      </c>
      <c r="B180" s="696" t="s">
        <v>557</v>
      </c>
      <c r="C180" s="699" t="s">
        <v>571</v>
      </c>
      <c r="D180" s="720" t="s">
        <v>1457</v>
      </c>
      <c r="E180" s="699" t="s">
        <v>3554</v>
      </c>
      <c r="F180" s="720" t="s">
        <v>3555</v>
      </c>
      <c r="G180" s="699" t="s">
        <v>2518</v>
      </c>
      <c r="H180" s="699" t="s">
        <v>2519</v>
      </c>
      <c r="I180" s="711">
        <v>232.32</v>
      </c>
      <c r="J180" s="711">
        <v>2</v>
      </c>
      <c r="K180" s="712">
        <v>464.64</v>
      </c>
    </row>
    <row r="181" spans="1:11" ht="14.4" customHeight="1" x14ac:dyDescent="0.3">
      <c r="A181" s="695" t="s">
        <v>556</v>
      </c>
      <c r="B181" s="696" t="s">
        <v>557</v>
      </c>
      <c r="C181" s="699" t="s">
        <v>571</v>
      </c>
      <c r="D181" s="720" t="s">
        <v>1457</v>
      </c>
      <c r="E181" s="699" t="s">
        <v>3554</v>
      </c>
      <c r="F181" s="720" t="s">
        <v>3555</v>
      </c>
      <c r="G181" s="699" t="s">
        <v>2520</v>
      </c>
      <c r="H181" s="699" t="s">
        <v>2521</v>
      </c>
      <c r="I181" s="711">
        <v>81.739999999999995</v>
      </c>
      <c r="J181" s="711">
        <v>45</v>
      </c>
      <c r="K181" s="712">
        <v>3678.1</v>
      </c>
    </row>
    <row r="182" spans="1:11" ht="14.4" customHeight="1" x14ac:dyDescent="0.3">
      <c r="A182" s="695" t="s">
        <v>556</v>
      </c>
      <c r="B182" s="696" t="s">
        <v>557</v>
      </c>
      <c r="C182" s="699" t="s">
        <v>571</v>
      </c>
      <c r="D182" s="720" t="s">
        <v>1457</v>
      </c>
      <c r="E182" s="699" t="s">
        <v>3554</v>
      </c>
      <c r="F182" s="720" t="s">
        <v>3555</v>
      </c>
      <c r="G182" s="699" t="s">
        <v>2522</v>
      </c>
      <c r="H182" s="699" t="s">
        <v>2523</v>
      </c>
      <c r="I182" s="711">
        <v>17.356666666666666</v>
      </c>
      <c r="J182" s="711">
        <v>35</v>
      </c>
      <c r="K182" s="712">
        <v>610.54999999999995</v>
      </c>
    </row>
    <row r="183" spans="1:11" ht="14.4" customHeight="1" x14ac:dyDescent="0.3">
      <c r="A183" s="695" t="s">
        <v>556</v>
      </c>
      <c r="B183" s="696" t="s">
        <v>557</v>
      </c>
      <c r="C183" s="699" t="s">
        <v>571</v>
      </c>
      <c r="D183" s="720" t="s">
        <v>1457</v>
      </c>
      <c r="E183" s="699" t="s">
        <v>3554</v>
      </c>
      <c r="F183" s="720" t="s">
        <v>3555</v>
      </c>
      <c r="G183" s="699" t="s">
        <v>2524</v>
      </c>
      <c r="H183" s="699" t="s">
        <v>2525</v>
      </c>
      <c r="I183" s="711">
        <v>646.755</v>
      </c>
      <c r="J183" s="711">
        <v>4</v>
      </c>
      <c r="K183" s="712">
        <v>2587.02</v>
      </c>
    </row>
    <row r="184" spans="1:11" ht="14.4" customHeight="1" x14ac:dyDescent="0.3">
      <c r="A184" s="695" t="s">
        <v>556</v>
      </c>
      <c r="B184" s="696" t="s">
        <v>557</v>
      </c>
      <c r="C184" s="699" t="s">
        <v>571</v>
      </c>
      <c r="D184" s="720" t="s">
        <v>1457</v>
      </c>
      <c r="E184" s="699" t="s">
        <v>3554</v>
      </c>
      <c r="F184" s="720" t="s">
        <v>3555</v>
      </c>
      <c r="G184" s="699" t="s">
        <v>2526</v>
      </c>
      <c r="H184" s="699" t="s">
        <v>2527</v>
      </c>
      <c r="I184" s="711">
        <v>16.97</v>
      </c>
      <c r="J184" s="711">
        <v>2</v>
      </c>
      <c r="K184" s="712">
        <v>33.94</v>
      </c>
    </row>
    <row r="185" spans="1:11" ht="14.4" customHeight="1" x14ac:dyDescent="0.3">
      <c r="A185" s="695" t="s">
        <v>556</v>
      </c>
      <c r="B185" s="696" t="s">
        <v>557</v>
      </c>
      <c r="C185" s="699" t="s">
        <v>571</v>
      </c>
      <c r="D185" s="720" t="s">
        <v>1457</v>
      </c>
      <c r="E185" s="699" t="s">
        <v>3554</v>
      </c>
      <c r="F185" s="720" t="s">
        <v>3555</v>
      </c>
      <c r="G185" s="699" t="s">
        <v>2528</v>
      </c>
      <c r="H185" s="699" t="s">
        <v>2529</v>
      </c>
      <c r="I185" s="711">
        <v>108.85</v>
      </c>
      <c r="J185" s="711">
        <v>10</v>
      </c>
      <c r="K185" s="712">
        <v>1088.5</v>
      </c>
    </row>
    <row r="186" spans="1:11" ht="14.4" customHeight="1" x14ac:dyDescent="0.3">
      <c r="A186" s="695" t="s">
        <v>556</v>
      </c>
      <c r="B186" s="696" t="s">
        <v>557</v>
      </c>
      <c r="C186" s="699" t="s">
        <v>571</v>
      </c>
      <c r="D186" s="720" t="s">
        <v>1457</v>
      </c>
      <c r="E186" s="699" t="s">
        <v>3554</v>
      </c>
      <c r="F186" s="720" t="s">
        <v>3555</v>
      </c>
      <c r="G186" s="699" t="s">
        <v>2350</v>
      </c>
      <c r="H186" s="699" t="s">
        <v>2351</v>
      </c>
      <c r="I186" s="711">
        <v>8.9700000000000006</v>
      </c>
      <c r="J186" s="711">
        <v>10</v>
      </c>
      <c r="K186" s="712">
        <v>89.7</v>
      </c>
    </row>
    <row r="187" spans="1:11" ht="14.4" customHeight="1" x14ac:dyDescent="0.3">
      <c r="A187" s="695" t="s">
        <v>556</v>
      </c>
      <c r="B187" s="696" t="s">
        <v>557</v>
      </c>
      <c r="C187" s="699" t="s">
        <v>571</v>
      </c>
      <c r="D187" s="720" t="s">
        <v>1457</v>
      </c>
      <c r="E187" s="699" t="s">
        <v>3554</v>
      </c>
      <c r="F187" s="720" t="s">
        <v>3555</v>
      </c>
      <c r="G187" s="699" t="s">
        <v>2354</v>
      </c>
      <c r="H187" s="699" t="s">
        <v>2355</v>
      </c>
      <c r="I187" s="711">
        <v>1.78</v>
      </c>
      <c r="J187" s="711">
        <v>350</v>
      </c>
      <c r="K187" s="712">
        <v>623</v>
      </c>
    </row>
    <row r="188" spans="1:11" ht="14.4" customHeight="1" x14ac:dyDescent="0.3">
      <c r="A188" s="695" t="s">
        <v>556</v>
      </c>
      <c r="B188" s="696" t="s">
        <v>557</v>
      </c>
      <c r="C188" s="699" t="s">
        <v>571</v>
      </c>
      <c r="D188" s="720" t="s">
        <v>1457</v>
      </c>
      <c r="E188" s="699" t="s">
        <v>3554</v>
      </c>
      <c r="F188" s="720" t="s">
        <v>3555</v>
      </c>
      <c r="G188" s="699" t="s">
        <v>2530</v>
      </c>
      <c r="H188" s="699" t="s">
        <v>2531</v>
      </c>
      <c r="I188" s="711">
        <v>1.8</v>
      </c>
      <c r="J188" s="711">
        <v>50</v>
      </c>
      <c r="K188" s="712">
        <v>90</v>
      </c>
    </row>
    <row r="189" spans="1:11" ht="14.4" customHeight="1" x14ac:dyDescent="0.3">
      <c r="A189" s="695" t="s">
        <v>556</v>
      </c>
      <c r="B189" s="696" t="s">
        <v>557</v>
      </c>
      <c r="C189" s="699" t="s">
        <v>571</v>
      </c>
      <c r="D189" s="720" t="s">
        <v>1457</v>
      </c>
      <c r="E189" s="699" t="s">
        <v>3554</v>
      </c>
      <c r="F189" s="720" t="s">
        <v>3555</v>
      </c>
      <c r="G189" s="699" t="s">
        <v>2356</v>
      </c>
      <c r="H189" s="699" t="s">
        <v>2357</v>
      </c>
      <c r="I189" s="711">
        <v>2.79</v>
      </c>
      <c r="J189" s="711">
        <v>50</v>
      </c>
      <c r="K189" s="712">
        <v>139.5</v>
      </c>
    </row>
    <row r="190" spans="1:11" ht="14.4" customHeight="1" x14ac:dyDescent="0.3">
      <c r="A190" s="695" t="s">
        <v>556</v>
      </c>
      <c r="B190" s="696" t="s">
        <v>557</v>
      </c>
      <c r="C190" s="699" t="s">
        <v>571</v>
      </c>
      <c r="D190" s="720" t="s">
        <v>1457</v>
      </c>
      <c r="E190" s="699" t="s">
        <v>3554</v>
      </c>
      <c r="F190" s="720" t="s">
        <v>3555</v>
      </c>
      <c r="G190" s="699" t="s">
        <v>2532</v>
      </c>
      <c r="H190" s="699" t="s">
        <v>2533</v>
      </c>
      <c r="I190" s="711">
        <v>1.77</v>
      </c>
      <c r="J190" s="711">
        <v>200</v>
      </c>
      <c r="K190" s="712">
        <v>354</v>
      </c>
    </row>
    <row r="191" spans="1:11" ht="14.4" customHeight="1" x14ac:dyDescent="0.3">
      <c r="A191" s="695" t="s">
        <v>556</v>
      </c>
      <c r="B191" s="696" t="s">
        <v>557</v>
      </c>
      <c r="C191" s="699" t="s">
        <v>571</v>
      </c>
      <c r="D191" s="720" t="s">
        <v>1457</v>
      </c>
      <c r="E191" s="699" t="s">
        <v>3554</v>
      </c>
      <c r="F191" s="720" t="s">
        <v>3555</v>
      </c>
      <c r="G191" s="699" t="s">
        <v>2462</v>
      </c>
      <c r="H191" s="699" t="s">
        <v>2463</v>
      </c>
      <c r="I191" s="711">
        <v>1.3333333333333334E-2</v>
      </c>
      <c r="J191" s="711">
        <v>300</v>
      </c>
      <c r="K191" s="712">
        <v>4</v>
      </c>
    </row>
    <row r="192" spans="1:11" ht="14.4" customHeight="1" x14ac:dyDescent="0.3">
      <c r="A192" s="695" t="s">
        <v>556</v>
      </c>
      <c r="B192" s="696" t="s">
        <v>557</v>
      </c>
      <c r="C192" s="699" t="s">
        <v>571</v>
      </c>
      <c r="D192" s="720" t="s">
        <v>1457</v>
      </c>
      <c r="E192" s="699" t="s">
        <v>3554</v>
      </c>
      <c r="F192" s="720" t="s">
        <v>3555</v>
      </c>
      <c r="G192" s="699" t="s">
        <v>2534</v>
      </c>
      <c r="H192" s="699" t="s">
        <v>2535</v>
      </c>
      <c r="I192" s="711">
        <v>1.99</v>
      </c>
      <c r="J192" s="711">
        <v>50</v>
      </c>
      <c r="K192" s="712">
        <v>99.5</v>
      </c>
    </row>
    <row r="193" spans="1:11" ht="14.4" customHeight="1" x14ac:dyDescent="0.3">
      <c r="A193" s="695" t="s">
        <v>556</v>
      </c>
      <c r="B193" s="696" t="s">
        <v>557</v>
      </c>
      <c r="C193" s="699" t="s">
        <v>571</v>
      </c>
      <c r="D193" s="720" t="s">
        <v>1457</v>
      </c>
      <c r="E193" s="699" t="s">
        <v>3554</v>
      </c>
      <c r="F193" s="720" t="s">
        <v>3555</v>
      </c>
      <c r="G193" s="699" t="s">
        <v>2360</v>
      </c>
      <c r="H193" s="699" t="s">
        <v>2361</v>
      </c>
      <c r="I193" s="711">
        <v>2</v>
      </c>
      <c r="J193" s="711">
        <v>50</v>
      </c>
      <c r="K193" s="712">
        <v>100</v>
      </c>
    </row>
    <row r="194" spans="1:11" ht="14.4" customHeight="1" x14ac:dyDescent="0.3">
      <c r="A194" s="695" t="s">
        <v>556</v>
      </c>
      <c r="B194" s="696" t="s">
        <v>557</v>
      </c>
      <c r="C194" s="699" t="s">
        <v>571</v>
      </c>
      <c r="D194" s="720" t="s">
        <v>1457</v>
      </c>
      <c r="E194" s="699" t="s">
        <v>3554</v>
      </c>
      <c r="F194" s="720" t="s">
        <v>3555</v>
      </c>
      <c r="G194" s="699" t="s">
        <v>2536</v>
      </c>
      <c r="H194" s="699" t="s">
        <v>2537</v>
      </c>
      <c r="I194" s="711">
        <v>2.41</v>
      </c>
      <c r="J194" s="711">
        <v>150</v>
      </c>
      <c r="K194" s="712">
        <v>361.5</v>
      </c>
    </row>
    <row r="195" spans="1:11" ht="14.4" customHeight="1" x14ac:dyDescent="0.3">
      <c r="A195" s="695" t="s">
        <v>556</v>
      </c>
      <c r="B195" s="696" t="s">
        <v>557</v>
      </c>
      <c r="C195" s="699" t="s">
        <v>571</v>
      </c>
      <c r="D195" s="720" t="s">
        <v>1457</v>
      </c>
      <c r="E195" s="699" t="s">
        <v>3554</v>
      </c>
      <c r="F195" s="720" t="s">
        <v>3555</v>
      </c>
      <c r="G195" s="699" t="s">
        <v>2364</v>
      </c>
      <c r="H195" s="699" t="s">
        <v>2365</v>
      </c>
      <c r="I195" s="711">
        <v>2.1800000000000002</v>
      </c>
      <c r="J195" s="711">
        <v>100</v>
      </c>
      <c r="K195" s="712">
        <v>218</v>
      </c>
    </row>
    <row r="196" spans="1:11" ht="14.4" customHeight="1" x14ac:dyDescent="0.3">
      <c r="A196" s="695" t="s">
        <v>556</v>
      </c>
      <c r="B196" s="696" t="s">
        <v>557</v>
      </c>
      <c r="C196" s="699" t="s">
        <v>571</v>
      </c>
      <c r="D196" s="720" t="s">
        <v>1457</v>
      </c>
      <c r="E196" s="699" t="s">
        <v>3554</v>
      </c>
      <c r="F196" s="720" t="s">
        <v>3555</v>
      </c>
      <c r="G196" s="699" t="s">
        <v>2538</v>
      </c>
      <c r="H196" s="699" t="s">
        <v>2539</v>
      </c>
      <c r="I196" s="711">
        <v>1.5733333333333335</v>
      </c>
      <c r="J196" s="711">
        <v>450</v>
      </c>
      <c r="K196" s="712">
        <v>708</v>
      </c>
    </row>
    <row r="197" spans="1:11" ht="14.4" customHeight="1" x14ac:dyDescent="0.3">
      <c r="A197" s="695" t="s">
        <v>556</v>
      </c>
      <c r="B197" s="696" t="s">
        <v>557</v>
      </c>
      <c r="C197" s="699" t="s">
        <v>571</v>
      </c>
      <c r="D197" s="720" t="s">
        <v>1457</v>
      </c>
      <c r="E197" s="699" t="s">
        <v>3554</v>
      </c>
      <c r="F197" s="720" t="s">
        <v>3555</v>
      </c>
      <c r="G197" s="699" t="s">
        <v>2366</v>
      </c>
      <c r="H197" s="699" t="s">
        <v>2367</v>
      </c>
      <c r="I197" s="711">
        <v>5.13</v>
      </c>
      <c r="J197" s="711">
        <v>80</v>
      </c>
      <c r="K197" s="712">
        <v>410.4</v>
      </c>
    </row>
    <row r="198" spans="1:11" ht="14.4" customHeight="1" x14ac:dyDescent="0.3">
      <c r="A198" s="695" t="s">
        <v>556</v>
      </c>
      <c r="B198" s="696" t="s">
        <v>557</v>
      </c>
      <c r="C198" s="699" t="s">
        <v>571</v>
      </c>
      <c r="D198" s="720" t="s">
        <v>1457</v>
      </c>
      <c r="E198" s="699" t="s">
        <v>3554</v>
      </c>
      <c r="F198" s="720" t="s">
        <v>3555</v>
      </c>
      <c r="G198" s="699" t="s">
        <v>2368</v>
      </c>
      <c r="H198" s="699" t="s">
        <v>2369</v>
      </c>
      <c r="I198" s="711">
        <v>7.95</v>
      </c>
      <c r="J198" s="711">
        <v>280</v>
      </c>
      <c r="K198" s="712">
        <v>2226</v>
      </c>
    </row>
    <row r="199" spans="1:11" ht="14.4" customHeight="1" x14ac:dyDescent="0.3">
      <c r="A199" s="695" t="s">
        <v>556</v>
      </c>
      <c r="B199" s="696" t="s">
        <v>557</v>
      </c>
      <c r="C199" s="699" t="s">
        <v>571</v>
      </c>
      <c r="D199" s="720" t="s">
        <v>1457</v>
      </c>
      <c r="E199" s="699" t="s">
        <v>3554</v>
      </c>
      <c r="F199" s="720" t="s">
        <v>3555</v>
      </c>
      <c r="G199" s="699" t="s">
        <v>2540</v>
      </c>
      <c r="H199" s="699" t="s">
        <v>2541</v>
      </c>
      <c r="I199" s="711">
        <v>0.55000000000000004</v>
      </c>
      <c r="J199" s="711">
        <v>300</v>
      </c>
      <c r="K199" s="712">
        <v>165</v>
      </c>
    </row>
    <row r="200" spans="1:11" ht="14.4" customHeight="1" x14ac:dyDescent="0.3">
      <c r="A200" s="695" t="s">
        <v>556</v>
      </c>
      <c r="B200" s="696" t="s">
        <v>557</v>
      </c>
      <c r="C200" s="699" t="s">
        <v>571</v>
      </c>
      <c r="D200" s="720" t="s">
        <v>1457</v>
      </c>
      <c r="E200" s="699" t="s">
        <v>3554</v>
      </c>
      <c r="F200" s="720" t="s">
        <v>3555</v>
      </c>
      <c r="G200" s="699" t="s">
        <v>2542</v>
      </c>
      <c r="H200" s="699" t="s">
        <v>2543</v>
      </c>
      <c r="I200" s="711">
        <v>434.47</v>
      </c>
      <c r="J200" s="711">
        <v>1</v>
      </c>
      <c r="K200" s="712">
        <v>434.47</v>
      </c>
    </row>
    <row r="201" spans="1:11" ht="14.4" customHeight="1" x14ac:dyDescent="0.3">
      <c r="A201" s="695" t="s">
        <v>556</v>
      </c>
      <c r="B201" s="696" t="s">
        <v>557</v>
      </c>
      <c r="C201" s="699" t="s">
        <v>571</v>
      </c>
      <c r="D201" s="720" t="s">
        <v>1457</v>
      </c>
      <c r="E201" s="699" t="s">
        <v>3554</v>
      </c>
      <c r="F201" s="720" t="s">
        <v>3555</v>
      </c>
      <c r="G201" s="699" t="s">
        <v>2544</v>
      </c>
      <c r="H201" s="699" t="s">
        <v>2545</v>
      </c>
      <c r="I201" s="711">
        <v>447.94</v>
      </c>
      <c r="J201" s="711">
        <v>10</v>
      </c>
      <c r="K201" s="712">
        <v>4479.43</v>
      </c>
    </row>
    <row r="202" spans="1:11" ht="14.4" customHeight="1" x14ac:dyDescent="0.3">
      <c r="A202" s="695" t="s">
        <v>556</v>
      </c>
      <c r="B202" s="696" t="s">
        <v>557</v>
      </c>
      <c r="C202" s="699" t="s">
        <v>571</v>
      </c>
      <c r="D202" s="720" t="s">
        <v>1457</v>
      </c>
      <c r="E202" s="699" t="s">
        <v>3554</v>
      </c>
      <c r="F202" s="720" t="s">
        <v>3555</v>
      </c>
      <c r="G202" s="699" t="s">
        <v>2370</v>
      </c>
      <c r="H202" s="699" t="s">
        <v>2371</v>
      </c>
      <c r="I202" s="711">
        <v>17.98</v>
      </c>
      <c r="J202" s="711">
        <v>20</v>
      </c>
      <c r="K202" s="712">
        <v>359.6</v>
      </c>
    </row>
    <row r="203" spans="1:11" ht="14.4" customHeight="1" x14ac:dyDescent="0.3">
      <c r="A203" s="695" t="s">
        <v>556</v>
      </c>
      <c r="B203" s="696" t="s">
        <v>557</v>
      </c>
      <c r="C203" s="699" t="s">
        <v>571</v>
      </c>
      <c r="D203" s="720" t="s">
        <v>1457</v>
      </c>
      <c r="E203" s="699" t="s">
        <v>3554</v>
      </c>
      <c r="F203" s="720" t="s">
        <v>3555</v>
      </c>
      <c r="G203" s="699" t="s">
        <v>2372</v>
      </c>
      <c r="H203" s="699" t="s">
        <v>2373</v>
      </c>
      <c r="I203" s="711">
        <v>17.98</v>
      </c>
      <c r="J203" s="711">
        <v>50</v>
      </c>
      <c r="K203" s="712">
        <v>899</v>
      </c>
    </row>
    <row r="204" spans="1:11" ht="14.4" customHeight="1" x14ac:dyDescent="0.3">
      <c r="A204" s="695" t="s">
        <v>556</v>
      </c>
      <c r="B204" s="696" t="s">
        <v>557</v>
      </c>
      <c r="C204" s="699" t="s">
        <v>571</v>
      </c>
      <c r="D204" s="720" t="s">
        <v>1457</v>
      </c>
      <c r="E204" s="699" t="s">
        <v>3554</v>
      </c>
      <c r="F204" s="720" t="s">
        <v>3555</v>
      </c>
      <c r="G204" s="699" t="s">
        <v>2546</v>
      </c>
      <c r="H204" s="699" t="s">
        <v>2547</v>
      </c>
      <c r="I204" s="711">
        <v>17.98</v>
      </c>
      <c r="J204" s="711">
        <v>20</v>
      </c>
      <c r="K204" s="712">
        <v>359.6</v>
      </c>
    </row>
    <row r="205" spans="1:11" ht="14.4" customHeight="1" x14ac:dyDescent="0.3">
      <c r="A205" s="695" t="s">
        <v>556</v>
      </c>
      <c r="B205" s="696" t="s">
        <v>557</v>
      </c>
      <c r="C205" s="699" t="s">
        <v>571</v>
      </c>
      <c r="D205" s="720" t="s">
        <v>1457</v>
      </c>
      <c r="E205" s="699" t="s">
        <v>3554</v>
      </c>
      <c r="F205" s="720" t="s">
        <v>3555</v>
      </c>
      <c r="G205" s="699" t="s">
        <v>2466</v>
      </c>
      <c r="H205" s="699" t="s">
        <v>2467</v>
      </c>
      <c r="I205" s="711">
        <v>12.1</v>
      </c>
      <c r="J205" s="711">
        <v>120</v>
      </c>
      <c r="K205" s="712">
        <v>1452</v>
      </c>
    </row>
    <row r="206" spans="1:11" ht="14.4" customHeight="1" x14ac:dyDescent="0.3">
      <c r="A206" s="695" t="s">
        <v>556</v>
      </c>
      <c r="B206" s="696" t="s">
        <v>557</v>
      </c>
      <c r="C206" s="699" t="s">
        <v>571</v>
      </c>
      <c r="D206" s="720" t="s">
        <v>1457</v>
      </c>
      <c r="E206" s="699" t="s">
        <v>3554</v>
      </c>
      <c r="F206" s="720" t="s">
        <v>3555</v>
      </c>
      <c r="G206" s="699" t="s">
        <v>2548</v>
      </c>
      <c r="H206" s="699" t="s">
        <v>2549</v>
      </c>
      <c r="I206" s="711">
        <v>8.9499999999999993</v>
      </c>
      <c r="J206" s="711">
        <v>1</v>
      </c>
      <c r="K206" s="712">
        <v>8.9499999999999993</v>
      </c>
    </row>
    <row r="207" spans="1:11" ht="14.4" customHeight="1" x14ac:dyDescent="0.3">
      <c r="A207" s="695" t="s">
        <v>556</v>
      </c>
      <c r="B207" s="696" t="s">
        <v>557</v>
      </c>
      <c r="C207" s="699" t="s">
        <v>571</v>
      </c>
      <c r="D207" s="720" t="s">
        <v>1457</v>
      </c>
      <c r="E207" s="699" t="s">
        <v>3554</v>
      </c>
      <c r="F207" s="720" t="s">
        <v>3555</v>
      </c>
      <c r="G207" s="699" t="s">
        <v>2550</v>
      </c>
      <c r="H207" s="699" t="s">
        <v>2551</v>
      </c>
      <c r="I207" s="711">
        <v>1.9333333333333333</v>
      </c>
      <c r="J207" s="711">
        <v>300</v>
      </c>
      <c r="K207" s="712">
        <v>580</v>
      </c>
    </row>
    <row r="208" spans="1:11" ht="14.4" customHeight="1" x14ac:dyDescent="0.3">
      <c r="A208" s="695" t="s">
        <v>556</v>
      </c>
      <c r="B208" s="696" t="s">
        <v>557</v>
      </c>
      <c r="C208" s="699" t="s">
        <v>571</v>
      </c>
      <c r="D208" s="720" t="s">
        <v>1457</v>
      </c>
      <c r="E208" s="699" t="s">
        <v>3554</v>
      </c>
      <c r="F208" s="720" t="s">
        <v>3555</v>
      </c>
      <c r="G208" s="699" t="s">
        <v>2380</v>
      </c>
      <c r="H208" s="699" t="s">
        <v>2381</v>
      </c>
      <c r="I208" s="711">
        <v>13.203333333333333</v>
      </c>
      <c r="J208" s="711">
        <v>40</v>
      </c>
      <c r="K208" s="712">
        <v>528.1</v>
      </c>
    </row>
    <row r="209" spans="1:11" ht="14.4" customHeight="1" x14ac:dyDescent="0.3">
      <c r="A209" s="695" t="s">
        <v>556</v>
      </c>
      <c r="B209" s="696" t="s">
        <v>557</v>
      </c>
      <c r="C209" s="699" t="s">
        <v>571</v>
      </c>
      <c r="D209" s="720" t="s">
        <v>1457</v>
      </c>
      <c r="E209" s="699" t="s">
        <v>3554</v>
      </c>
      <c r="F209" s="720" t="s">
        <v>3555</v>
      </c>
      <c r="G209" s="699" t="s">
        <v>2382</v>
      </c>
      <c r="H209" s="699" t="s">
        <v>2383</v>
      </c>
      <c r="I209" s="711">
        <v>13.2</v>
      </c>
      <c r="J209" s="711">
        <v>20</v>
      </c>
      <c r="K209" s="712">
        <v>264</v>
      </c>
    </row>
    <row r="210" spans="1:11" ht="14.4" customHeight="1" x14ac:dyDescent="0.3">
      <c r="A210" s="695" t="s">
        <v>556</v>
      </c>
      <c r="B210" s="696" t="s">
        <v>557</v>
      </c>
      <c r="C210" s="699" t="s">
        <v>571</v>
      </c>
      <c r="D210" s="720" t="s">
        <v>1457</v>
      </c>
      <c r="E210" s="699" t="s">
        <v>3554</v>
      </c>
      <c r="F210" s="720" t="s">
        <v>3555</v>
      </c>
      <c r="G210" s="699" t="s">
        <v>2384</v>
      </c>
      <c r="H210" s="699" t="s">
        <v>2385</v>
      </c>
      <c r="I210" s="711">
        <v>13.2</v>
      </c>
      <c r="J210" s="711">
        <v>10</v>
      </c>
      <c r="K210" s="712">
        <v>132</v>
      </c>
    </row>
    <row r="211" spans="1:11" ht="14.4" customHeight="1" x14ac:dyDescent="0.3">
      <c r="A211" s="695" t="s">
        <v>556</v>
      </c>
      <c r="B211" s="696" t="s">
        <v>557</v>
      </c>
      <c r="C211" s="699" t="s">
        <v>571</v>
      </c>
      <c r="D211" s="720" t="s">
        <v>1457</v>
      </c>
      <c r="E211" s="699" t="s">
        <v>3554</v>
      </c>
      <c r="F211" s="720" t="s">
        <v>3555</v>
      </c>
      <c r="G211" s="699" t="s">
        <v>2386</v>
      </c>
      <c r="H211" s="699" t="s">
        <v>2387</v>
      </c>
      <c r="I211" s="711">
        <v>13.2</v>
      </c>
      <c r="J211" s="711">
        <v>20</v>
      </c>
      <c r="K211" s="712">
        <v>264</v>
      </c>
    </row>
    <row r="212" spans="1:11" ht="14.4" customHeight="1" x14ac:dyDescent="0.3">
      <c r="A212" s="695" t="s">
        <v>556</v>
      </c>
      <c r="B212" s="696" t="s">
        <v>557</v>
      </c>
      <c r="C212" s="699" t="s">
        <v>571</v>
      </c>
      <c r="D212" s="720" t="s">
        <v>1457</v>
      </c>
      <c r="E212" s="699" t="s">
        <v>3554</v>
      </c>
      <c r="F212" s="720" t="s">
        <v>3555</v>
      </c>
      <c r="G212" s="699" t="s">
        <v>2388</v>
      </c>
      <c r="H212" s="699" t="s">
        <v>2389</v>
      </c>
      <c r="I212" s="711">
        <v>1.56</v>
      </c>
      <c r="J212" s="711">
        <v>75</v>
      </c>
      <c r="K212" s="712">
        <v>117</v>
      </c>
    </row>
    <row r="213" spans="1:11" ht="14.4" customHeight="1" x14ac:dyDescent="0.3">
      <c r="A213" s="695" t="s">
        <v>556</v>
      </c>
      <c r="B213" s="696" t="s">
        <v>557</v>
      </c>
      <c r="C213" s="699" t="s">
        <v>571</v>
      </c>
      <c r="D213" s="720" t="s">
        <v>1457</v>
      </c>
      <c r="E213" s="699" t="s">
        <v>3554</v>
      </c>
      <c r="F213" s="720" t="s">
        <v>3555</v>
      </c>
      <c r="G213" s="699" t="s">
        <v>2552</v>
      </c>
      <c r="H213" s="699" t="s">
        <v>2553</v>
      </c>
      <c r="I213" s="711">
        <v>21.24</v>
      </c>
      <c r="J213" s="711">
        <v>50</v>
      </c>
      <c r="K213" s="712">
        <v>1062</v>
      </c>
    </row>
    <row r="214" spans="1:11" ht="14.4" customHeight="1" x14ac:dyDescent="0.3">
      <c r="A214" s="695" t="s">
        <v>556</v>
      </c>
      <c r="B214" s="696" t="s">
        <v>557</v>
      </c>
      <c r="C214" s="699" t="s">
        <v>571</v>
      </c>
      <c r="D214" s="720" t="s">
        <v>1457</v>
      </c>
      <c r="E214" s="699" t="s">
        <v>3554</v>
      </c>
      <c r="F214" s="720" t="s">
        <v>3555</v>
      </c>
      <c r="G214" s="699" t="s">
        <v>2554</v>
      </c>
      <c r="H214" s="699" t="s">
        <v>2555</v>
      </c>
      <c r="I214" s="711">
        <v>6.65</v>
      </c>
      <c r="J214" s="711">
        <v>3</v>
      </c>
      <c r="K214" s="712">
        <v>19.95</v>
      </c>
    </row>
    <row r="215" spans="1:11" ht="14.4" customHeight="1" x14ac:dyDescent="0.3">
      <c r="A215" s="695" t="s">
        <v>556</v>
      </c>
      <c r="B215" s="696" t="s">
        <v>557</v>
      </c>
      <c r="C215" s="699" t="s">
        <v>571</v>
      </c>
      <c r="D215" s="720" t="s">
        <v>1457</v>
      </c>
      <c r="E215" s="699" t="s">
        <v>3554</v>
      </c>
      <c r="F215" s="720" t="s">
        <v>3555</v>
      </c>
      <c r="G215" s="699" t="s">
        <v>2556</v>
      </c>
      <c r="H215" s="699" t="s">
        <v>2557</v>
      </c>
      <c r="I215" s="711">
        <v>6.66</v>
      </c>
      <c r="J215" s="711">
        <v>2</v>
      </c>
      <c r="K215" s="712">
        <v>13.32</v>
      </c>
    </row>
    <row r="216" spans="1:11" ht="14.4" customHeight="1" x14ac:dyDescent="0.3">
      <c r="A216" s="695" t="s">
        <v>556</v>
      </c>
      <c r="B216" s="696" t="s">
        <v>557</v>
      </c>
      <c r="C216" s="699" t="s">
        <v>571</v>
      </c>
      <c r="D216" s="720" t="s">
        <v>1457</v>
      </c>
      <c r="E216" s="699" t="s">
        <v>3554</v>
      </c>
      <c r="F216" s="720" t="s">
        <v>3555</v>
      </c>
      <c r="G216" s="699" t="s">
        <v>2558</v>
      </c>
      <c r="H216" s="699" t="s">
        <v>2559</v>
      </c>
      <c r="I216" s="711">
        <v>6.65</v>
      </c>
      <c r="J216" s="711">
        <v>1</v>
      </c>
      <c r="K216" s="712">
        <v>6.65</v>
      </c>
    </row>
    <row r="217" spans="1:11" ht="14.4" customHeight="1" x14ac:dyDescent="0.3">
      <c r="A217" s="695" t="s">
        <v>556</v>
      </c>
      <c r="B217" s="696" t="s">
        <v>557</v>
      </c>
      <c r="C217" s="699" t="s">
        <v>571</v>
      </c>
      <c r="D217" s="720" t="s">
        <v>1457</v>
      </c>
      <c r="E217" s="699" t="s">
        <v>3554</v>
      </c>
      <c r="F217" s="720" t="s">
        <v>3555</v>
      </c>
      <c r="G217" s="699" t="s">
        <v>2560</v>
      </c>
      <c r="H217" s="699" t="s">
        <v>2561</v>
      </c>
      <c r="I217" s="711">
        <v>220.91</v>
      </c>
      <c r="J217" s="711">
        <v>10</v>
      </c>
      <c r="K217" s="712">
        <v>2209.1</v>
      </c>
    </row>
    <row r="218" spans="1:11" ht="14.4" customHeight="1" x14ac:dyDescent="0.3">
      <c r="A218" s="695" t="s">
        <v>556</v>
      </c>
      <c r="B218" s="696" t="s">
        <v>557</v>
      </c>
      <c r="C218" s="699" t="s">
        <v>571</v>
      </c>
      <c r="D218" s="720" t="s">
        <v>1457</v>
      </c>
      <c r="E218" s="699" t="s">
        <v>3554</v>
      </c>
      <c r="F218" s="720" t="s">
        <v>3555</v>
      </c>
      <c r="G218" s="699" t="s">
        <v>2470</v>
      </c>
      <c r="H218" s="699" t="s">
        <v>2471</v>
      </c>
      <c r="I218" s="711">
        <v>0.47</v>
      </c>
      <c r="J218" s="711">
        <v>600</v>
      </c>
      <c r="K218" s="712">
        <v>282</v>
      </c>
    </row>
    <row r="219" spans="1:11" ht="14.4" customHeight="1" x14ac:dyDescent="0.3">
      <c r="A219" s="695" t="s">
        <v>556</v>
      </c>
      <c r="B219" s="696" t="s">
        <v>557</v>
      </c>
      <c r="C219" s="699" t="s">
        <v>571</v>
      </c>
      <c r="D219" s="720" t="s">
        <v>1457</v>
      </c>
      <c r="E219" s="699" t="s">
        <v>3554</v>
      </c>
      <c r="F219" s="720" t="s">
        <v>3555</v>
      </c>
      <c r="G219" s="699" t="s">
        <v>2562</v>
      </c>
      <c r="H219" s="699" t="s">
        <v>2563</v>
      </c>
      <c r="I219" s="711">
        <v>4.03</v>
      </c>
      <c r="J219" s="711">
        <v>150</v>
      </c>
      <c r="K219" s="712">
        <v>604.5</v>
      </c>
    </row>
    <row r="220" spans="1:11" ht="14.4" customHeight="1" x14ac:dyDescent="0.3">
      <c r="A220" s="695" t="s">
        <v>556</v>
      </c>
      <c r="B220" s="696" t="s">
        <v>557</v>
      </c>
      <c r="C220" s="699" t="s">
        <v>571</v>
      </c>
      <c r="D220" s="720" t="s">
        <v>1457</v>
      </c>
      <c r="E220" s="699" t="s">
        <v>3554</v>
      </c>
      <c r="F220" s="720" t="s">
        <v>3555</v>
      </c>
      <c r="G220" s="699" t="s">
        <v>2564</v>
      </c>
      <c r="H220" s="699" t="s">
        <v>2565</v>
      </c>
      <c r="I220" s="711">
        <v>2.605</v>
      </c>
      <c r="J220" s="711">
        <v>300</v>
      </c>
      <c r="K220" s="712">
        <v>782</v>
      </c>
    </row>
    <row r="221" spans="1:11" ht="14.4" customHeight="1" x14ac:dyDescent="0.3">
      <c r="A221" s="695" t="s">
        <v>556</v>
      </c>
      <c r="B221" s="696" t="s">
        <v>557</v>
      </c>
      <c r="C221" s="699" t="s">
        <v>571</v>
      </c>
      <c r="D221" s="720" t="s">
        <v>1457</v>
      </c>
      <c r="E221" s="699" t="s">
        <v>3554</v>
      </c>
      <c r="F221" s="720" t="s">
        <v>3555</v>
      </c>
      <c r="G221" s="699" t="s">
        <v>2566</v>
      </c>
      <c r="H221" s="699" t="s">
        <v>2567</v>
      </c>
      <c r="I221" s="711">
        <v>2.6</v>
      </c>
      <c r="J221" s="711">
        <v>50</v>
      </c>
      <c r="K221" s="712">
        <v>130</v>
      </c>
    </row>
    <row r="222" spans="1:11" ht="14.4" customHeight="1" x14ac:dyDescent="0.3">
      <c r="A222" s="695" t="s">
        <v>556</v>
      </c>
      <c r="B222" s="696" t="s">
        <v>557</v>
      </c>
      <c r="C222" s="699" t="s">
        <v>571</v>
      </c>
      <c r="D222" s="720" t="s">
        <v>1457</v>
      </c>
      <c r="E222" s="699" t="s">
        <v>3554</v>
      </c>
      <c r="F222" s="720" t="s">
        <v>3555</v>
      </c>
      <c r="G222" s="699" t="s">
        <v>2568</v>
      </c>
      <c r="H222" s="699" t="s">
        <v>2569</v>
      </c>
      <c r="I222" s="711">
        <v>8.3800000000000008</v>
      </c>
      <c r="J222" s="711">
        <v>10</v>
      </c>
      <c r="K222" s="712">
        <v>83.8</v>
      </c>
    </row>
    <row r="223" spans="1:11" ht="14.4" customHeight="1" x14ac:dyDescent="0.3">
      <c r="A223" s="695" t="s">
        <v>556</v>
      </c>
      <c r="B223" s="696" t="s">
        <v>557</v>
      </c>
      <c r="C223" s="699" t="s">
        <v>571</v>
      </c>
      <c r="D223" s="720" t="s">
        <v>1457</v>
      </c>
      <c r="E223" s="699" t="s">
        <v>3554</v>
      </c>
      <c r="F223" s="720" t="s">
        <v>3555</v>
      </c>
      <c r="G223" s="699" t="s">
        <v>2396</v>
      </c>
      <c r="H223" s="699" t="s">
        <v>2397</v>
      </c>
      <c r="I223" s="711">
        <v>9.1999999999999993</v>
      </c>
      <c r="J223" s="711">
        <v>250</v>
      </c>
      <c r="K223" s="712">
        <v>2300</v>
      </c>
    </row>
    <row r="224" spans="1:11" ht="14.4" customHeight="1" x14ac:dyDescent="0.3">
      <c r="A224" s="695" t="s">
        <v>556</v>
      </c>
      <c r="B224" s="696" t="s">
        <v>557</v>
      </c>
      <c r="C224" s="699" t="s">
        <v>571</v>
      </c>
      <c r="D224" s="720" t="s">
        <v>1457</v>
      </c>
      <c r="E224" s="699" t="s">
        <v>3554</v>
      </c>
      <c r="F224" s="720" t="s">
        <v>3555</v>
      </c>
      <c r="G224" s="699" t="s">
        <v>2570</v>
      </c>
      <c r="H224" s="699" t="s">
        <v>2571</v>
      </c>
      <c r="I224" s="711">
        <v>12.49</v>
      </c>
      <c r="J224" s="711">
        <v>25</v>
      </c>
      <c r="K224" s="712">
        <v>312.18</v>
      </c>
    </row>
    <row r="225" spans="1:11" ht="14.4" customHeight="1" x14ac:dyDescent="0.3">
      <c r="A225" s="695" t="s">
        <v>556</v>
      </c>
      <c r="B225" s="696" t="s">
        <v>557</v>
      </c>
      <c r="C225" s="699" t="s">
        <v>571</v>
      </c>
      <c r="D225" s="720" t="s">
        <v>1457</v>
      </c>
      <c r="E225" s="699" t="s">
        <v>3554</v>
      </c>
      <c r="F225" s="720" t="s">
        <v>3555</v>
      </c>
      <c r="G225" s="699" t="s">
        <v>2572</v>
      </c>
      <c r="H225" s="699" t="s">
        <v>2573</v>
      </c>
      <c r="I225" s="711">
        <v>36.299999999999997</v>
      </c>
      <c r="J225" s="711">
        <v>70</v>
      </c>
      <c r="K225" s="712">
        <v>2541</v>
      </c>
    </row>
    <row r="226" spans="1:11" ht="14.4" customHeight="1" x14ac:dyDescent="0.3">
      <c r="A226" s="695" t="s">
        <v>556</v>
      </c>
      <c r="B226" s="696" t="s">
        <v>557</v>
      </c>
      <c r="C226" s="699" t="s">
        <v>571</v>
      </c>
      <c r="D226" s="720" t="s">
        <v>1457</v>
      </c>
      <c r="E226" s="699" t="s">
        <v>3564</v>
      </c>
      <c r="F226" s="720" t="s">
        <v>3565</v>
      </c>
      <c r="G226" s="699" t="s">
        <v>2574</v>
      </c>
      <c r="H226" s="699" t="s">
        <v>2575</v>
      </c>
      <c r="I226" s="711">
        <v>3.14</v>
      </c>
      <c r="J226" s="711">
        <v>150</v>
      </c>
      <c r="K226" s="712">
        <v>471</v>
      </c>
    </row>
    <row r="227" spans="1:11" ht="14.4" customHeight="1" x14ac:dyDescent="0.3">
      <c r="A227" s="695" t="s">
        <v>556</v>
      </c>
      <c r="B227" s="696" t="s">
        <v>557</v>
      </c>
      <c r="C227" s="699" t="s">
        <v>571</v>
      </c>
      <c r="D227" s="720" t="s">
        <v>1457</v>
      </c>
      <c r="E227" s="699" t="s">
        <v>3566</v>
      </c>
      <c r="F227" s="720" t="s">
        <v>3567</v>
      </c>
      <c r="G227" s="699" t="s">
        <v>2576</v>
      </c>
      <c r="H227" s="699" t="s">
        <v>2577</v>
      </c>
      <c r="I227" s="711">
        <v>267.79000000000002</v>
      </c>
      <c r="J227" s="711">
        <v>10</v>
      </c>
      <c r="K227" s="712">
        <v>2677.9</v>
      </c>
    </row>
    <row r="228" spans="1:11" ht="14.4" customHeight="1" x14ac:dyDescent="0.3">
      <c r="A228" s="695" t="s">
        <v>556</v>
      </c>
      <c r="B228" s="696" t="s">
        <v>557</v>
      </c>
      <c r="C228" s="699" t="s">
        <v>571</v>
      </c>
      <c r="D228" s="720" t="s">
        <v>1457</v>
      </c>
      <c r="E228" s="699" t="s">
        <v>3556</v>
      </c>
      <c r="F228" s="720" t="s">
        <v>3557</v>
      </c>
      <c r="G228" s="699" t="s">
        <v>2400</v>
      </c>
      <c r="H228" s="699" t="s">
        <v>2401</v>
      </c>
      <c r="I228" s="711">
        <v>8.17</v>
      </c>
      <c r="J228" s="711">
        <v>280</v>
      </c>
      <c r="K228" s="712">
        <v>2287.6</v>
      </c>
    </row>
    <row r="229" spans="1:11" ht="14.4" customHeight="1" x14ac:dyDescent="0.3">
      <c r="A229" s="695" t="s">
        <v>556</v>
      </c>
      <c r="B229" s="696" t="s">
        <v>557</v>
      </c>
      <c r="C229" s="699" t="s">
        <v>571</v>
      </c>
      <c r="D229" s="720" t="s">
        <v>1457</v>
      </c>
      <c r="E229" s="699" t="s">
        <v>3556</v>
      </c>
      <c r="F229" s="720" t="s">
        <v>3557</v>
      </c>
      <c r="G229" s="699" t="s">
        <v>2578</v>
      </c>
      <c r="H229" s="699" t="s">
        <v>2579</v>
      </c>
      <c r="I229" s="711">
        <v>7.0266666666666664</v>
      </c>
      <c r="J229" s="711">
        <v>100</v>
      </c>
      <c r="K229" s="712">
        <v>702.5</v>
      </c>
    </row>
    <row r="230" spans="1:11" ht="14.4" customHeight="1" x14ac:dyDescent="0.3">
      <c r="A230" s="695" t="s">
        <v>556</v>
      </c>
      <c r="B230" s="696" t="s">
        <v>557</v>
      </c>
      <c r="C230" s="699" t="s">
        <v>571</v>
      </c>
      <c r="D230" s="720" t="s">
        <v>1457</v>
      </c>
      <c r="E230" s="699" t="s">
        <v>3558</v>
      </c>
      <c r="F230" s="720" t="s">
        <v>3559</v>
      </c>
      <c r="G230" s="699" t="s">
        <v>2402</v>
      </c>
      <c r="H230" s="699" t="s">
        <v>2403</v>
      </c>
      <c r="I230" s="711">
        <v>0.30499999999999999</v>
      </c>
      <c r="J230" s="711">
        <v>800</v>
      </c>
      <c r="K230" s="712">
        <v>245</v>
      </c>
    </row>
    <row r="231" spans="1:11" ht="14.4" customHeight="1" x14ac:dyDescent="0.3">
      <c r="A231" s="695" t="s">
        <v>556</v>
      </c>
      <c r="B231" s="696" t="s">
        <v>557</v>
      </c>
      <c r="C231" s="699" t="s">
        <v>571</v>
      </c>
      <c r="D231" s="720" t="s">
        <v>1457</v>
      </c>
      <c r="E231" s="699" t="s">
        <v>3558</v>
      </c>
      <c r="F231" s="720" t="s">
        <v>3559</v>
      </c>
      <c r="G231" s="699" t="s">
        <v>2580</v>
      </c>
      <c r="H231" s="699" t="s">
        <v>2581</v>
      </c>
      <c r="I231" s="711">
        <v>0.3</v>
      </c>
      <c r="J231" s="711">
        <v>600</v>
      </c>
      <c r="K231" s="712">
        <v>180</v>
      </c>
    </row>
    <row r="232" spans="1:11" ht="14.4" customHeight="1" x14ac:dyDescent="0.3">
      <c r="A232" s="695" t="s">
        <v>556</v>
      </c>
      <c r="B232" s="696" t="s">
        <v>557</v>
      </c>
      <c r="C232" s="699" t="s">
        <v>571</v>
      </c>
      <c r="D232" s="720" t="s">
        <v>1457</v>
      </c>
      <c r="E232" s="699" t="s">
        <v>3558</v>
      </c>
      <c r="F232" s="720" t="s">
        <v>3559</v>
      </c>
      <c r="G232" s="699" t="s">
        <v>2404</v>
      </c>
      <c r="H232" s="699" t="s">
        <v>2405</v>
      </c>
      <c r="I232" s="711">
        <v>0.3</v>
      </c>
      <c r="J232" s="711">
        <v>400</v>
      </c>
      <c r="K232" s="712">
        <v>120</v>
      </c>
    </row>
    <row r="233" spans="1:11" ht="14.4" customHeight="1" x14ac:dyDescent="0.3">
      <c r="A233" s="695" t="s">
        <v>556</v>
      </c>
      <c r="B233" s="696" t="s">
        <v>557</v>
      </c>
      <c r="C233" s="699" t="s">
        <v>571</v>
      </c>
      <c r="D233" s="720" t="s">
        <v>1457</v>
      </c>
      <c r="E233" s="699" t="s">
        <v>3558</v>
      </c>
      <c r="F233" s="720" t="s">
        <v>3559</v>
      </c>
      <c r="G233" s="699" t="s">
        <v>2408</v>
      </c>
      <c r="H233" s="699" t="s">
        <v>2409</v>
      </c>
      <c r="I233" s="711">
        <v>0.30333333333333329</v>
      </c>
      <c r="J233" s="711">
        <v>1700</v>
      </c>
      <c r="K233" s="712">
        <v>516</v>
      </c>
    </row>
    <row r="234" spans="1:11" ht="14.4" customHeight="1" x14ac:dyDescent="0.3">
      <c r="A234" s="695" t="s">
        <v>556</v>
      </c>
      <c r="B234" s="696" t="s">
        <v>557</v>
      </c>
      <c r="C234" s="699" t="s">
        <v>571</v>
      </c>
      <c r="D234" s="720" t="s">
        <v>1457</v>
      </c>
      <c r="E234" s="699" t="s">
        <v>3558</v>
      </c>
      <c r="F234" s="720" t="s">
        <v>3559</v>
      </c>
      <c r="G234" s="699" t="s">
        <v>2582</v>
      </c>
      <c r="H234" s="699" t="s">
        <v>2583</v>
      </c>
      <c r="I234" s="711">
        <v>1.7566666666666666</v>
      </c>
      <c r="J234" s="711">
        <v>300</v>
      </c>
      <c r="K234" s="712">
        <v>527</v>
      </c>
    </row>
    <row r="235" spans="1:11" ht="14.4" customHeight="1" x14ac:dyDescent="0.3">
      <c r="A235" s="695" t="s">
        <v>556</v>
      </c>
      <c r="B235" s="696" t="s">
        <v>557</v>
      </c>
      <c r="C235" s="699" t="s">
        <v>571</v>
      </c>
      <c r="D235" s="720" t="s">
        <v>1457</v>
      </c>
      <c r="E235" s="699" t="s">
        <v>3560</v>
      </c>
      <c r="F235" s="720" t="s">
        <v>3561</v>
      </c>
      <c r="G235" s="699" t="s">
        <v>2490</v>
      </c>
      <c r="H235" s="699" t="s">
        <v>2491</v>
      </c>
      <c r="I235" s="711">
        <v>0.77</v>
      </c>
      <c r="J235" s="711">
        <v>1600</v>
      </c>
      <c r="K235" s="712">
        <v>1235</v>
      </c>
    </row>
    <row r="236" spans="1:11" ht="14.4" customHeight="1" x14ac:dyDescent="0.3">
      <c r="A236" s="695" t="s">
        <v>556</v>
      </c>
      <c r="B236" s="696" t="s">
        <v>557</v>
      </c>
      <c r="C236" s="699" t="s">
        <v>571</v>
      </c>
      <c r="D236" s="720" t="s">
        <v>1457</v>
      </c>
      <c r="E236" s="699" t="s">
        <v>3560</v>
      </c>
      <c r="F236" s="720" t="s">
        <v>3561</v>
      </c>
      <c r="G236" s="699" t="s">
        <v>2410</v>
      </c>
      <c r="H236" s="699" t="s">
        <v>2411</v>
      </c>
      <c r="I236" s="711">
        <v>0.77249999999999996</v>
      </c>
      <c r="J236" s="711">
        <v>6500</v>
      </c>
      <c r="K236" s="712">
        <v>5030</v>
      </c>
    </row>
    <row r="237" spans="1:11" ht="14.4" customHeight="1" x14ac:dyDescent="0.3">
      <c r="A237" s="695" t="s">
        <v>556</v>
      </c>
      <c r="B237" s="696" t="s">
        <v>557</v>
      </c>
      <c r="C237" s="699" t="s">
        <v>571</v>
      </c>
      <c r="D237" s="720" t="s">
        <v>1457</v>
      </c>
      <c r="E237" s="699" t="s">
        <v>3568</v>
      </c>
      <c r="F237" s="720" t="s">
        <v>3569</v>
      </c>
      <c r="G237" s="699" t="s">
        <v>2584</v>
      </c>
      <c r="H237" s="699" t="s">
        <v>2585</v>
      </c>
      <c r="I237" s="711">
        <v>139.44</v>
      </c>
      <c r="J237" s="711">
        <v>2</v>
      </c>
      <c r="K237" s="712">
        <v>278.88</v>
      </c>
    </row>
    <row r="238" spans="1:11" ht="14.4" customHeight="1" x14ac:dyDescent="0.3">
      <c r="A238" s="695" t="s">
        <v>556</v>
      </c>
      <c r="B238" s="696" t="s">
        <v>557</v>
      </c>
      <c r="C238" s="699" t="s">
        <v>571</v>
      </c>
      <c r="D238" s="720" t="s">
        <v>1457</v>
      </c>
      <c r="E238" s="699" t="s">
        <v>3568</v>
      </c>
      <c r="F238" s="720" t="s">
        <v>3569</v>
      </c>
      <c r="G238" s="699" t="s">
        <v>2586</v>
      </c>
      <c r="H238" s="699" t="s">
        <v>2587</v>
      </c>
      <c r="I238" s="711">
        <v>139.44</v>
      </c>
      <c r="J238" s="711">
        <v>2</v>
      </c>
      <c r="K238" s="712">
        <v>278.88</v>
      </c>
    </row>
    <row r="239" spans="1:11" ht="14.4" customHeight="1" x14ac:dyDescent="0.3">
      <c r="A239" s="695" t="s">
        <v>556</v>
      </c>
      <c r="B239" s="696" t="s">
        <v>557</v>
      </c>
      <c r="C239" s="699" t="s">
        <v>571</v>
      </c>
      <c r="D239" s="720" t="s">
        <v>1457</v>
      </c>
      <c r="E239" s="699" t="s">
        <v>3568</v>
      </c>
      <c r="F239" s="720" t="s">
        <v>3569</v>
      </c>
      <c r="G239" s="699" t="s">
        <v>2588</v>
      </c>
      <c r="H239" s="699" t="s">
        <v>2589</v>
      </c>
      <c r="I239" s="711">
        <v>152.46</v>
      </c>
      <c r="J239" s="711">
        <v>3</v>
      </c>
      <c r="K239" s="712">
        <v>457.38</v>
      </c>
    </row>
    <row r="240" spans="1:11" ht="14.4" customHeight="1" x14ac:dyDescent="0.3">
      <c r="A240" s="695" t="s">
        <v>556</v>
      </c>
      <c r="B240" s="696" t="s">
        <v>557</v>
      </c>
      <c r="C240" s="699" t="s">
        <v>574</v>
      </c>
      <c r="D240" s="720" t="s">
        <v>3570</v>
      </c>
      <c r="E240" s="699" t="s">
        <v>3552</v>
      </c>
      <c r="F240" s="720" t="s">
        <v>3553</v>
      </c>
      <c r="G240" s="699" t="s">
        <v>2590</v>
      </c>
      <c r="H240" s="699" t="s">
        <v>2591</v>
      </c>
      <c r="I240" s="711">
        <v>2.62</v>
      </c>
      <c r="J240" s="711">
        <v>100</v>
      </c>
      <c r="K240" s="712">
        <v>262.2</v>
      </c>
    </row>
    <row r="241" spans="1:11" ht="14.4" customHeight="1" x14ac:dyDescent="0.3">
      <c r="A241" s="695" t="s">
        <v>556</v>
      </c>
      <c r="B241" s="696" t="s">
        <v>557</v>
      </c>
      <c r="C241" s="699" t="s">
        <v>574</v>
      </c>
      <c r="D241" s="720" t="s">
        <v>3570</v>
      </c>
      <c r="E241" s="699" t="s">
        <v>3554</v>
      </c>
      <c r="F241" s="720" t="s">
        <v>3555</v>
      </c>
      <c r="G241" s="699" t="s">
        <v>2592</v>
      </c>
      <c r="H241" s="699" t="s">
        <v>2593</v>
      </c>
      <c r="I241" s="711">
        <v>1719.25</v>
      </c>
      <c r="J241" s="711">
        <v>4</v>
      </c>
      <c r="K241" s="712">
        <v>6877</v>
      </c>
    </row>
    <row r="242" spans="1:11" ht="14.4" customHeight="1" x14ac:dyDescent="0.3">
      <c r="A242" s="695" t="s">
        <v>556</v>
      </c>
      <c r="B242" s="696" t="s">
        <v>557</v>
      </c>
      <c r="C242" s="699" t="s">
        <v>574</v>
      </c>
      <c r="D242" s="720" t="s">
        <v>3570</v>
      </c>
      <c r="E242" s="699" t="s">
        <v>3554</v>
      </c>
      <c r="F242" s="720" t="s">
        <v>3555</v>
      </c>
      <c r="G242" s="699" t="s">
        <v>2594</v>
      </c>
      <c r="H242" s="699" t="s">
        <v>2595</v>
      </c>
      <c r="I242" s="711">
        <v>1063.5999999999999</v>
      </c>
      <c r="J242" s="711">
        <v>2</v>
      </c>
      <c r="K242" s="712">
        <v>2127.1999999999998</v>
      </c>
    </row>
    <row r="243" spans="1:11" ht="14.4" customHeight="1" x14ac:dyDescent="0.3">
      <c r="A243" s="695" t="s">
        <v>556</v>
      </c>
      <c r="B243" s="696" t="s">
        <v>557</v>
      </c>
      <c r="C243" s="699" t="s">
        <v>574</v>
      </c>
      <c r="D243" s="720" t="s">
        <v>3570</v>
      </c>
      <c r="E243" s="699" t="s">
        <v>3554</v>
      </c>
      <c r="F243" s="720" t="s">
        <v>3555</v>
      </c>
      <c r="G243" s="699" t="s">
        <v>2596</v>
      </c>
      <c r="H243" s="699" t="s">
        <v>2597</v>
      </c>
      <c r="I243" s="711">
        <v>344.44</v>
      </c>
      <c r="J243" s="711">
        <v>10</v>
      </c>
      <c r="K243" s="712">
        <v>3444.4</v>
      </c>
    </row>
    <row r="244" spans="1:11" ht="14.4" customHeight="1" x14ac:dyDescent="0.3">
      <c r="A244" s="695" t="s">
        <v>556</v>
      </c>
      <c r="B244" s="696" t="s">
        <v>557</v>
      </c>
      <c r="C244" s="699" t="s">
        <v>574</v>
      </c>
      <c r="D244" s="720" t="s">
        <v>3570</v>
      </c>
      <c r="E244" s="699" t="s">
        <v>3554</v>
      </c>
      <c r="F244" s="720" t="s">
        <v>3555</v>
      </c>
      <c r="G244" s="699" t="s">
        <v>2598</v>
      </c>
      <c r="H244" s="699" t="s">
        <v>2599</v>
      </c>
      <c r="I244" s="711">
        <v>1964.9925000000001</v>
      </c>
      <c r="J244" s="711">
        <v>4</v>
      </c>
      <c r="K244" s="712">
        <v>7859.97</v>
      </c>
    </row>
    <row r="245" spans="1:11" ht="14.4" customHeight="1" x14ac:dyDescent="0.3">
      <c r="A245" s="695" t="s">
        <v>556</v>
      </c>
      <c r="B245" s="696" t="s">
        <v>557</v>
      </c>
      <c r="C245" s="699" t="s">
        <v>574</v>
      </c>
      <c r="D245" s="720" t="s">
        <v>3570</v>
      </c>
      <c r="E245" s="699" t="s">
        <v>3554</v>
      </c>
      <c r="F245" s="720" t="s">
        <v>3555</v>
      </c>
      <c r="G245" s="699" t="s">
        <v>2600</v>
      </c>
      <c r="H245" s="699" t="s">
        <v>2601</v>
      </c>
      <c r="I245" s="711">
        <v>595.08000000000004</v>
      </c>
      <c r="J245" s="711">
        <v>5</v>
      </c>
      <c r="K245" s="712">
        <v>2975.4</v>
      </c>
    </row>
    <row r="246" spans="1:11" ht="14.4" customHeight="1" x14ac:dyDescent="0.3">
      <c r="A246" s="695" t="s">
        <v>556</v>
      </c>
      <c r="B246" s="696" t="s">
        <v>557</v>
      </c>
      <c r="C246" s="699" t="s">
        <v>574</v>
      </c>
      <c r="D246" s="720" t="s">
        <v>3570</v>
      </c>
      <c r="E246" s="699" t="s">
        <v>3554</v>
      </c>
      <c r="F246" s="720" t="s">
        <v>3555</v>
      </c>
      <c r="G246" s="699" t="s">
        <v>2602</v>
      </c>
      <c r="H246" s="699" t="s">
        <v>2603</v>
      </c>
      <c r="I246" s="711">
        <v>9196</v>
      </c>
      <c r="J246" s="711">
        <v>7</v>
      </c>
      <c r="K246" s="712">
        <v>64372</v>
      </c>
    </row>
    <row r="247" spans="1:11" ht="14.4" customHeight="1" x14ac:dyDescent="0.3">
      <c r="A247" s="695" t="s">
        <v>556</v>
      </c>
      <c r="B247" s="696" t="s">
        <v>557</v>
      </c>
      <c r="C247" s="699" t="s">
        <v>574</v>
      </c>
      <c r="D247" s="720" t="s">
        <v>3570</v>
      </c>
      <c r="E247" s="699" t="s">
        <v>3554</v>
      </c>
      <c r="F247" s="720" t="s">
        <v>3555</v>
      </c>
      <c r="G247" s="699" t="s">
        <v>2604</v>
      </c>
      <c r="H247" s="699" t="s">
        <v>2605</v>
      </c>
      <c r="I247" s="711">
        <v>128.82</v>
      </c>
      <c r="J247" s="711">
        <v>1</v>
      </c>
      <c r="K247" s="712">
        <v>128.82</v>
      </c>
    </row>
    <row r="248" spans="1:11" ht="14.4" customHeight="1" x14ac:dyDescent="0.3">
      <c r="A248" s="695" t="s">
        <v>556</v>
      </c>
      <c r="B248" s="696" t="s">
        <v>557</v>
      </c>
      <c r="C248" s="699" t="s">
        <v>574</v>
      </c>
      <c r="D248" s="720" t="s">
        <v>3570</v>
      </c>
      <c r="E248" s="699" t="s">
        <v>3554</v>
      </c>
      <c r="F248" s="720" t="s">
        <v>3555</v>
      </c>
      <c r="G248" s="699" t="s">
        <v>2606</v>
      </c>
      <c r="H248" s="699" t="s">
        <v>2607</v>
      </c>
      <c r="I248" s="711">
        <v>2197.36</v>
      </c>
      <c r="J248" s="711">
        <v>1</v>
      </c>
      <c r="K248" s="712">
        <v>2197.36</v>
      </c>
    </row>
    <row r="249" spans="1:11" ht="14.4" customHeight="1" x14ac:dyDescent="0.3">
      <c r="A249" s="695" t="s">
        <v>556</v>
      </c>
      <c r="B249" s="696" t="s">
        <v>557</v>
      </c>
      <c r="C249" s="699" t="s">
        <v>574</v>
      </c>
      <c r="D249" s="720" t="s">
        <v>3570</v>
      </c>
      <c r="E249" s="699" t="s">
        <v>3554</v>
      </c>
      <c r="F249" s="720" t="s">
        <v>3555</v>
      </c>
      <c r="G249" s="699" t="s">
        <v>2608</v>
      </c>
      <c r="H249" s="699" t="s">
        <v>2609</v>
      </c>
      <c r="I249" s="711">
        <v>595.08000000000004</v>
      </c>
      <c r="J249" s="711">
        <v>1</v>
      </c>
      <c r="K249" s="712">
        <v>595.08000000000004</v>
      </c>
    </row>
    <row r="250" spans="1:11" ht="14.4" customHeight="1" x14ac:dyDescent="0.3">
      <c r="A250" s="695" t="s">
        <v>556</v>
      </c>
      <c r="B250" s="696" t="s">
        <v>557</v>
      </c>
      <c r="C250" s="699" t="s">
        <v>574</v>
      </c>
      <c r="D250" s="720" t="s">
        <v>3570</v>
      </c>
      <c r="E250" s="699" t="s">
        <v>3554</v>
      </c>
      <c r="F250" s="720" t="s">
        <v>3555</v>
      </c>
      <c r="G250" s="699" t="s">
        <v>2610</v>
      </c>
      <c r="H250" s="699" t="s">
        <v>2611</v>
      </c>
      <c r="I250" s="711">
        <v>6056</v>
      </c>
      <c r="J250" s="711">
        <v>1</v>
      </c>
      <c r="K250" s="712">
        <v>6056</v>
      </c>
    </row>
    <row r="251" spans="1:11" ht="14.4" customHeight="1" x14ac:dyDescent="0.3">
      <c r="A251" s="695" t="s">
        <v>556</v>
      </c>
      <c r="B251" s="696" t="s">
        <v>557</v>
      </c>
      <c r="C251" s="699" t="s">
        <v>574</v>
      </c>
      <c r="D251" s="720" t="s">
        <v>3570</v>
      </c>
      <c r="E251" s="699" t="s">
        <v>3554</v>
      </c>
      <c r="F251" s="720" t="s">
        <v>3555</v>
      </c>
      <c r="G251" s="699" t="s">
        <v>2612</v>
      </c>
      <c r="H251" s="699" t="s">
        <v>2613</v>
      </c>
      <c r="I251" s="711">
        <v>1928.75</v>
      </c>
      <c r="J251" s="711">
        <v>2</v>
      </c>
      <c r="K251" s="712">
        <v>3857.5</v>
      </c>
    </row>
    <row r="252" spans="1:11" ht="14.4" customHeight="1" x14ac:dyDescent="0.3">
      <c r="A252" s="695" t="s">
        <v>556</v>
      </c>
      <c r="B252" s="696" t="s">
        <v>557</v>
      </c>
      <c r="C252" s="699" t="s">
        <v>574</v>
      </c>
      <c r="D252" s="720" t="s">
        <v>3570</v>
      </c>
      <c r="E252" s="699" t="s">
        <v>3554</v>
      </c>
      <c r="F252" s="720" t="s">
        <v>3555</v>
      </c>
      <c r="G252" s="699" t="s">
        <v>2614</v>
      </c>
      <c r="H252" s="699" t="s">
        <v>2615</v>
      </c>
      <c r="I252" s="711">
        <v>4191.8999999999996</v>
      </c>
      <c r="J252" s="711">
        <v>1</v>
      </c>
      <c r="K252" s="712">
        <v>4191.8999999999996</v>
      </c>
    </row>
    <row r="253" spans="1:11" ht="14.4" customHeight="1" x14ac:dyDescent="0.3">
      <c r="A253" s="695" t="s">
        <v>556</v>
      </c>
      <c r="B253" s="696" t="s">
        <v>557</v>
      </c>
      <c r="C253" s="699" t="s">
        <v>574</v>
      </c>
      <c r="D253" s="720" t="s">
        <v>3570</v>
      </c>
      <c r="E253" s="699" t="s">
        <v>3554</v>
      </c>
      <c r="F253" s="720" t="s">
        <v>3555</v>
      </c>
      <c r="G253" s="699" t="s">
        <v>2616</v>
      </c>
      <c r="H253" s="699" t="s">
        <v>2617</v>
      </c>
      <c r="I253" s="711">
        <v>4445.8999999999996</v>
      </c>
      <c r="J253" s="711">
        <v>6</v>
      </c>
      <c r="K253" s="712">
        <v>26675.4</v>
      </c>
    </row>
    <row r="254" spans="1:11" ht="14.4" customHeight="1" x14ac:dyDescent="0.3">
      <c r="A254" s="695" t="s">
        <v>556</v>
      </c>
      <c r="B254" s="696" t="s">
        <v>557</v>
      </c>
      <c r="C254" s="699" t="s">
        <v>574</v>
      </c>
      <c r="D254" s="720" t="s">
        <v>3570</v>
      </c>
      <c r="E254" s="699" t="s">
        <v>3554</v>
      </c>
      <c r="F254" s="720" t="s">
        <v>3555</v>
      </c>
      <c r="G254" s="699" t="s">
        <v>2618</v>
      </c>
      <c r="H254" s="699" t="s">
        <v>2619</v>
      </c>
      <c r="I254" s="711">
        <v>101.64</v>
      </c>
      <c r="J254" s="711">
        <v>10</v>
      </c>
      <c r="K254" s="712">
        <v>1016.4</v>
      </c>
    </row>
    <row r="255" spans="1:11" ht="14.4" customHeight="1" x14ac:dyDescent="0.3">
      <c r="A255" s="695" t="s">
        <v>556</v>
      </c>
      <c r="B255" s="696" t="s">
        <v>557</v>
      </c>
      <c r="C255" s="699" t="s">
        <v>574</v>
      </c>
      <c r="D255" s="720" t="s">
        <v>3570</v>
      </c>
      <c r="E255" s="699" t="s">
        <v>3554</v>
      </c>
      <c r="F255" s="720" t="s">
        <v>3555</v>
      </c>
      <c r="G255" s="699" t="s">
        <v>2620</v>
      </c>
      <c r="H255" s="699" t="s">
        <v>2621</v>
      </c>
      <c r="I255" s="711">
        <v>874.39</v>
      </c>
      <c r="J255" s="711">
        <v>2</v>
      </c>
      <c r="K255" s="712">
        <v>1748.78</v>
      </c>
    </row>
    <row r="256" spans="1:11" ht="14.4" customHeight="1" x14ac:dyDescent="0.3">
      <c r="A256" s="695" t="s">
        <v>556</v>
      </c>
      <c r="B256" s="696" t="s">
        <v>557</v>
      </c>
      <c r="C256" s="699" t="s">
        <v>574</v>
      </c>
      <c r="D256" s="720" t="s">
        <v>3570</v>
      </c>
      <c r="E256" s="699" t="s">
        <v>3554</v>
      </c>
      <c r="F256" s="720" t="s">
        <v>3555</v>
      </c>
      <c r="G256" s="699" t="s">
        <v>2622</v>
      </c>
      <c r="H256" s="699" t="s">
        <v>2623</v>
      </c>
      <c r="I256" s="711">
        <v>273.81</v>
      </c>
      <c r="J256" s="711">
        <v>10</v>
      </c>
      <c r="K256" s="712">
        <v>2738.08</v>
      </c>
    </row>
    <row r="257" spans="1:11" ht="14.4" customHeight="1" x14ac:dyDescent="0.3">
      <c r="A257" s="695" t="s">
        <v>556</v>
      </c>
      <c r="B257" s="696" t="s">
        <v>557</v>
      </c>
      <c r="C257" s="699" t="s">
        <v>574</v>
      </c>
      <c r="D257" s="720" t="s">
        <v>3570</v>
      </c>
      <c r="E257" s="699" t="s">
        <v>3554</v>
      </c>
      <c r="F257" s="720" t="s">
        <v>3555</v>
      </c>
      <c r="G257" s="699" t="s">
        <v>2624</v>
      </c>
      <c r="H257" s="699" t="s">
        <v>2625</v>
      </c>
      <c r="I257" s="711">
        <v>2197.38</v>
      </c>
      <c r="J257" s="711">
        <v>2</v>
      </c>
      <c r="K257" s="712">
        <v>4394.76</v>
      </c>
    </row>
    <row r="258" spans="1:11" ht="14.4" customHeight="1" x14ac:dyDescent="0.3">
      <c r="A258" s="695" t="s">
        <v>556</v>
      </c>
      <c r="B258" s="696" t="s">
        <v>557</v>
      </c>
      <c r="C258" s="699" t="s">
        <v>574</v>
      </c>
      <c r="D258" s="720" t="s">
        <v>3570</v>
      </c>
      <c r="E258" s="699" t="s">
        <v>3554</v>
      </c>
      <c r="F258" s="720" t="s">
        <v>3555</v>
      </c>
      <c r="G258" s="699" t="s">
        <v>2626</v>
      </c>
      <c r="H258" s="699" t="s">
        <v>2627</v>
      </c>
      <c r="I258" s="711">
        <v>861.52</v>
      </c>
      <c r="J258" s="711">
        <v>1</v>
      </c>
      <c r="K258" s="712">
        <v>861.52</v>
      </c>
    </row>
    <row r="259" spans="1:11" ht="14.4" customHeight="1" x14ac:dyDescent="0.3">
      <c r="A259" s="695" t="s">
        <v>556</v>
      </c>
      <c r="B259" s="696" t="s">
        <v>557</v>
      </c>
      <c r="C259" s="699" t="s">
        <v>574</v>
      </c>
      <c r="D259" s="720" t="s">
        <v>3570</v>
      </c>
      <c r="E259" s="699" t="s">
        <v>3554</v>
      </c>
      <c r="F259" s="720" t="s">
        <v>3555</v>
      </c>
      <c r="G259" s="699" t="s">
        <v>2628</v>
      </c>
      <c r="H259" s="699" t="s">
        <v>2629</v>
      </c>
      <c r="I259" s="711">
        <v>3760.5</v>
      </c>
      <c r="J259" s="711">
        <v>5</v>
      </c>
      <c r="K259" s="712">
        <v>18802.5</v>
      </c>
    </row>
    <row r="260" spans="1:11" ht="14.4" customHeight="1" x14ac:dyDescent="0.3">
      <c r="A260" s="695" t="s">
        <v>556</v>
      </c>
      <c r="B260" s="696" t="s">
        <v>557</v>
      </c>
      <c r="C260" s="699" t="s">
        <v>574</v>
      </c>
      <c r="D260" s="720" t="s">
        <v>3570</v>
      </c>
      <c r="E260" s="699" t="s">
        <v>3554</v>
      </c>
      <c r="F260" s="720" t="s">
        <v>3555</v>
      </c>
      <c r="G260" s="699" t="s">
        <v>2630</v>
      </c>
      <c r="H260" s="699" t="s">
        <v>2631</v>
      </c>
      <c r="I260" s="711">
        <v>1691.58</v>
      </c>
      <c r="J260" s="711">
        <v>1</v>
      </c>
      <c r="K260" s="712">
        <v>1691.58</v>
      </c>
    </row>
    <row r="261" spans="1:11" ht="14.4" customHeight="1" x14ac:dyDescent="0.3">
      <c r="A261" s="695" t="s">
        <v>556</v>
      </c>
      <c r="B261" s="696" t="s">
        <v>557</v>
      </c>
      <c r="C261" s="699" t="s">
        <v>574</v>
      </c>
      <c r="D261" s="720" t="s">
        <v>3570</v>
      </c>
      <c r="E261" s="699" t="s">
        <v>3554</v>
      </c>
      <c r="F261" s="720" t="s">
        <v>3555</v>
      </c>
      <c r="G261" s="699" t="s">
        <v>2632</v>
      </c>
      <c r="H261" s="699" t="s">
        <v>2633</v>
      </c>
      <c r="I261" s="711">
        <v>7096.7</v>
      </c>
      <c r="J261" s="711">
        <v>1</v>
      </c>
      <c r="K261" s="712">
        <v>7096.7</v>
      </c>
    </row>
    <row r="262" spans="1:11" ht="14.4" customHeight="1" x14ac:dyDescent="0.3">
      <c r="A262" s="695" t="s">
        <v>556</v>
      </c>
      <c r="B262" s="696" t="s">
        <v>557</v>
      </c>
      <c r="C262" s="699" t="s">
        <v>574</v>
      </c>
      <c r="D262" s="720" t="s">
        <v>3570</v>
      </c>
      <c r="E262" s="699" t="s">
        <v>3554</v>
      </c>
      <c r="F262" s="720" t="s">
        <v>3555</v>
      </c>
      <c r="G262" s="699" t="s">
        <v>2634</v>
      </c>
      <c r="H262" s="699" t="s">
        <v>2635</v>
      </c>
      <c r="I262" s="711">
        <v>1043</v>
      </c>
      <c r="J262" s="711">
        <v>1</v>
      </c>
      <c r="K262" s="712">
        <v>1043</v>
      </c>
    </row>
    <row r="263" spans="1:11" ht="14.4" customHeight="1" x14ac:dyDescent="0.3">
      <c r="A263" s="695" t="s">
        <v>556</v>
      </c>
      <c r="B263" s="696" t="s">
        <v>557</v>
      </c>
      <c r="C263" s="699" t="s">
        <v>574</v>
      </c>
      <c r="D263" s="720" t="s">
        <v>3570</v>
      </c>
      <c r="E263" s="699" t="s">
        <v>3554</v>
      </c>
      <c r="F263" s="720" t="s">
        <v>3555</v>
      </c>
      <c r="G263" s="699" t="s">
        <v>2636</v>
      </c>
      <c r="H263" s="699" t="s">
        <v>2637</v>
      </c>
      <c r="I263" s="711">
        <v>532.4</v>
      </c>
      <c r="J263" s="711">
        <v>2</v>
      </c>
      <c r="K263" s="712">
        <v>1064.8</v>
      </c>
    </row>
    <row r="264" spans="1:11" ht="14.4" customHeight="1" x14ac:dyDescent="0.3">
      <c r="A264" s="695" t="s">
        <v>556</v>
      </c>
      <c r="B264" s="696" t="s">
        <v>557</v>
      </c>
      <c r="C264" s="699" t="s">
        <v>574</v>
      </c>
      <c r="D264" s="720" t="s">
        <v>3570</v>
      </c>
      <c r="E264" s="699" t="s">
        <v>3554</v>
      </c>
      <c r="F264" s="720" t="s">
        <v>3555</v>
      </c>
      <c r="G264" s="699" t="s">
        <v>2638</v>
      </c>
      <c r="H264" s="699" t="s">
        <v>2639</v>
      </c>
      <c r="I264" s="711">
        <v>2424.8000000000002</v>
      </c>
      <c r="J264" s="711">
        <v>1</v>
      </c>
      <c r="K264" s="712">
        <v>2424.8000000000002</v>
      </c>
    </row>
    <row r="265" spans="1:11" ht="14.4" customHeight="1" x14ac:dyDescent="0.3">
      <c r="A265" s="695" t="s">
        <v>556</v>
      </c>
      <c r="B265" s="696" t="s">
        <v>557</v>
      </c>
      <c r="C265" s="699" t="s">
        <v>574</v>
      </c>
      <c r="D265" s="720" t="s">
        <v>3570</v>
      </c>
      <c r="E265" s="699" t="s">
        <v>3554</v>
      </c>
      <c r="F265" s="720" t="s">
        <v>3555</v>
      </c>
      <c r="G265" s="699" t="s">
        <v>2640</v>
      </c>
      <c r="H265" s="699" t="s">
        <v>2641</v>
      </c>
      <c r="I265" s="711">
        <v>9801</v>
      </c>
      <c r="J265" s="711">
        <v>1</v>
      </c>
      <c r="K265" s="712">
        <v>9801</v>
      </c>
    </row>
    <row r="266" spans="1:11" ht="14.4" customHeight="1" x14ac:dyDescent="0.3">
      <c r="A266" s="695" t="s">
        <v>556</v>
      </c>
      <c r="B266" s="696" t="s">
        <v>557</v>
      </c>
      <c r="C266" s="699" t="s">
        <v>574</v>
      </c>
      <c r="D266" s="720" t="s">
        <v>3570</v>
      </c>
      <c r="E266" s="699" t="s">
        <v>3554</v>
      </c>
      <c r="F266" s="720" t="s">
        <v>3555</v>
      </c>
      <c r="G266" s="699" t="s">
        <v>2642</v>
      </c>
      <c r="H266" s="699" t="s">
        <v>2643</v>
      </c>
      <c r="I266" s="711">
        <v>8591</v>
      </c>
      <c r="J266" s="711">
        <v>1</v>
      </c>
      <c r="K266" s="712">
        <v>8591</v>
      </c>
    </row>
    <row r="267" spans="1:11" ht="14.4" customHeight="1" x14ac:dyDescent="0.3">
      <c r="A267" s="695" t="s">
        <v>556</v>
      </c>
      <c r="B267" s="696" t="s">
        <v>557</v>
      </c>
      <c r="C267" s="699" t="s">
        <v>574</v>
      </c>
      <c r="D267" s="720" t="s">
        <v>3570</v>
      </c>
      <c r="E267" s="699" t="s">
        <v>3554</v>
      </c>
      <c r="F267" s="720" t="s">
        <v>3555</v>
      </c>
      <c r="G267" s="699" t="s">
        <v>2644</v>
      </c>
      <c r="H267" s="699" t="s">
        <v>2645</v>
      </c>
      <c r="I267" s="711">
        <v>9250.7000000000007</v>
      </c>
      <c r="J267" s="711">
        <v>1</v>
      </c>
      <c r="K267" s="712">
        <v>9250.7000000000007</v>
      </c>
    </row>
    <row r="268" spans="1:11" ht="14.4" customHeight="1" x14ac:dyDescent="0.3">
      <c r="A268" s="695" t="s">
        <v>556</v>
      </c>
      <c r="B268" s="696" t="s">
        <v>557</v>
      </c>
      <c r="C268" s="699" t="s">
        <v>574</v>
      </c>
      <c r="D268" s="720" t="s">
        <v>3570</v>
      </c>
      <c r="E268" s="699" t="s">
        <v>3554</v>
      </c>
      <c r="F268" s="720" t="s">
        <v>3555</v>
      </c>
      <c r="G268" s="699" t="s">
        <v>2646</v>
      </c>
      <c r="H268" s="699" t="s">
        <v>2647</v>
      </c>
      <c r="I268" s="711">
        <v>4235</v>
      </c>
      <c r="J268" s="711">
        <v>1</v>
      </c>
      <c r="K268" s="712">
        <v>4235</v>
      </c>
    </row>
    <row r="269" spans="1:11" ht="14.4" customHeight="1" x14ac:dyDescent="0.3">
      <c r="A269" s="695" t="s">
        <v>556</v>
      </c>
      <c r="B269" s="696" t="s">
        <v>557</v>
      </c>
      <c r="C269" s="699" t="s">
        <v>574</v>
      </c>
      <c r="D269" s="720" t="s">
        <v>3570</v>
      </c>
      <c r="E269" s="699" t="s">
        <v>3571</v>
      </c>
      <c r="F269" s="720" t="s">
        <v>3572</v>
      </c>
      <c r="G269" s="699" t="s">
        <v>2648</v>
      </c>
      <c r="H269" s="699" t="s">
        <v>2649</v>
      </c>
      <c r="I269" s="711">
        <v>4734.42</v>
      </c>
      <c r="J269" s="711">
        <v>1</v>
      </c>
      <c r="K269" s="712">
        <v>4734.42</v>
      </c>
    </row>
    <row r="270" spans="1:11" ht="14.4" customHeight="1" x14ac:dyDescent="0.3">
      <c r="A270" s="695" t="s">
        <v>556</v>
      </c>
      <c r="B270" s="696" t="s">
        <v>557</v>
      </c>
      <c r="C270" s="699" t="s">
        <v>574</v>
      </c>
      <c r="D270" s="720" t="s">
        <v>3570</v>
      </c>
      <c r="E270" s="699" t="s">
        <v>3571</v>
      </c>
      <c r="F270" s="720" t="s">
        <v>3572</v>
      </c>
      <c r="G270" s="699" t="s">
        <v>2650</v>
      </c>
      <c r="H270" s="699" t="s">
        <v>2651</v>
      </c>
      <c r="I270" s="711">
        <v>1274.52</v>
      </c>
      <c r="J270" s="711">
        <v>4</v>
      </c>
      <c r="K270" s="712">
        <v>5098.09</v>
      </c>
    </row>
    <row r="271" spans="1:11" ht="14.4" customHeight="1" x14ac:dyDescent="0.3">
      <c r="A271" s="695" t="s">
        <v>556</v>
      </c>
      <c r="B271" s="696" t="s">
        <v>557</v>
      </c>
      <c r="C271" s="699" t="s">
        <v>574</v>
      </c>
      <c r="D271" s="720" t="s">
        <v>3570</v>
      </c>
      <c r="E271" s="699" t="s">
        <v>3571</v>
      </c>
      <c r="F271" s="720" t="s">
        <v>3572</v>
      </c>
      <c r="G271" s="699" t="s">
        <v>2652</v>
      </c>
      <c r="H271" s="699" t="s">
        <v>2653</v>
      </c>
      <c r="I271" s="711">
        <v>1274.52</v>
      </c>
      <c r="J271" s="711">
        <v>1</v>
      </c>
      <c r="K271" s="712">
        <v>1274.52</v>
      </c>
    </row>
    <row r="272" spans="1:11" ht="14.4" customHeight="1" x14ac:dyDescent="0.3">
      <c r="A272" s="695" t="s">
        <v>556</v>
      </c>
      <c r="B272" s="696" t="s">
        <v>557</v>
      </c>
      <c r="C272" s="699" t="s">
        <v>574</v>
      </c>
      <c r="D272" s="720" t="s">
        <v>3570</v>
      </c>
      <c r="E272" s="699" t="s">
        <v>3571</v>
      </c>
      <c r="F272" s="720" t="s">
        <v>3572</v>
      </c>
      <c r="G272" s="699" t="s">
        <v>2654</v>
      </c>
      <c r="H272" s="699" t="s">
        <v>2655</v>
      </c>
      <c r="I272" s="711">
        <v>1358.87</v>
      </c>
      <c r="J272" s="711">
        <v>1</v>
      </c>
      <c r="K272" s="712">
        <v>1358.87</v>
      </c>
    </row>
    <row r="273" spans="1:11" ht="14.4" customHeight="1" x14ac:dyDescent="0.3">
      <c r="A273" s="695" t="s">
        <v>556</v>
      </c>
      <c r="B273" s="696" t="s">
        <v>557</v>
      </c>
      <c r="C273" s="699" t="s">
        <v>574</v>
      </c>
      <c r="D273" s="720" t="s">
        <v>3570</v>
      </c>
      <c r="E273" s="699" t="s">
        <v>3571</v>
      </c>
      <c r="F273" s="720" t="s">
        <v>3572</v>
      </c>
      <c r="G273" s="699" t="s">
        <v>2656</v>
      </c>
      <c r="H273" s="699" t="s">
        <v>2657</v>
      </c>
      <c r="I273" s="711">
        <v>344.28</v>
      </c>
      <c r="J273" s="711">
        <v>1</v>
      </c>
      <c r="K273" s="712">
        <v>344.28</v>
      </c>
    </row>
    <row r="274" spans="1:11" ht="14.4" customHeight="1" x14ac:dyDescent="0.3">
      <c r="A274" s="695" t="s">
        <v>556</v>
      </c>
      <c r="B274" s="696" t="s">
        <v>557</v>
      </c>
      <c r="C274" s="699" t="s">
        <v>574</v>
      </c>
      <c r="D274" s="720" t="s">
        <v>3570</v>
      </c>
      <c r="E274" s="699" t="s">
        <v>3571</v>
      </c>
      <c r="F274" s="720" t="s">
        <v>3572</v>
      </c>
      <c r="G274" s="699" t="s">
        <v>2658</v>
      </c>
      <c r="H274" s="699" t="s">
        <v>2659</v>
      </c>
      <c r="I274" s="711">
        <v>473.1</v>
      </c>
      <c r="J274" s="711">
        <v>1</v>
      </c>
      <c r="K274" s="712">
        <v>473.1</v>
      </c>
    </row>
    <row r="275" spans="1:11" ht="14.4" customHeight="1" x14ac:dyDescent="0.3">
      <c r="A275" s="695" t="s">
        <v>556</v>
      </c>
      <c r="B275" s="696" t="s">
        <v>557</v>
      </c>
      <c r="C275" s="699" t="s">
        <v>574</v>
      </c>
      <c r="D275" s="720" t="s">
        <v>3570</v>
      </c>
      <c r="E275" s="699" t="s">
        <v>3571</v>
      </c>
      <c r="F275" s="720" t="s">
        <v>3572</v>
      </c>
      <c r="G275" s="699" t="s">
        <v>2660</v>
      </c>
      <c r="H275" s="699" t="s">
        <v>2661</v>
      </c>
      <c r="I275" s="711">
        <v>1419.5050000000001</v>
      </c>
      <c r="J275" s="711">
        <v>12</v>
      </c>
      <c r="K275" s="712">
        <v>17034.03</v>
      </c>
    </row>
    <row r="276" spans="1:11" ht="14.4" customHeight="1" x14ac:dyDescent="0.3">
      <c r="A276" s="695" t="s">
        <v>556</v>
      </c>
      <c r="B276" s="696" t="s">
        <v>557</v>
      </c>
      <c r="C276" s="699" t="s">
        <v>574</v>
      </c>
      <c r="D276" s="720" t="s">
        <v>3570</v>
      </c>
      <c r="E276" s="699" t="s">
        <v>3571</v>
      </c>
      <c r="F276" s="720" t="s">
        <v>3572</v>
      </c>
      <c r="G276" s="699" t="s">
        <v>2662</v>
      </c>
      <c r="H276" s="699" t="s">
        <v>2663</v>
      </c>
      <c r="I276" s="711">
        <v>1546.98</v>
      </c>
      <c r="J276" s="711">
        <v>1</v>
      </c>
      <c r="K276" s="712">
        <v>1546.98</v>
      </c>
    </row>
    <row r="277" spans="1:11" ht="14.4" customHeight="1" x14ac:dyDescent="0.3">
      <c r="A277" s="695" t="s">
        <v>556</v>
      </c>
      <c r="B277" s="696" t="s">
        <v>557</v>
      </c>
      <c r="C277" s="699" t="s">
        <v>574</v>
      </c>
      <c r="D277" s="720" t="s">
        <v>3570</v>
      </c>
      <c r="E277" s="699" t="s">
        <v>3571</v>
      </c>
      <c r="F277" s="720" t="s">
        <v>3572</v>
      </c>
      <c r="G277" s="699" t="s">
        <v>2664</v>
      </c>
      <c r="H277" s="699" t="s">
        <v>2665</v>
      </c>
      <c r="I277" s="711">
        <v>1547.0066666666669</v>
      </c>
      <c r="J277" s="711">
        <v>5</v>
      </c>
      <c r="K277" s="712">
        <v>7735.1299999999992</v>
      </c>
    </row>
    <row r="278" spans="1:11" ht="14.4" customHeight="1" x14ac:dyDescent="0.3">
      <c r="A278" s="695" t="s">
        <v>556</v>
      </c>
      <c r="B278" s="696" t="s">
        <v>557</v>
      </c>
      <c r="C278" s="699" t="s">
        <v>574</v>
      </c>
      <c r="D278" s="720" t="s">
        <v>3570</v>
      </c>
      <c r="E278" s="699" t="s">
        <v>3571</v>
      </c>
      <c r="F278" s="720" t="s">
        <v>3572</v>
      </c>
      <c r="G278" s="699" t="s">
        <v>2666</v>
      </c>
      <c r="H278" s="699" t="s">
        <v>2667</v>
      </c>
      <c r="I278" s="711">
        <v>1547.095</v>
      </c>
      <c r="J278" s="711">
        <v>2</v>
      </c>
      <c r="K278" s="712">
        <v>3094.19</v>
      </c>
    </row>
    <row r="279" spans="1:11" ht="14.4" customHeight="1" x14ac:dyDescent="0.3">
      <c r="A279" s="695" t="s">
        <v>556</v>
      </c>
      <c r="B279" s="696" t="s">
        <v>557</v>
      </c>
      <c r="C279" s="699" t="s">
        <v>574</v>
      </c>
      <c r="D279" s="720" t="s">
        <v>3570</v>
      </c>
      <c r="E279" s="699" t="s">
        <v>3571</v>
      </c>
      <c r="F279" s="720" t="s">
        <v>3572</v>
      </c>
      <c r="G279" s="699" t="s">
        <v>2668</v>
      </c>
      <c r="H279" s="699" t="s">
        <v>2669</v>
      </c>
      <c r="I279" s="711">
        <v>2073.6799999999998</v>
      </c>
      <c r="J279" s="711">
        <v>2</v>
      </c>
      <c r="K279" s="712">
        <v>4147.3599999999997</v>
      </c>
    </row>
    <row r="280" spans="1:11" ht="14.4" customHeight="1" x14ac:dyDescent="0.3">
      <c r="A280" s="695" t="s">
        <v>556</v>
      </c>
      <c r="B280" s="696" t="s">
        <v>557</v>
      </c>
      <c r="C280" s="699" t="s">
        <v>574</v>
      </c>
      <c r="D280" s="720" t="s">
        <v>3570</v>
      </c>
      <c r="E280" s="699" t="s">
        <v>3571</v>
      </c>
      <c r="F280" s="720" t="s">
        <v>3572</v>
      </c>
      <c r="G280" s="699" t="s">
        <v>2670</v>
      </c>
      <c r="H280" s="699" t="s">
        <v>2671</v>
      </c>
      <c r="I280" s="711">
        <v>1435.26</v>
      </c>
      <c r="J280" s="711">
        <v>3</v>
      </c>
      <c r="K280" s="712">
        <v>4305.78</v>
      </c>
    </row>
    <row r="281" spans="1:11" ht="14.4" customHeight="1" x14ac:dyDescent="0.3">
      <c r="A281" s="695" t="s">
        <v>556</v>
      </c>
      <c r="B281" s="696" t="s">
        <v>557</v>
      </c>
      <c r="C281" s="699" t="s">
        <v>574</v>
      </c>
      <c r="D281" s="720" t="s">
        <v>3570</v>
      </c>
      <c r="E281" s="699" t="s">
        <v>3571</v>
      </c>
      <c r="F281" s="720" t="s">
        <v>3572</v>
      </c>
      <c r="G281" s="699" t="s">
        <v>2672</v>
      </c>
      <c r="H281" s="699" t="s">
        <v>2673</v>
      </c>
      <c r="I281" s="711">
        <v>471.95</v>
      </c>
      <c r="J281" s="711">
        <v>2</v>
      </c>
      <c r="K281" s="712">
        <v>943.9</v>
      </c>
    </row>
    <row r="282" spans="1:11" ht="14.4" customHeight="1" x14ac:dyDescent="0.3">
      <c r="A282" s="695" t="s">
        <v>556</v>
      </c>
      <c r="B282" s="696" t="s">
        <v>557</v>
      </c>
      <c r="C282" s="699" t="s">
        <v>574</v>
      </c>
      <c r="D282" s="720" t="s">
        <v>3570</v>
      </c>
      <c r="E282" s="699" t="s">
        <v>3571</v>
      </c>
      <c r="F282" s="720" t="s">
        <v>3572</v>
      </c>
      <c r="G282" s="699" t="s">
        <v>2674</v>
      </c>
      <c r="H282" s="699" t="s">
        <v>2675</v>
      </c>
      <c r="I282" s="711">
        <v>471.96249999999998</v>
      </c>
      <c r="J282" s="711">
        <v>9</v>
      </c>
      <c r="K282" s="712">
        <v>4247.66</v>
      </c>
    </row>
    <row r="283" spans="1:11" ht="14.4" customHeight="1" x14ac:dyDescent="0.3">
      <c r="A283" s="695" t="s">
        <v>556</v>
      </c>
      <c r="B283" s="696" t="s">
        <v>557</v>
      </c>
      <c r="C283" s="699" t="s">
        <v>574</v>
      </c>
      <c r="D283" s="720" t="s">
        <v>3570</v>
      </c>
      <c r="E283" s="699" t="s">
        <v>3571</v>
      </c>
      <c r="F283" s="720" t="s">
        <v>3572</v>
      </c>
      <c r="G283" s="699" t="s">
        <v>2676</v>
      </c>
      <c r="H283" s="699" t="s">
        <v>2677</v>
      </c>
      <c r="I283" s="711">
        <v>471.96</v>
      </c>
      <c r="J283" s="711">
        <v>4</v>
      </c>
      <c r="K283" s="712">
        <v>1887.84</v>
      </c>
    </row>
    <row r="284" spans="1:11" ht="14.4" customHeight="1" x14ac:dyDescent="0.3">
      <c r="A284" s="695" t="s">
        <v>556</v>
      </c>
      <c r="B284" s="696" t="s">
        <v>557</v>
      </c>
      <c r="C284" s="699" t="s">
        <v>574</v>
      </c>
      <c r="D284" s="720" t="s">
        <v>3570</v>
      </c>
      <c r="E284" s="699" t="s">
        <v>3571</v>
      </c>
      <c r="F284" s="720" t="s">
        <v>3572</v>
      </c>
      <c r="G284" s="699" t="s">
        <v>2678</v>
      </c>
      <c r="H284" s="699" t="s">
        <v>2679</v>
      </c>
      <c r="I284" s="711">
        <v>471.95749999999998</v>
      </c>
      <c r="J284" s="711">
        <v>5</v>
      </c>
      <c r="K284" s="712">
        <v>2359.7799999999997</v>
      </c>
    </row>
    <row r="285" spans="1:11" ht="14.4" customHeight="1" x14ac:dyDescent="0.3">
      <c r="A285" s="695" t="s">
        <v>556</v>
      </c>
      <c r="B285" s="696" t="s">
        <v>557</v>
      </c>
      <c r="C285" s="699" t="s">
        <v>574</v>
      </c>
      <c r="D285" s="720" t="s">
        <v>3570</v>
      </c>
      <c r="E285" s="699" t="s">
        <v>3571</v>
      </c>
      <c r="F285" s="720" t="s">
        <v>3572</v>
      </c>
      <c r="G285" s="699" t="s">
        <v>2680</v>
      </c>
      <c r="H285" s="699" t="s">
        <v>2681</v>
      </c>
      <c r="I285" s="711">
        <v>4124.5160000000005</v>
      </c>
      <c r="J285" s="711">
        <v>5</v>
      </c>
      <c r="K285" s="712">
        <v>20622.580000000002</v>
      </c>
    </row>
    <row r="286" spans="1:11" ht="14.4" customHeight="1" x14ac:dyDescent="0.3">
      <c r="A286" s="695" t="s">
        <v>556</v>
      </c>
      <c r="B286" s="696" t="s">
        <v>557</v>
      </c>
      <c r="C286" s="699" t="s">
        <v>574</v>
      </c>
      <c r="D286" s="720" t="s">
        <v>3570</v>
      </c>
      <c r="E286" s="699" t="s">
        <v>3571</v>
      </c>
      <c r="F286" s="720" t="s">
        <v>3572</v>
      </c>
      <c r="G286" s="699" t="s">
        <v>2682</v>
      </c>
      <c r="H286" s="699" t="s">
        <v>2683</v>
      </c>
      <c r="I286" s="711">
        <v>1033.98</v>
      </c>
      <c r="J286" s="711">
        <v>2</v>
      </c>
      <c r="K286" s="712">
        <v>2067.96</v>
      </c>
    </row>
    <row r="287" spans="1:11" ht="14.4" customHeight="1" x14ac:dyDescent="0.3">
      <c r="A287" s="695" t="s">
        <v>556</v>
      </c>
      <c r="B287" s="696" t="s">
        <v>557</v>
      </c>
      <c r="C287" s="699" t="s">
        <v>574</v>
      </c>
      <c r="D287" s="720" t="s">
        <v>3570</v>
      </c>
      <c r="E287" s="699" t="s">
        <v>3571</v>
      </c>
      <c r="F287" s="720" t="s">
        <v>3572</v>
      </c>
      <c r="G287" s="699" t="s">
        <v>2684</v>
      </c>
      <c r="H287" s="699" t="s">
        <v>2685</v>
      </c>
      <c r="I287" s="711">
        <v>1247.1583333333333</v>
      </c>
      <c r="J287" s="711">
        <v>10</v>
      </c>
      <c r="K287" s="712">
        <v>12471.609999999999</v>
      </c>
    </row>
    <row r="288" spans="1:11" ht="14.4" customHeight="1" x14ac:dyDescent="0.3">
      <c r="A288" s="695" t="s">
        <v>556</v>
      </c>
      <c r="B288" s="696" t="s">
        <v>557</v>
      </c>
      <c r="C288" s="699" t="s">
        <v>574</v>
      </c>
      <c r="D288" s="720" t="s">
        <v>3570</v>
      </c>
      <c r="E288" s="699" t="s">
        <v>3571</v>
      </c>
      <c r="F288" s="720" t="s">
        <v>3572</v>
      </c>
      <c r="G288" s="699" t="s">
        <v>2686</v>
      </c>
      <c r="H288" s="699" t="s">
        <v>2687</v>
      </c>
      <c r="I288" s="711">
        <v>1655.28</v>
      </c>
      <c r="J288" s="711">
        <v>3</v>
      </c>
      <c r="K288" s="712">
        <v>4965.84</v>
      </c>
    </row>
    <row r="289" spans="1:11" ht="14.4" customHeight="1" x14ac:dyDescent="0.3">
      <c r="A289" s="695" t="s">
        <v>556</v>
      </c>
      <c r="B289" s="696" t="s">
        <v>557</v>
      </c>
      <c r="C289" s="699" t="s">
        <v>574</v>
      </c>
      <c r="D289" s="720" t="s">
        <v>3570</v>
      </c>
      <c r="E289" s="699" t="s">
        <v>3571</v>
      </c>
      <c r="F289" s="720" t="s">
        <v>3572</v>
      </c>
      <c r="G289" s="699" t="s">
        <v>2688</v>
      </c>
      <c r="H289" s="699" t="s">
        <v>2689</v>
      </c>
      <c r="I289" s="711">
        <v>4752.95</v>
      </c>
      <c r="J289" s="711">
        <v>9</v>
      </c>
      <c r="K289" s="712">
        <v>42776.549999999996</v>
      </c>
    </row>
    <row r="290" spans="1:11" ht="14.4" customHeight="1" x14ac:dyDescent="0.3">
      <c r="A290" s="695" t="s">
        <v>556</v>
      </c>
      <c r="B290" s="696" t="s">
        <v>557</v>
      </c>
      <c r="C290" s="699" t="s">
        <v>574</v>
      </c>
      <c r="D290" s="720" t="s">
        <v>3570</v>
      </c>
      <c r="E290" s="699" t="s">
        <v>3571</v>
      </c>
      <c r="F290" s="720" t="s">
        <v>3572</v>
      </c>
      <c r="G290" s="699" t="s">
        <v>2690</v>
      </c>
      <c r="H290" s="699" t="s">
        <v>2691</v>
      </c>
      <c r="I290" s="711">
        <v>1247.1600000000001</v>
      </c>
      <c r="J290" s="711">
        <v>2</v>
      </c>
      <c r="K290" s="712">
        <v>2494.33</v>
      </c>
    </row>
    <row r="291" spans="1:11" ht="14.4" customHeight="1" x14ac:dyDescent="0.3">
      <c r="A291" s="695" t="s">
        <v>556</v>
      </c>
      <c r="B291" s="696" t="s">
        <v>557</v>
      </c>
      <c r="C291" s="699" t="s">
        <v>574</v>
      </c>
      <c r="D291" s="720" t="s">
        <v>3570</v>
      </c>
      <c r="E291" s="699" t="s">
        <v>3571</v>
      </c>
      <c r="F291" s="720" t="s">
        <v>3572</v>
      </c>
      <c r="G291" s="699" t="s">
        <v>2692</v>
      </c>
      <c r="H291" s="699" t="s">
        <v>2693</v>
      </c>
      <c r="I291" s="711">
        <v>1421.58</v>
      </c>
      <c r="J291" s="711">
        <v>5</v>
      </c>
      <c r="K291" s="712">
        <v>7107.9</v>
      </c>
    </row>
    <row r="292" spans="1:11" ht="14.4" customHeight="1" x14ac:dyDescent="0.3">
      <c r="A292" s="695" t="s">
        <v>556</v>
      </c>
      <c r="B292" s="696" t="s">
        <v>557</v>
      </c>
      <c r="C292" s="699" t="s">
        <v>574</v>
      </c>
      <c r="D292" s="720" t="s">
        <v>3570</v>
      </c>
      <c r="E292" s="699" t="s">
        <v>3571</v>
      </c>
      <c r="F292" s="720" t="s">
        <v>3572</v>
      </c>
      <c r="G292" s="699" t="s">
        <v>2694</v>
      </c>
      <c r="H292" s="699" t="s">
        <v>2695</v>
      </c>
      <c r="I292" s="711">
        <v>1421.58</v>
      </c>
      <c r="J292" s="711">
        <v>1</v>
      </c>
      <c r="K292" s="712">
        <v>1421.58</v>
      </c>
    </row>
    <row r="293" spans="1:11" ht="14.4" customHeight="1" x14ac:dyDescent="0.3">
      <c r="A293" s="695" t="s">
        <v>556</v>
      </c>
      <c r="B293" s="696" t="s">
        <v>557</v>
      </c>
      <c r="C293" s="699" t="s">
        <v>574</v>
      </c>
      <c r="D293" s="720" t="s">
        <v>3570</v>
      </c>
      <c r="E293" s="699" t="s">
        <v>3571</v>
      </c>
      <c r="F293" s="720" t="s">
        <v>3572</v>
      </c>
      <c r="G293" s="699" t="s">
        <v>2696</v>
      </c>
      <c r="H293" s="699" t="s">
        <v>2697</v>
      </c>
      <c r="I293" s="711">
        <v>1421.58</v>
      </c>
      <c r="J293" s="711">
        <v>2</v>
      </c>
      <c r="K293" s="712">
        <v>2843.16</v>
      </c>
    </row>
    <row r="294" spans="1:11" ht="14.4" customHeight="1" x14ac:dyDescent="0.3">
      <c r="A294" s="695" t="s">
        <v>556</v>
      </c>
      <c r="B294" s="696" t="s">
        <v>557</v>
      </c>
      <c r="C294" s="699" t="s">
        <v>574</v>
      </c>
      <c r="D294" s="720" t="s">
        <v>3570</v>
      </c>
      <c r="E294" s="699" t="s">
        <v>3571</v>
      </c>
      <c r="F294" s="720" t="s">
        <v>3572</v>
      </c>
      <c r="G294" s="699" t="s">
        <v>2698</v>
      </c>
      <c r="H294" s="699" t="s">
        <v>2699</v>
      </c>
      <c r="I294" s="711">
        <v>1655.28</v>
      </c>
      <c r="J294" s="711">
        <v>3</v>
      </c>
      <c r="K294" s="712">
        <v>4965.83</v>
      </c>
    </row>
    <row r="295" spans="1:11" ht="14.4" customHeight="1" x14ac:dyDescent="0.3">
      <c r="A295" s="695" t="s">
        <v>556</v>
      </c>
      <c r="B295" s="696" t="s">
        <v>557</v>
      </c>
      <c r="C295" s="699" t="s">
        <v>574</v>
      </c>
      <c r="D295" s="720" t="s">
        <v>3570</v>
      </c>
      <c r="E295" s="699" t="s">
        <v>3571</v>
      </c>
      <c r="F295" s="720" t="s">
        <v>3572</v>
      </c>
      <c r="G295" s="699" t="s">
        <v>2700</v>
      </c>
      <c r="H295" s="699" t="s">
        <v>2701</v>
      </c>
      <c r="I295" s="711">
        <v>1655.28</v>
      </c>
      <c r="J295" s="711">
        <v>3</v>
      </c>
      <c r="K295" s="712">
        <v>4965.83</v>
      </c>
    </row>
    <row r="296" spans="1:11" ht="14.4" customHeight="1" x14ac:dyDescent="0.3">
      <c r="A296" s="695" t="s">
        <v>556</v>
      </c>
      <c r="B296" s="696" t="s">
        <v>557</v>
      </c>
      <c r="C296" s="699" t="s">
        <v>574</v>
      </c>
      <c r="D296" s="720" t="s">
        <v>3570</v>
      </c>
      <c r="E296" s="699" t="s">
        <v>3571</v>
      </c>
      <c r="F296" s="720" t="s">
        <v>3572</v>
      </c>
      <c r="G296" s="699" t="s">
        <v>2702</v>
      </c>
      <c r="H296" s="699" t="s">
        <v>2703</v>
      </c>
      <c r="I296" s="711">
        <v>547.21</v>
      </c>
      <c r="J296" s="711">
        <v>2</v>
      </c>
      <c r="K296" s="712">
        <v>1094.4100000000001</v>
      </c>
    </row>
    <row r="297" spans="1:11" ht="14.4" customHeight="1" x14ac:dyDescent="0.3">
      <c r="A297" s="695" t="s">
        <v>556</v>
      </c>
      <c r="B297" s="696" t="s">
        <v>557</v>
      </c>
      <c r="C297" s="699" t="s">
        <v>574</v>
      </c>
      <c r="D297" s="720" t="s">
        <v>3570</v>
      </c>
      <c r="E297" s="699" t="s">
        <v>3571</v>
      </c>
      <c r="F297" s="720" t="s">
        <v>3572</v>
      </c>
      <c r="G297" s="699" t="s">
        <v>2704</v>
      </c>
      <c r="H297" s="699" t="s">
        <v>2705</v>
      </c>
      <c r="I297" s="711">
        <v>506</v>
      </c>
      <c r="J297" s="711">
        <v>3</v>
      </c>
      <c r="K297" s="712">
        <v>1518</v>
      </c>
    </row>
    <row r="298" spans="1:11" ht="14.4" customHeight="1" x14ac:dyDescent="0.3">
      <c r="A298" s="695" t="s">
        <v>556</v>
      </c>
      <c r="B298" s="696" t="s">
        <v>557</v>
      </c>
      <c r="C298" s="699" t="s">
        <v>574</v>
      </c>
      <c r="D298" s="720" t="s">
        <v>3570</v>
      </c>
      <c r="E298" s="699" t="s">
        <v>3571</v>
      </c>
      <c r="F298" s="720" t="s">
        <v>3572</v>
      </c>
      <c r="G298" s="699" t="s">
        <v>2706</v>
      </c>
      <c r="H298" s="699" t="s">
        <v>2707</v>
      </c>
      <c r="I298" s="711">
        <v>506</v>
      </c>
      <c r="J298" s="711">
        <v>7</v>
      </c>
      <c r="K298" s="712">
        <v>3542</v>
      </c>
    </row>
    <row r="299" spans="1:11" ht="14.4" customHeight="1" x14ac:dyDescent="0.3">
      <c r="A299" s="695" t="s">
        <v>556</v>
      </c>
      <c r="B299" s="696" t="s">
        <v>557</v>
      </c>
      <c r="C299" s="699" t="s">
        <v>574</v>
      </c>
      <c r="D299" s="720" t="s">
        <v>3570</v>
      </c>
      <c r="E299" s="699" t="s">
        <v>3571</v>
      </c>
      <c r="F299" s="720" t="s">
        <v>3572</v>
      </c>
      <c r="G299" s="699" t="s">
        <v>2708</v>
      </c>
      <c r="H299" s="699" t="s">
        <v>2709</v>
      </c>
      <c r="I299" s="711">
        <v>4452.8</v>
      </c>
      <c r="J299" s="711">
        <v>10</v>
      </c>
      <c r="K299" s="712">
        <v>44528</v>
      </c>
    </row>
    <row r="300" spans="1:11" ht="14.4" customHeight="1" x14ac:dyDescent="0.3">
      <c r="A300" s="695" t="s">
        <v>556</v>
      </c>
      <c r="B300" s="696" t="s">
        <v>557</v>
      </c>
      <c r="C300" s="699" t="s">
        <v>574</v>
      </c>
      <c r="D300" s="720" t="s">
        <v>3570</v>
      </c>
      <c r="E300" s="699" t="s">
        <v>3571</v>
      </c>
      <c r="F300" s="720" t="s">
        <v>3572</v>
      </c>
      <c r="G300" s="699" t="s">
        <v>2710</v>
      </c>
      <c r="H300" s="699" t="s">
        <v>2711</v>
      </c>
      <c r="I300" s="711">
        <v>1664.4</v>
      </c>
      <c r="J300" s="711">
        <v>1</v>
      </c>
      <c r="K300" s="712">
        <v>1664.4</v>
      </c>
    </row>
    <row r="301" spans="1:11" ht="14.4" customHeight="1" x14ac:dyDescent="0.3">
      <c r="A301" s="695" t="s">
        <v>556</v>
      </c>
      <c r="B301" s="696" t="s">
        <v>557</v>
      </c>
      <c r="C301" s="699" t="s">
        <v>574</v>
      </c>
      <c r="D301" s="720" t="s">
        <v>3570</v>
      </c>
      <c r="E301" s="699" t="s">
        <v>3571</v>
      </c>
      <c r="F301" s="720" t="s">
        <v>3572</v>
      </c>
      <c r="G301" s="699" t="s">
        <v>2712</v>
      </c>
      <c r="H301" s="699" t="s">
        <v>2713</v>
      </c>
      <c r="I301" s="711">
        <v>6037.5</v>
      </c>
      <c r="J301" s="711">
        <v>3</v>
      </c>
      <c r="K301" s="712">
        <v>18112.5</v>
      </c>
    </row>
    <row r="302" spans="1:11" ht="14.4" customHeight="1" x14ac:dyDescent="0.3">
      <c r="A302" s="695" t="s">
        <v>556</v>
      </c>
      <c r="B302" s="696" t="s">
        <v>557</v>
      </c>
      <c r="C302" s="699" t="s">
        <v>574</v>
      </c>
      <c r="D302" s="720" t="s">
        <v>3570</v>
      </c>
      <c r="E302" s="699" t="s">
        <v>3571</v>
      </c>
      <c r="F302" s="720" t="s">
        <v>3572</v>
      </c>
      <c r="G302" s="699" t="s">
        <v>2714</v>
      </c>
      <c r="H302" s="699" t="s">
        <v>2715</v>
      </c>
      <c r="I302" s="711">
        <v>1856.1</v>
      </c>
      <c r="J302" s="711">
        <v>5</v>
      </c>
      <c r="K302" s="712">
        <v>9280.5</v>
      </c>
    </row>
    <row r="303" spans="1:11" ht="14.4" customHeight="1" x14ac:dyDescent="0.3">
      <c r="A303" s="695" t="s">
        <v>556</v>
      </c>
      <c r="B303" s="696" t="s">
        <v>557</v>
      </c>
      <c r="C303" s="699" t="s">
        <v>574</v>
      </c>
      <c r="D303" s="720" t="s">
        <v>3570</v>
      </c>
      <c r="E303" s="699" t="s">
        <v>3571</v>
      </c>
      <c r="F303" s="720" t="s">
        <v>3572</v>
      </c>
      <c r="G303" s="699" t="s">
        <v>2716</v>
      </c>
      <c r="H303" s="699" t="s">
        <v>2717</v>
      </c>
      <c r="I303" s="711">
        <v>1856.1</v>
      </c>
      <c r="J303" s="711">
        <v>3</v>
      </c>
      <c r="K303" s="712">
        <v>5568.2999999999993</v>
      </c>
    </row>
    <row r="304" spans="1:11" ht="14.4" customHeight="1" x14ac:dyDescent="0.3">
      <c r="A304" s="695" t="s">
        <v>556</v>
      </c>
      <c r="B304" s="696" t="s">
        <v>557</v>
      </c>
      <c r="C304" s="699" t="s">
        <v>574</v>
      </c>
      <c r="D304" s="720" t="s">
        <v>3570</v>
      </c>
      <c r="E304" s="699" t="s">
        <v>3571</v>
      </c>
      <c r="F304" s="720" t="s">
        <v>3572</v>
      </c>
      <c r="G304" s="699" t="s">
        <v>2718</v>
      </c>
      <c r="H304" s="699" t="s">
        <v>2719</v>
      </c>
      <c r="I304" s="711">
        <v>329.46125000000001</v>
      </c>
      <c r="J304" s="711">
        <v>49</v>
      </c>
      <c r="K304" s="712">
        <v>16143.609999999997</v>
      </c>
    </row>
    <row r="305" spans="1:11" ht="14.4" customHeight="1" x14ac:dyDescent="0.3">
      <c r="A305" s="695" t="s">
        <v>556</v>
      </c>
      <c r="B305" s="696" t="s">
        <v>557</v>
      </c>
      <c r="C305" s="699" t="s">
        <v>574</v>
      </c>
      <c r="D305" s="720" t="s">
        <v>3570</v>
      </c>
      <c r="E305" s="699" t="s">
        <v>3571</v>
      </c>
      <c r="F305" s="720" t="s">
        <v>3572</v>
      </c>
      <c r="G305" s="699" t="s">
        <v>2720</v>
      </c>
      <c r="H305" s="699" t="s">
        <v>2721</v>
      </c>
      <c r="I305" s="711">
        <v>3859.2</v>
      </c>
      <c r="J305" s="711">
        <v>1</v>
      </c>
      <c r="K305" s="712">
        <v>3859.2</v>
      </c>
    </row>
    <row r="306" spans="1:11" ht="14.4" customHeight="1" x14ac:dyDescent="0.3">
      <c r="A306" s="695" t="s">
        <v>556</v>
      </c>
      <c r="B306" s="696" t="s">
        <v>557</v>
      </c>
      <c r="C306" s="699" t="s">
        <v>574</v>
      </c>
      <c r="D306" s="720" t="s">
        <v>3570</v>
      </c>
      <c r="E306" s="699" t="s">
        <v>3571</v>
      </c>
      <c r="F306" s="720" t="s">
        <v>3572</v>
      </c>
      <c r="G306" s="699" t="s">
        <v>2722</v>
      </c>
      <c r="H306" s="699" t="s">
        <v>2723</v>
      </c>
      <c r="I306" s="711">
        <v>329.46714285714285</v>
      </c>
      <c r="J306" s="711">
        <v>41</v>
      </c>
      <c r="K306" s="712">
        <v>13508.179999999998</v>
      </c>
    </row>
    <row r="307" spans="1:11" ht="14.4" customHeight="1" x14ac:dyDescent="0.3">
      <c r="A307" s="695" t="s">
        <v>556</v>
      </c>
      <c r="B307" s="696" t="s">
        <v>557</v>
      </c>
      <c r="C307" s="699" t="s">
        <v>574</v>
      </c>
      <c r="D307" s="720" t="s">
        <v>3570</v>
      </c>
      <c r="E307" s="699" t="s">
        <v>3571</v>
      </c>
      <c r="F307" s="720" t="s">
        <v>3572</v>
      </c>
      <c r="G307" s="699" t="s">
        <v>2724</v>
      </c>
      <c r="H307" s="699" t="s">
        <v>2725</v>
      </c>
      <c r="I307" s="711">
        <v>329.46571428571434</v>
      </c>
      <c r="J307" s="711">
        <v>31</v>
      </c>
      <c r="K307" s="712">
        <v>10213.379999999999</v>
      </c>
    </row>
    <row r="308" spans="1:11" ht="14.4" customHeight="1" x14ac:dyDescent="0.3">
      <c r="A308" s="695" t="s">
        <v>556</v>
      </c>
      <c r="B308" s="696" t="s">
        <v>557</v>
      </c>
      <c r="C308" s="699" t="s">
        <v>574</v>
      </c>
      <c r="D308" s="720" t="s">
        <v>3570</v>
      </c>
      <c r="E308" s="699" t="s">
        <v>3571</v>
      </c>
      <c r="F308" s="720" t="s">
        <v>3572</v>
      </c>
      <c r="G308" s="699" t="s">
        <v>2726</v>
      </c>
      <c r="H308" s="699" t="s">
        <v>2727</v>
      </c>
      <c r="I308" s="711">
        <v>329.46000000000004</v>
      </c>
      <c r="J308" s="711">
        <v>21</v>
      </c>
      <c r="K308" s="712">
        <v>6918.7000000000007</v>
      </c>
    </row>
    <row r="309" spans="1:11" ht="14.4" customHeight="1" x14ac:dyDescent="0.3">
      <c r="A309" s="695" t="s">
        <v>556</v>
      </c>
      <c r="B309" s="696" t="s">
        <v>557</v>
      </c>
      <c r="C309" s="699" t="s">
        <v>574</v>
      </c>
      <c r="D309" s="720" t="s">
        <v>3570</v>
      </c>
      <c r="E309" s="699" t="s">
        <v>3571</v>
      </c>
      <c r="F309" s="720" t="s">
        <v>3572</v>
      </c>
      <c r="G309" s="699" t="s">
        <v>2728</v>
      </c>
      <c r="H309" s="699" t="s">
        <v>2729</v>
      </c>
      <c r="I309" s="711">
        <v>851.59</v>
      </c>
      <c r="J309" s="711">
        <v>3</v>
      </c>
      <c r="K309" s="712">
        <v>2554.7800000000002</v>
      </c>
    </row>
    <row r="310" spans="1:11" ht="14.4" customHeight="1" x14ac:dyDescent="0.3">
      <c r="A310" s="695" t="s">
        <v>556</v>
      </c>
      <c r="B310" s="696" t="s">
        <v>557</v>
      </c>
      <c r="C310" s="699" t="s">
        <v>574</v>
      </c>
      <c r="D310" s="720" t="s">
        <v>3570</v>
      </c>
      <c r="E310" s="699" t="s">
        <v>3571</v>
      </c>
      <c r="F310" s="720" t="s">
        <v>3572</v>
      </c>
      <c r="G310" s="699" t="s">
        <v>2730</v>
      </c>
      <c r="H310" s="699" t="s">
        <v>2731</v>
      </c>
      <c r="I310" s="711">
        <v>1385.75</v>
      </c>
      <c r="J310" s="711">
        <v>4</v>
      </c>
      <c r="K310" s="712">
        <v>5543</v>
      </c>
    </row>
    <row r="311" spans="1:11" ht="14.4" customHeight="1" x14ac:dyDescent="0.3">
      <c r="A311" s="695" t="s">
        <v>556</v>
      </c>
      <c r="B311" s="696" t="s">
        <v>557</v>
      </c>
      <c r="C311" s="699" t="s">
        <v>574</v>
      </c>
      <c r="D311" s="720" t="s">
        <v>3570</v>
      </c>
      <c r="E311" s="699" t="s">
        <v>3571</v>
      </c>
      <c r="F311" s="720" t="s">
        <v>3572</v>
      </c>
      <c r="G311" s="699" t="s">
        <v>2732</v>
      </c>
      <c r="H311" s="699" t="s">
        <v>2733</v>
      </c>
      <c r="I311" s="711">
        <v>1385.75</v>
      </c>
      <c r="J311" s="711">
        <v>5</v>
      </c>
      <c r="K311" s="712">
        <v>6928.75</v>
      </c>
    </row>
    <row r="312" spans="1:11" ht="14.4" customHeight="1" x14ac:dyDescent="0.3">
      <c r="A312" s="695" t="s">
        <v>556</v>
      </c>
      <c r="B312" s="696" t="s">
        <v>557</v>
      </c>
      <c r="C312" s="699" t="s">
        <v>574</v>
      </c>
      <c r="D312" s="720" t="s">
        <v>3570</v>
      </c>
      <c r="E312" s="699" t="s">
        <v>3571</v>
      </c>
      <c r="F312" s="720" t="s">
        <v>3572</v>
      </c>
      <c r="G312" s="699" t="s">
        <v>2734</v>
      </c>
      <c r="H312" s="699" t="s">
        <v>2735</v>
      </c>
      <c r="I312" s="711">
        <v>1000.5</v>
      </c>
      <c r="J312" s="711">
        <v>5</v>
      </c>
      <c r="K312" s="712">
        <v>5002.5</v>
      </c>
    </row>
    <row r="313" spans="1:11" ht="14.4" customHeight="1" x14ac:dyDescent="0.3">
      <c r="A313" s="695" t="s">
        <v>556</v>
      </c>
      <c r="B313" s="696" t="s">
        <v>557</v>
      </c>
      <c r="C313" s="699" t="s">
        <v>574</v>
      </c>
      <c r="D313" s="720" t="s">
        <v>3570</v>
      </c>
      <c r="E313" s="699" t="s">
        <v>3571</v>
      </c>
      <c r="F313" s="720" t="s">
        <v>3572</v>
      </c>
      <c r="G313" s="699" t="s">
        <v>2736</v>
      </c>
      <c r="H313" s="699" t="s">
        <v>2737</v>
      </c>
      <c r="I313" s="711">
        <v>1092.5</v>
      </c>
      <c r="J313" s="711">
        <v>19</v>
      </c>
      <c r="K313" s="712">
        <v>20757.5</v>
      </c>
    </row>
    <row r="314" spans="1:11" ht="14.4" customHeight="1" x14ac:dyDescent="0.3">
      <c r="A314" s="695" t="s">
        <v>556</v>
      </c>
      <c r="B314" s="696" t="s">
        <v>557</v>
      </c>
      <c r="C314" s="699" t="s">
        <v>574</v>
      </c>
      <c r="D314" s="720" t="s">
        <v>3570</v>
      </c>
      <c r="E314" s="699" t="s">
        <v>3571</v>
      </c>
      <c r="F314" s="720" t="s">
        <v>3572</v>
      </c>
      <c r="G314" s="699" t="s">
        <v>2738</v>
      </c>
      <c r="H314" s="699" t="s">
        <v>2739</v>
      </c>
      <c r="I314" s="711">
        <v>1000.5</v>
      </c>
      <c r="J314" s="711">
        <v>3</v>
      </c>
      <c r="K314" s="712">
        <v>3001.5</v>
      </c>
    </row>
    <row r="315" spans="1:11" ht="14.4" customHeight="1" x14ac:dyDescent="0.3">
      <c r="A315" s="695" t="s">
        <v>556</v>
      </c>
      <c r="B315" s="696" t="s">
        <v>557</v>
      </c>
      <c r="C315" s="699" t="s">
        <v>574</v>
      </c>
      <c r="D315" s="720" t="s">
        <v>3570</v>
      </c>
      <c r="E315" s="699" t="s">
        <v>3571</v>
      </c>
      <c r="F315" s="720" t="s">
        <v>3572</v>
      </c>
      <c r="G315" s="699" t="s">
        <v>2740</v>
      </c>
      <c r="H315" s="699" t="s">
        <v>2741</v>
      </c>
      <c r="I315" s="711">
        <v>1000.5</v>
      </c>
      <c r="J315" s="711">
        <v>3</v>
      </c>
      <c r="K315" s="712">
        <v>3001.5</v>
      </c>
    </row>
    <row r="316" spans="1:11" ht="14.4" customHeight="1" x14ac:dyDescent="0.3">
      <c r="A316" s="695" t="s">
        <v>556</v>
      </c>
      <c r="B316" s="696" t="s">
        <v>557</v>
      </c>
      <c r="C316" s="699" t="s">
        <v>574</v>
      </c>
      <c r="D316" s="720" t="s">
        <v>3570</v>
      </c>
      <c r="E316" s="699" t="s">
        <v>3571</v>
      </c>
      <c r="F316" s="720" t="s">
        <v>3572</v>
      </c>
      <c r="G316" s="699" t="s">
        <v>2742</v>
      </c>
      <c r="H316" s="699" t="s">
        <v>2743</v>
      </c>
      <c r="I316" s="711">
        <v>471.97</v>
      </c>
      <c r="J316" s="711">
        <v>2</v>
      </c>
      <c r="K316" s="712">
        <v>943.94</v>
      </c>
    </row>
    <row r="317" spans="1:11" ht="14.4" customHeight="1" x14ac:dyDescent="0.3">
      <c r="A317" s="695" t="s">
        <v>556</v>
      </c>
      <c r="B317" s="696" t="s">
        <v>557</v>
      </c>
      <c r="C317" s="699" t="s">
        <v>574</v>
      </c>
      <c r="D317" s="720" t="s">
        <v>3570</v>
      </c>
      <c r="E317" s="699" t="s">
        <v>3571</v>
      </c>
      <c r="F317" s="720" t="s">
        <v>3572</v>
      </c>
      <c r="G317" s="699" t="s">
        <v>2744</v>
      </c>
      <c r="H317" s="699" t="s">
        <v>2745</v>
      </c>
      <c r="I317" s="711">
        <v>471.96428571428572</v>
      </c>
      <c r="J317" s="711">
        <v>11</v>
      </c>
      <c r="K317" s="712">
        <v>5191.58</v>
      </c>
    </row>
    <row r="318" spans="1:11" ht="14.4" customHeight="1" x14ac:dyDescent="0.3">
      <c r="A318" s="695" t="s">
        <v>556</v>
      </c>
      <c r="B318" s="696" t="s">
        <v>557</v>
      </c>
      <c r="C318" s="699" t="s">
        <v>574</v>
      </c>
      <c r="D318" s="720" t="s">
        <v>3570</v>
      </c>
      <c r="E318" s="699" t="s">
        <v>3571</v>
      </c>
      <c r="F318" s="720" t="s">
        <v>3572</v>
      </c>
      <c r="G318" s="699" t="s">
        <v>2746</v>
      </c>
      <c r="H318" s="699" t="s">
        <v>2747</v>
      </c>
      <c r="I318" s="711">
        <v>1552.5</v>
      </c>
      <c r="J318" s="711">
        <v>1</v>
      </c>
      <c r="K318" s="712">
        <v>1552.5</v>
      </c>
    </row>
    <row r="319" spans="1:11" ht="14.4" customHeight="1" x14ac:dyDescent="0.3">
      <c r="A319" s="695" t="s">
        <v>556</v>
      </c>
      <c r="B319" s="696" t="s">
        <v>557</v>
      </c>
      <c r="C319" s="699" t="s">
        <v>574</v>
      </c>
      <c r="D319" s="720" t="s">
        <v>3570</v>
      </c>
      <c r="E319" s="699" t="s">
        <v>3571</v>
      </c>
      <c r="F319" s="720" t="s">
        <v>3572</v>
      </c>
      <c r="G319" s="699" t="s">
        <v>2748</v>
      </c>
      <c r="H319" s="699" t="s">
        <v>2749</v>
      </c>
      <c r="I319" s="711">
        <v>1725</v>
      </c>
      <c r="J319" s="711">
        <v>5</v>
      </c>
      <c r="K319" s="712">
        <v>8625</v>
      </c>
    </row>
    <row r="320" spans="1:11" ht="14.4" customHeight="1" x14ac:dyDescent="0.3">
      <c r="A320" s="695" t="s">
        <v>556</v>
      </c>
      <c r="B320" s="696" t="s">
        <v>557</v>
      </c>
      <c r="C320" s="699" t="s">
        <v>574</v>
      </c>
      <c r="D320" s="720" t="s">
        <v>3570</v>
      </c>
      <c r="E320" s="699" t="s">
        <v>3571</v>
      </c>
      <c r="F320" s="720" t="s">
        <v>3572</v>
      </c>
      <c r="G320" s="699" t="s">
        <v>2750</v>
      </c>
      <c r="H320" s="699" t="s">
        <v>2751</v>
      </c>
      <c r="I320" s="711">
        <v>1725</v>
      </c>
      <c r="J320" s="711">
        <v>2</v>
      </c>
      <c r="K320" s="712">
        <v>3450</v>
      </c>
    </row>
    <row r="321" spans="1:11" ht="14.4" customHeight="1" x14ac:dyDescent="0.3">
      <c r="A321" s="695" t="s">
        <v>556</v>
      </c>
      <c r="B321" s="696" t="s">
        <v>557</v>
      </c>
      <c r="C321" s="699" t="s">
        <v>574</v>
      </c>
      <c r="D321" s="720" t="s">
        <v>3570</v>
      </c>
      <c r="E321" s="699" t="s">
        <v>3571</v>
      </c>
      <c r="F321" s="720" t="s">
        <v>3572</v>
      </c>
      <c r="G321" s="699" t="s">
        <v>2752</v>
      </c>
      <c r="H321" s="699" t="s">
        <v>2753</v>
      </c>
      <c r="I321" s="711">
        <v>1725</v>
      </c>
      <c r="J321" s="711">
        <v>1</v>
      </c>
      <c r="K321" s="712">
        <v>1725</v>
      </c>
    </row>
    <row r="322" spans="1:11" ht="14.4" customHeight="1" x14ac:dyDescent="0.3">
      <c r="A322" s="695" t="s">
        <v>556</v>
      </c>
      <c r="B322" s="696" t="s">
        <v>557</v>
      </c>
      <c r="C322" s="699" t="s">
        <v>574</v>
      </c>
      <c r="D322" s="720" t="s">
        <v>3570</v>
      </c>
      <c r="E322" s="699" t="s">
        <v>3571</v>
      </c>
      <c r="F322" s="720" t="s">
        <v>3572</v>
      </c>
      <c r="G322" s="699" t="s">
        <v>2754</v>
      </c>
      <c r="H322" s="699" t="s">
        <v>2755</v>
      </c>
      <c r="I322" s="711">
        <v>506</v>
      </c>
      <c r="J322" s="711">
        <v>5</v>
      </c>
      <c r="K322" s="712">
        <v>2530</v>
      </c>
    </row>
    <row r="323" spans="1:11" ht="14.4" customHeight="1" x14ac:dyDescent="0.3">
      <c r="A323" s="695" t="s">
        <v>556</v>
      </c>
      <c r="B323" s="696" t="s">
        <v>557</v>
      </c>
      <c r="C323" s="699" t="s">
        <v>574</v>
      </c>
      <c r="D323" s="720" t="s">
        <v>3570</v>
      </c>
      <c r="E323" s="699" t="s">
        <v>3571</v>
      </c>
      <c r="F323" s="720" t="s">
        <v>3572</v>
      </c>
      <c r="G323" s="699" t="s">
        <v>2756</v>
      </c>
      <c r="H323" s="699" t="s">
        <v>2757</v>
      </c>
      <c r="I323" s="711">
        <v>506</v>
      </c>
      <c r="J323" s="711">
        <v>5</v>
      </c>
      <c r="K323" s="712">
        <v>2530</v>
      </c>
    </row>
    <row r="324" spans="1:11" ht="14.4" customHeight="1" x14ac:dyDescent="0.3">
      <c r="A324" s="695" t="s">
        <v>556</v>
      </c>
      <c r="B324" s="696" t="s">
        <v>557</v>
      </c>
      <c r="C324" s="699" t="s">
        <v>574</v>
      </c>
      <c r="D324" s="720" t="s">
        <v>3570</v>
      </c>
      <c r="E324" s="699" t="s">
        <v>3571</v>
      </c>
      <c r="F324" s="720" t="s">
        <v>3572</v>
      </c>
      <c r="G324" s="699" t="s">
        <v>2758</v>
      </c>
      <c r="H324" s="699" t="s">
        <v>2759</v>
      </c>
      <c r="I324" s="711">
        <v>471.94</v>
      </c>
      <c r="J324" s="711">
        <v>5</v>
      </c>
      <c r="K324" s="712">
        <v>2359.7199999999998</v>
      </c>
    </row>
    <row r="325" spans="1:11" ht="14.4" customHeight="1" x14ac:dyDescent="0.3">
      <c r="A325" s="695" t="s">
        <v>556</v>
      </c>
      <c r="B325" s="696" t="s">
        <v>557</v>
      </c>
      <c r="C325" s="699" t="s">
        <v>574</v>
      </c>
      <c r="D325" s="720" t="s">
        <v>3570</v>
      </c>
      <c r="E325" s="699" t="s">
        <v>3571</v>
      </c>
      <c r="F325" s="720" t="s">
        <v>3572</v>
      </c>
      <c r="G325" s="699" t="s">
        <v>2760</v>
      </c>
      <c r="H325" s="699" t="s">
        <v>2761</v>
      </c>
      <c r="I325" s="711">
        <v>1385.75</v>
      </c>
      <c r="J325" s="711">
        <v>4</v>
      </c>
      <c r="K325" s="712">
        <v>5543</v>
      </c>
    </row>
    <row r="326" spans="1:11" ht="14.4" customHeight="1" x14ac:dyDescent="0.3">
      <c r="A326" s="695" t="s">
        <v>556</v>
      </c>
      <c r="B326" s="696" t="s">
        <v>557</v>
      </c>
      <c r="C326" s="699" t="s">
        <v>574</v>
      </c>
      <c r="D326" s="720" t="s">
        <v>3570</v>
      </c>
      <c r="E326" s="699" t="s">
        <v>3571</v>
      </c>
      <c r="F326" s="720" t="s">
        <v>3572</v>
      </c>
      <c r="G326" s="699" t="s">
        <v>2762</v>
      </c>
      <c r="H326" s="699" t="s">
        <v>2763</v>
      </c>
      <c r="I326" s="711">
        <v>329.47111111111121</v>
      </c>
      <c r="J326" s="711">
        <v>16</v>
      </c>
      <c r="K326" s="712">
        <v>5271.58</v>
      </c>
    </row>
    <row r="327" spans="1:11" ht="14.4" customHeight="1" x14ac:dyDescent="0.3">
      <c r="A327" s="695" t="s">
        <v>556</v>
      </c>
      <c r="B327" s="696" t="s">
        <v>557</v>
      </c>
      <c r="C327" s="699" t="s">
        <v>574</v>
      </c>
      <c r="D327" s="720" t="s">
        <v>3570</v>
      </c>
      <c r="E327" s="699" t="s">
        <v>3571</v>
      </c>
      <c r="F327" s="720" t="s">
        <v>3572</v>
      </c>
      <c r="G327" s="699" t="s">
        <v>2764</v>
      </c>
      <c r="H327" s="699" t="s">
        <v>2765</v>
      </c>
      <c r="I327" s="711">
        <v>329.47714285714289</v>
      </c>
      <c r="J327" s="711">
        <v>9</v>
      </c>
      <c r="K327" s="712">
        <v>2965.3399999999997</v>
      </c>
    </row>
    <row r="328" spans="1:11" ht="14.4" customHeight="1" x14ac:dyDescent="0.3">
      <c r="A328" s="695" t="s">
        <v>556</v>
      </c>
      <c r="B328" s="696" t="s">
        <v>557</v>
      </c>
      <c r="C328" s="699" t="s">
        <v>574</v>
      </c>
      <c r="D328" s="720" t="s">
        <v>3570</v>
      </c>
      <c r="E328" s="699" t="s">
        <v>3571</v>
      </c>
      <c r="F328" s="720" t="s">
        <v>3572</v>
      </c>
      <c r="G328" s="699" t="s">
        <v>2766</v>
      </c>
      <c r="H328" s="699" t="s">
        <v>2767</v>
      </c>
      <c r="I328" s="711">
        <v>4452.8</v>
      </c>
      <c r="J328" s="711">
        <v>3</v>
      </c>
      <c r="K328" s="712">
        <v>13358.400000000001</v>
      </c>
    </row>
    <row r="329" spans="1:11" ht="14.4" customHeight="1" x14ac:dyDescent="0.3">
      <c r="A329" s="695" t="s">
        <v>556</v>
      </c>
      <c r="B329" s="696" t="s">
        <v>557</v>
      </c>
      <c r="C329" s="699" t="s">
        <v>574</v>
      </c>
      <c r="D329" s="720" t="s">
        <v>3570</v>
      </c>
      <c r="E329" s="699" t="s">
        <v>3571</v>
      </c>
      <c r="F329" s="720" t="s">
        <v>3572</v>
      </c>
      <c r="G329" s="699" t="s">
        <v>2768</v>
      </c>
      <c r="H329" s="699" t="s">
        <v>2769</v>
      </c>
      <c r="I329" s="711">
        <v>1179.9142857142858</v>
      </c>
      <c r="J329" s="711">
        <v>12</v>
      </c>
      <c r="K329" s="712">
        <v>14158.900000000001</v>
      </c>
    </row>
    <row r="330" spans="1:11" ht="14.4" customHeight="1" x14ac:dyDescent="0.3">
      <c r="A330" s="695" t="s">
        <v>556</v>
      </c>
      <c r="B330" s="696" t="s">
        <v>557</v>
      </c>
      <c r="C330" s="699" t="s">
        <v>574</v>
      </c>
      <c r="D330" s="720" t="s">
        <v>3570</v>
      </c>
      <c r="E330" s="699" t="s">
        <v>3571</v>
      </c>
      <c r="F330" s="720" t="s">
        <v>3572</v>
      </c>
      <c r="G330" s="699" t="s">
        <v>2770</v>
      </c>
      <c r="H330" s="699" t="s">
        <v>2771</v>
      </c>
      <c r="I330" s="711">
        <v>1000.5</v>
      </c>
      <c r="J330" s="711">
        <v>6</v>
      </c>
      <c r="K330" s="712">
        <v>6003</v>
      </c>
    </row>
    <row r="331" spans="1:11" ht="14.4" customHeight="1" x14ac:dyDescent="0.3">
      <c r="A331" s="695" t="s">
        <v>556</v>
      </c>
      <c r="B331" s="696" t="s">
        <v>557</v>
      </c>
      <c r="C331" s="699" t="s">
        <v>574</v>
      </c>
      <c r="D331" s="720" t="s">
        <v>3570</v>
      </c>
      <c r="E331" s="699" t="s">
        <v>3571</v>
      </c>
      <c r="F331" s="720" t="s">
        <v>3572</v>
      </c>
      <c r="G331" s="699" t="s">
        <v>2772</v>
      </c>
      <c r="H331" s="699" t="s">
        <v>2773</v>
      </c>
      <c r="I331" s="711">
        <v>712.51</v>
      </c>
      <c r="J331" s="711">
        <v>6</v>
      </c>
      <c r="K331" s="712">
        <v>4275.0599999999995</v>
      </c>
    </row>
    <row r="332" spans="1:11" ht="14.4" customHeight="1" x14ac:dyDescent="0.3">
      <c r="A332" s="695" t="s">
        <v>556</v>
      </c>
      <c r="B332" s="696" t="s">
        <v>557</v>
      </c>
      <c r="C332" s="699" t="s">
        <v>574</v>
      </c>
      <c r="D332" s="720" t="s">
        <v>3570</v>
      </c>
      <c r="E332" s="699" t="s">
        <v>3571</v>
      </c>
      <c r="F332" s="720" t="s">
        <v>3572</v>
      </c>
      <c r="G332" s="699" t="s">
        <v>2774</v>
      </c>
      <c r="H332" s="699" t="s">
        <v>2775</v>
      </c>
      <c r="I332" s="711">
        <v>527.87999999999988</v>
      </c>
      <c r="J332" s="711">
        <v>8</v>
      </c>
      <c r="K332" s="712">
        <v>4223.25</v>
      </c>
    </row>
    <row r="333" spans="1:11" ht="14.4" customHeight="1" x14ac:dyDescent="0.3">
      <c r="A333" s="695" t="s">
        <v>556</v>
      </c>
      <c r="B333" s="696" t="s">
        <v>557</v>
      </c>
      <c r="C333" s="699" t="s">
        <v>574</v>
      </c>
      <c r="D333" s="720" t="s">
        <v>3570</v>
      </c>
      <c r="E333" s="699" t="s">
        <v>3571</v>
      </c>
      <c r="F333" s="720" t="s">
        <v>3572</v>
      </c>
      <c r="G333" s="699" t="s">
        <v>2776</v>
      </c>
      <c r="H333" s="699" t="s">
        <v>2777</v>
      </c>
      <c r="I333" s="711">
        <v>527.85</v>
      </c>
      <c r="J333" s="711">
        <v>3</v>
      </c>
      <c r="K333" s="712">
        <v>1583.5500000000002</v>
      </c>
    </row>
    <row r="334" spans="1:11" ht="14.4" customHeight="1" x14ac:dyDescent="0.3">
      <c r="A334" s="695" t="s">
        <v>556</v>
      </c>
      <c r="B334" s="696" t="s">
        <v>557</v>
      </c>
      <c r="C334" s="699" t="s">
        <v>574</v>
      </c>
      <c r="D334" s="720" t="s">
        <v>3570</v>
      </c>
      <c r="E334" s="699" t="s">
        <v>3571</v>
      </c>
      <c r="F334" s="720" t="s">
        <v>3572</v>
      </c>
      <c r="G334" s="699" t="s">
        <v>2778</v>
      </c>
      <c r="H334" s="699" t="s">
        <v>2779</v>
      </c>
      <c r="I334" s="711">
        <v>527.85</v>
      </c>
      <c r="J334" s="711">
        <v>5</v>
      </c>
      <c r="K334" s="712">
        <v>2639.25</v>
      </c>
    </row>
    <row r="335" spans="1:11" ht="14.4" customHeight="1" x14ac:dyDescent="0.3">
      <c r="A335" s="695" t="s">
        <v>556</v>
      </c>
      <c r="B335" s="696" t="s">
        <v>557</v>
      </c>
      <c r="C335" s="699" t="s">
        <v>574</v>
      </c>
      <c r="D335" s="720" t="s">
        <v>3570</v>
      </c>
      <c r="E335" s="699" t="s">
        <v>3571</v>
      </c>
      <c r="F335" s="720" t="s">
        <v>3572</v>
      </c>
      <c r="G335" s="699" t="s">
        <v>2780</v>
      </c>
      <c r="H335" s="699" t="s">
        <v>2781</v>
      </c>
      <c r="I335" s="711">
        <v>527.9</v>
      </c>
      <c r="J335" s="711">
        <v>7</v>
      </c>
      <c r="K335" s="712">
        <v>3695.7</v>
      </c>
    </row>
    <row r="336" spans="1:11" ht="14.4" customHeight="1" x14ac:dyDescent="0.3">
      <c r="A336" s="695" t="s">
        <v>556</v>
      </c>
      <c r="B336" s="696" t="s">
        <v>557</v>
      </c>
      <c r="C336" s="699" t="s">
        <v>574</v>
      </c>
      <c r="D336" s="720" t="s">
        <v>3570</v>
      </c>
      <c r="E336" s="699" t="s">
        <v>3571</v>
      </c>
      <c r="F336" s="720" t="s">
        <v>3572</v>
      </c>
      <c r="G336" s="699" t="s">
        <v>2782</v>
      </c>
      <c r="H336" s="699" t="s">
        <v>2783</v>
      </c>
      <c r="I336" s="711">
        <v>1847.9341666666667</v>
      </c>
      <c r="J336" s="711">
        <v>35</v>
      </c>
      <c r="K336" s="712">
        <v>64677.729999999996</v>
      </c>
    </row>
    <row r="337" spans="1:11" ht="14.4" customHeight="1" x14ac:dyDescent="0.3">
      <c r="A337" s="695" t="s">
        <v>556</v>
      </c>
      <c r="B337" s="696" t="s">
        <v>557</v>
      </c>
      <c r="C337" s="699" t="s">
        <v>574</v>
      </c>
      <c r="D337" s="720" t="s">
        <v>3570</v>
      </c>
      <c r="E337" s="699" t="s">
        <v>3571</v>
      </c>
      <c r="F337" s="720" t="s">
        <v>3572</v>
      </c>
      <c r="G337" s="699" t="s">
        <v>2784</v>
      </c>
      <c r="H337" s="699" t="s">
        <v>2785</v>
      </c>
      <c r="I337" s="711">
        <v>329.46799999999996</v>
      </c>
      <c r="J337" s="711">
        <v>6</v>
      </c>
      <c r="K337" s="712">
        <v>1976.84</v>
      </c>
    </row>
    <row r="338" spans="1:11" ht="14.4" customHeight="1" x14ac:dyDescent="0.3">
      <c r="A338" s="695" t="s">
        <v>556</v>
      </c>
      <c r="B338" s="696" t="s">
        <v>557</v>
      </c>
      <c r="C338" s="699" t="s">
        <v>574</v>
      </c>
      <c r="D338" s="720" t="s">
        <v>3570</v>
      </c>
      <c r="E338" s="699" t="s">
        <v>3571</v>
      </c>
      <c r="F338" s="720" t="s">
        <v>3572</v>
      </c>
      <c r="G338" s="699" t="s">
        <v>2786</v>
      </c>
      <c r="H338" s="699" t="s">
        <v>2787</v>
      </c>
      <c r="I338" s="711">
        <v>433.20666666666665</v>
      </c>
      <c r="J338" s="711">
        <v>3</v>
      </c>
      <c r="K338" s="712">
        <v>1299.6199999999999</v>
      </c>
    </row>
    <row r="339" spans="1:11" ht="14.4" customHeight="1" x14ac:dyDescent="0.3">
      <c r="A339" s="695" t="s">
        <v>556</v>
      </c>
      <c r="B339" s="696" t="s">
        <v>557</v>
      </c>
      <c r="C339" s="699" t="s">
        <v>574</v>
      </c>
      <c r="D339" s="720" t="s">
        <v>3570</v>
      </c>
      <c r="E339" s="699" t="s">
        <v>3571</v>
      </c>
      <c r="F339" s="720" t="s">
        <v>3572</v>
      </c>
      <c r="G339" s="699" t="s">
        <v>2788</v>
      </c>
      <c r="H339" s="699" t="s">
        <v>2789</v>
      </c>
      <c r="I339" s="711">
        <v>517.58399999999995</v>
      </c>
      <c r="J339" s="711">
        <v>5</v>
      </c>
      <c r="K339" s="712">
        <v>2587.9199999999996</v>
      </c>
    </row>
    <row r="340" spans="1:11" ht="14.4" customHeight="1" x14ac:dyDescent="0.3">
      <c r="A340" s="695" t="s">
        <v>556</v>
      </c>
      <c r="B340" s="696" t="s">
        <v>557</v>
      </c>
      <c r="C340" s="699" t="s">
        <v>574</v>
      </c>
      <c r="D340" s="720" t="s">
        <v>3570</v>
      </c>
      <c r="E340" s="699" t="s">
        <v>3571</v>
      </c>
      <c r="F340" s="720" t="s">
        <v>3572</v>
      </c>
      <c r="G340" s="699" t="s">
        <v>2790</v>
      </c>
      <c r="H340" s="699" t="s">
        <v>2791</v>
      </c>
      <c r="I340" s="711">
        <v>1847.9212500000001</v>
      </c>
      <c r="J340" s="711">
        <v>21</v>
      </c>
      <c r="K340" s="712">
        <v>38806.449999999997</v>
      </c>
    </row>
    <row r="341" spans="1:11" ht="14.4" customHeight="1" x14ac:dyDescent="0.3">
      <c r="A341" s="695" t="s">
        <v>556</v>
      </c>
      <c r="B341" s="696" t="s">
        <v>557</v>
      </c>
      <c r="C341" s="699" t="s">
        <v>574</v>
      </c>
      <c r="D341" s="720" t="s">
        <v>3570</v>
      </c>
      <c r="E341" s="699" t="s">
        <v>3571</v>
      </c>
      <c r="F341" s="720" t="s">
        <v>3572</v>
      </c>
      <c r="G341" s="699" t="s">
        <v>2792</v>
      </c>
      <c r="H341" s="699" t="s">
        <v>2793</v>
      </c>
      <c r="I341" s="711">
        <v>517.56999999999994</v>
      </c>
      <c r="J341" s="711">
        <v>6</v>
      </c>
      <c r="K341" s="712">
        <v>3105.39</v>
      </c>
    </row>
    <row r="342" spans="1:11" ht="14.4" customHeight="1" x14ac:dyDescent="0.3">
      <c r="A342" s="695" t="s">
        <v>556</v>
      </c>
      <c r="B342" s="696" t="s">
        <v>557</v>
      </c>
      <c r="C342" s="699" t="s">
        <v>574</v>
      </c>
      <c r="D342" s="720" t="s">
        <v>3570</v>
      </c>
      <c r="E342" s="699" t="s">
        <v>3571</v>
      </c>
      <c r="F342" s="720" t="s">
        <v>3572</v>
      </c>
      <c r="G342" s="699" t="s">
        <v>2794</v>
      </c>
      <c r="H342" s="699" t="s">
        <v>2795</v>
      </c>
      <c r="I342" s="711">
        <v>229.125</v>
      </c>
      <c r="J342" s="711">
        <v>7</v>
      </c>
      <c r="K342" s="712">
        <v>1603.85</v>
      </c>
    </row>
    <row r="343" spans="1:11" ht="14.4" customHeight="1" x14ac:dyDescent="0.3">
      <c r="A343" s="695" t="s">
        <v>556</v>
      </c>
      <c r="B343" s="696" t="s">
        <v>557</v>
      </c>
      <c r="C343" s="699" t="s">
        <v>574</v>
      </c>
      <c r="D343" s="720" t="s">
        <v>3570</v>
      </c>
      <c r="E343" s="699" t="s">
        <v>3571</v>
      </c>
      <c r="F343" s="720" t="s">
        <v>3572</v>
      </c>
      <c r="G343" s="699" t="s">
        <v>2796</v>
      </c>
      <c r="H343" s="699" t="s">
        <v>2797</v>
      </c>
      <c r="I343" s="711">
        <v>11384.05</v>
      </c>
      <c r="J343" s="711">
        <v>2</v>
      </c>
      <c r="K343" s="712">
        <v>22768.1</v>
      </c>
    </row>
    <row r="344" spans="1:11" ht="14.4" customHeight="1" x14ac:dyDescent="0.3">
      <c r="A344" s="695" t="s">
        <v>556</v>
      </c>
      <c r="B344" s="696" t="s">
        <v>557</v>
      </c>
      <c r="C344" s="699" t="s">
        <v>574</v>
      </c>
      <c r="D344" s="720" t="s">
        <v>3570</v>
      </c>
      <c r="E344" s="699" t="s">
        <v>3571</v>
      </c>
      <c r="F344" s="720" t="s">
        <v>3572</v>
      </c>
      <c r="G344" s="699" t="s">
        <v>2798</v>
      </c>
      <c r="H344" s="699" t="s">
        <v>2799</v>
      </c>
      <c r="I344" s="711">
        <v>712.51499999999987</v>
      </c>
      <c r="J344" s="711">
        <v>4</v>
      </c>
      <c r="K344" s="712">
        <v>2850.0599999999995</v>
      </c>
    </row>
    <row r="345" spans="1:11" ht="14.4" customHeight="1" x14ac:dyDescent="0.3">
      <c r="A345" s="695" t="s">
        <v>556</v>
      </c>
      <c r="B345" s="696" t="s">
        <v>557</v>
      </c>
      <c r="C345" s="699" t="s">
        <v>574</v>
      </c>
      <c r="D345" s="720" t="s">
        <v>3570</v>
      </c>
      <c r="E345" s="699" t="s">
        <v>3571</v>
      </c>
      <c r="F345" s="720" t="s">
        <v>3572</v>
      </c>
      <c r="G345" s="699" t="s">
        <v>2800</v>
      </c>
      <c r="H345" s="699" t="s">
        <v>2801</v>
      </c>
      <c r="I345" s="711">
        <v>68.97</v>
      </c>
      <c r="J345" s="711">
        <v>150</v>
      </c>
      <c r="K345" s="712">
        <v>10345.580000000002</v>
      </c>
    </row>
    <row r="346" spans="1:11" ht="14.4" customHeight="1" x14ac:dyDescent="0.3">
      <c r="A346" s="695" t="s">
        <v>556</v>
      </c>
      <c r="B346" s="696" t="s">
        <v>557</v>
      </c>
      <c r="C346" s="699" t="s">
        <v>574</v>
      </c>
      <c r="D346" s="720" t="s">
        <v>3570</v>
      </c>
      <c r="E346" s="699" t="s">
        <v>3571</v>
      </c>
      <c r="F346" s="720" t="s">
        <v>3572</v>
      </c>
      <c r="G346" s="699" t="s">
        <v>2802</v>
      </c>
      <c r="H346" s="699" t="s">
        <v>2803</v>
      </c>
      <c r="I346" s="711">
        <v>1029.43</v>
      </c>
      <c r="J346" s="711">
        <v>1</v>
      </c>
      <c r="K346" s="712">
        <v>1029.43</v>
      </c>
    </row>
    <row r="347" spans="1:11" ht="14.4" customHeight="1" x14ac:dyDescent="0.3">
      <c r="A347" s="695" t="s">
        <v>556</v>
      </c>
      <c r="B347" s="696" t="s">
        <v>557</v>
      </c>
      <c r="C347" s="699" t="s">
        <v>574</v>
      </c>
      <c r="D347" s="720" t="s">
        <v>3570</v>
      </c>
      <c r="E347" s="699" t="s">
        <v>3571</v>
      </c>
      <c r="F347" s="720" t="s">
        <v>3572</v>
      </c>
      <c r="G347" s="699" t="s">
        <v>2804</v>
      </c>
      <c r="H347" s="699" t="s">
        <v>2805</v>
      </c>
      <c r="I347" s="711">
        <v>1029.43</v>
      </c>
      <c r="J347" s="711">
        <v>1</v>
      </c>
      <c r="K347" s="712">
        <v>1029.43</v>
      </c>
    </row>
    <row r="348" spans="1:11" ht="14.4" customHeight="1" x14ac:dyDescent="0.3">
      <c r="A348" s="695" t="s">
        <v>556</v>
      </c>
      <c r="B348" s="696" t="s">
        <v>557</v>
      </c>
      <c r="C348" s="699" t="s">
        <v>574</v>
      </c>
      <c r="D348" s="720" t="s">
        <v>3570</v>
      </c>
      <c r="E348" s="699" t="s">
        <v>3571</v>
      </c>
      <c r="F348" s="720" t="s">
        <v>3572</v>
      </c>
      <c r="G348" s="699" t="s">
        <v>2806</v>
      </c>
      <c r="H348" s="699" t="s">
        <v>2807</v>
      </c>
      <c r="I348" s="711">
        <v>7705</v>
      </c>
      <c r="J348" s="711">
        <v>5</v>
      </c>
      <c r="K348" s="712">
        <v>38525</v>
      </c>
    </row>
    <row r="349" spans="1:11" ht="14.4" customHeight="1" x14ac:dyDescent="0.3">
      <c r="A349" s="695" t="s">
        <v>556</v>
      </c>
      <c r="B349" s="696" t="s">
        <v>557</v>
      </c>
      <c r="C349" s="699" t="s">
        <v>574</v>
      </c>
      <c r="D349" s="720" t="s">
        <v>3570</v>
      </c>
      <c r="E349" s="699" t="s">
        <v>3571</v>
      </c>
      <c r="F349" s="720" t="s">
        <v>3572</v>
      </c>
      <c r="G349" s="699" t="s">
        <v>2808</v>
      </c>
      <c r="H349" s="699" t="s">
        <v>2809</v>
      </c>
      <c r="I349" s="711">
        <v>1692.8999999999999</v>
      </c>
      <c r="J349" s="711">
        <v>20</v>
      </c>
      <c r="K349" s="712">
        <v>33858.050000000003</v>
      </c>
    </row>
    <row r="350" spans="1:11" ht="14.4" customHeight="1" x14ac:dyDescent="0.3">
      <c r="A350" s="695" t="s">
        <v>556</v>
      </c>
      <c r="B350" s="696" t="s">
        <v>557</v>
      </c>
      <c r="C350" s="699" t="s">
        <v>574</v>
      </c>
      <c r="D350" s="720" t="s">
        <v>3570</v>
      </c>
      <c r="E350" s="699" t="s">
        <v>3571</v>
      </c>
      <c r="F350" s="720" t="s">
        <v>3572</v>
      </c>
      <c r="G350" s="699" t="s">
        <v>2810</v>
      </c>
      <c r="H350" s="699" t="s">
        <v>2811</v>
      </c>
      <c r="I350" s="711">
        <v>7791.91</v>
      </c>
      <c r="J350" s="711">
        <v>1</v>
      </c>
      <c r="K350" s="712">
        <v>7791.91</v>
      </c>
    </row>
    <row r="351" spans="1:11" ht="14.4" customHeight="1" x14ac:dyDescent="0.3">
      <c r="A351" s="695" t="s">
        <v>556</v>
      </c>
      <c r="B351" s="696" t="s">
        <v>557</v>
      </c>
      <c r="C351" s="699" t="s">
        <v>574</v>
      </c>
      <c r="D351" s="720" t="s">
        <v>3570</v>
      </c>
      <c r="E351" s="699" t="s">
        <v>3571</v>
      </c>
      <c r="F351" s="720" t="s">
        <v>3572</v>
      </c>
      <c r="G351" s="699" t="s">
        <v>2812</v>
      </c>
      <c r="H351" s="699" t="s">
        <v>2813</v>
      </c>
      <c r="I351" s="711">
        <v>1094.4000000000001</v>
      </c>
      <c r="J351" s="711">
        <v>1</v>
      </c>
      <c r="K351" s="712">
        <v>1094.4000000000001</v>
      </c>
    </row>
    <row r="352" spans="1:11" ht="14.4" customHeight="1" x14ac:dyDescent="0.3">
      <c r="A352" s="695" t="s">
        <v>556</v>
      </c>
      <c r="B352" s="696" t="s">
        <v>557</v>
      </c>
      <c r="C352" s="699" t="s">
        <v>574</v>
      </c>
      <c r="D352" s="720" t="s">
        <v>3570</v>
      </c>
      <c r="E352" s="699" t="s">
        <v>3571</v>
      </c>
      <c r="F352" s="720" t="s">
        <v>3572</v>
      </c>
      <c r="G352" s="699" t="s">
        <v>2814</v>
      </c>
      <c r="H352" s="699" t="s">
        <v>2815</v>
      </c>
      <c r="I352" s="711">
        <v>1253.99</v>
      </c>
      <c r="J352" s="711">
        <v>2</v>
      </c>
      <c r="K352" s="712">
        <v>2507.9899999999998</v>
      </c>
    </row>
    <row r="353" spans="1:11" ht="14.4" customHeight="1" x14ac:dyDescent="0.3">
      <c r="A353" s="695" t="s">
        <v>556</v>
      </c>
      <c r="B353" s="696" t="s">
        <v>557</v>
      </c>
      <c r="C353" s="699" t="s">
        <v>574</v>
      </c>
      <c r="D353" s="720" t="s">
        <v>3570</v>
      </c>
      <c r="E353" s="699" t="s">
        <v>3571</v>
      </c>
      <c r="F353" s="720" t="s">
        <v>3572</v>
      </c>
      <c r="G353" s="699" t="s">
        <v>2816</v>
      </c>
      <c r="H353" s="699" t="s">
        <v>2817</v>
      </c>
      <c r="I353" s="711">
        <v>1347.48</v>
      </c>
      <c r="J353" s="711">
        <v>1</v>
      </c>
      <c r="K353" s="712">
        <v>1347.48</v>
      </c>
    </row>
    <row r="354" spans="1:11" ht="14.4" customHeight="1" x14ac:dyDescent="0.3">
      <c r="A354" s="695" t="s">
        <v>556</v>
      </c>
      <c r="B354" s="696" t="s">
        <v>557</v>
      </c>
      <c r="C354" s="699" t="s">
        <v>574</v>
      </c>
      <c r="D354" s="720" t="s">
        <v>3570</v>
      </c>
      <c r="E354" s="699" t="s">
        <v>3571</v>
      </c>
      <c r="F354" s="720" t="s">
        <v>3572</v>
      </c>
      <c r="G354" s="699" t="s">
        <v>2818</v>
      </c>
      <c r="H354" s="699" t="s">
        <v>2819</v>
      </c>
      <c r="I354" s="711">
        <v>1274.52</v>
      </c>
      <c r="J354" s="711">
        <v>2</v>
      </c>
      <c r="K354" s="712">
        <v>2549.04</v>
      </c>
    </row>
    <row r="355" spans="1:11" ht="14.4" customHeight="1" x14ac:dyDescent="0.3">
      <c r="A355" s="695" t="s">
        <v>556</v>
      </c>
      <c r="B355" s="696" t="s">
        <v>557</v>
      </c>
      <c r="C355" s="699" t="s">
        <v>574</v>
      </c>
      <c r="D355" s="720" t="s">
        <v>3570</v>
      </c>
      <c r="E355" s="699" t="s">
        <v>3571</v>
      </c>
      <c r="F355" s="720" t="s">
        <v>3572</v>
      </c>
      <c r="G355" s="699" t="s">
        <v>2820</v>
      </c>
      <c r="H355" s="699" t="s">
        <v>2821</v>
      </c>
      <c r="I355" s="711">
        <v>1359.13</v>
      </c>
      <c r="J355" s="711">
        <v>5</v>
      </c>
      <c r="K355" s="712">
        <v>6795.91</v>
      </c>
    </row>
    <row r="356" spans="1:11" ht="14.4" customHeight="1" x14ac:dyDescent="0.3">
      <c r="A356" s="695" t="s">
        <v>556</v>
      </c>
      <c r="B356" s="696" t="s">
        <v>557</v>
      </c>
      <c r="C356" s="699" t="s">
        <v>574</v>
      </c>
      <c r="D356" s="720" t="s">
        <v>3570</v>
      </c>
      <c r="E356" s="699" t="s">
        <v>3571</v>
      </c>
      <c r="F356" s="720" t="s">
        <v>3572</v>
      </c>
      <c r="G356" s="699" t="s">
        <v>2822</v>
      </c>
      <c r="H356" s="699" t="s">
        <v>2823</v>
      </c>
      <c r="I356" s="711">
        <v>1358.87</v>
      </c>
      <c r="J356" s="711">
        <v>1</v>
      </c>
      <c r="K356" s="712">
        <v>1358.87</v>
      </c>
    </row>
    <row r="357" spans="1:11" ht="14.4" customHeight="1" x14ac:dyDescent="0.3">
      <c r="A357" s="695" t="s">
        <v>556</v>
      </c>
      <c r="B357" s="696" t="s">
        <v>557</v>
      </c>
      <c r="C357" s="699" t="s">
        <v>574</v>
      </c>
      <c r="D357" s="720" t="s">
        <v>3570</v>
      </c>
      <c r="E357" s="699" t="s">
        <v>3571</v>
      </c>
      <c r="F357" s="720" t="s">
        <v>3572</v>
      </c>
      <c r="G357" s="699" t="s">
        <v>2824</v>
      </c>
      <c r="H357" s="699" t="s">
        <v>2825</v>
      </c>
      <c r="I357" s="711">
        <v>1358.88</v>
      </c>
      <c r="J357" s="711">
        <v>2</v>
      </c>
      <c r="K357" s="712">
        <v>2717.75</v>
      </c>
    </row>
    <row r="358" spans="1:11" ht="14.4" customHeight="1" x14ac:dyDescent="0.3">
      <c r="A358" s="695" t="s">
        <v>556</v>
      </c>
      <c r="B358" s="696" t="s">
        <v>557</v>
      </c>
      <c r="C358" s="699" t="s">
        <v>574</v>
      </c>
      <c r="D358" s="720" t="s">
        <v>3570</v>
      </c>
      <c r="E358" s="699" t="s">
        <v>3571</v>
      </c>
      <c r="F358" s="720" t="s">
        <v>3572</v>
      </c>
      <c r="G358" s="699" t="s">
        <v>2826</v>
      </c>
      <c r="H358" s="699" t="s">
        <v>2827</v>
      </c>
      <c r="I358" s="711">
        <v>344.24</v>
      </c>
      <c r="J358" s="711">
        <v>2</v>
      </c>
      <c r="K358" s="712">
        <v>688.48</v>
      </c>
    </row>
    <row r="359" spans="1:11" ht="14.4" customHeight="1" x14ac:dyDescent="0.3">
      <c r="A359" s="695" t="s">
        <v>556</v>
      </c>
      <c r="B359" s="696" t="s">
        <v>557</v>
      </c>
      <c r="C359" s="699" t="s">
        <v>574</v>
      </c>
      <c r="D359" s="720" t="s">
        <v>3570</v>
      </c>
      <c r="E359" s="699" t="s">
        <v>3571</v>
      </c>
      <c r="F359" s="720" t="s">
        <v>3572</v>
      </c>
      <c r="G359" s="699" t="s">
        <v>2828</v>
      </c>
      <c r="H359" s="699" t="s">
        <v>2829</v>
      </c>
      <c r="I359" s="711">
        <v>344.24</v>
      </c>
      <c r="J359" s="711">
        <v>2</v>
      </c>
      <c r="K359" s="712">
        <v>688.48</v>
      </c>
    </row>
    <row r="360" spans="1:11" ht="14.4" customHeight="1" x14ac:dyDescent="0.3">
      <c r="A360" s="695" t="s">
        <v>556</v>
      </c>
      <c r="B360" s="696" t="s">
        <v>557</v>
      </c>
      <c r="C360" s="699" t="s">
        <v>574</v>
      </c>
      <c r="D360" s="720" t="s">
        <v>3570</v>
      </c>
      <c r="E360" s="699" t="s">
        <v>3571</v>
      </c>
      <c r="F360" s="720" t="s">
        <v>3572</v>
      </c>
      <c r="G360" s="699" t="s">
        <v>2830</v>
      </c>
      <c r="H360" s="699" t="s">
        <v>2831</v>
      </c>
      <c r="I360" s="711">
        <v>344.28</v>
      </c>
      <c r="J360" s="711">
        <v>1</v>
      </c>
      <c r="K360" s="712">
        <v>344.28</v>
      </c>
    </row>
    <row r="361" spans="1:11" ht="14.4" customHeight="1" x14ac:dyDescent="0.3">
      <c r="A361" s="695" t="s">
        <v>556</v>
      </c>
      <c r="B361" s="696" t="s">
        <v>557</v>
      </c>
      <c r="C361" s="699" t="s">
        <v>574</v>
      </c>
      <c r="D361" s="720" t="s">
        <v>3570</v>
      </c>
      <c r="E361" s="699" t="s">
        <v>3571</v>
      </c>
      <c r="F361" s="720" t="s">
        <v>3572</v>
      </c>
      <c r="G361" s="699" t="s">
        <v>2832</v>
      </c>
      <c r="H361" s="699" t="s">
        <v>2833</v>
      </c>
      <c r="I361" s="711">
        <v>473.1</v>
      </c>
      <c r="J361" s="711">
        <v>2</v>
      </c>
      <c r="K361" s="712">
        <v>946.2</v>
      </c>
    </row>
    <row r="362" spans="1:11" ht="14.4" customHeight="1" x14ac:dyDescent="0.3">
      <c r="A362" s="695" t="s">
        <v>556</v>
      </c>
      <c r="B362" s="696" t="s">
        <v>557</v>
      </c>
      <c r="C362" s="699" t="s">
        <v>574</v>
      </c>
      <c r="D362" s="720" t="s">
        <v>3570</v>
      </c>
      <c r="E362" s="699" t="s">
        <v>3571</v>
      </c>
      <c r="F362" s="720" t="s">
        <v>3572</v>
      </c>
      <c r="G362" s="699" t="s">
        <v>2834</v>
      </c>
      <c r="H362" s="699" t="s">
        <v>2835</v>
      </c>
      <c r="I362" s="711">
        <v>1419.3</v>
      </c>
      <c r="J362" s="711">
        <v>3</v>
      </c>
      <c r="K362" s="712">
        <v>4257.8900000000003</v>
      </c>
    </row>
    <row r="363" spans="1:11" ht="14.4" customHeight="1" x14ac:dyDescent="0.3">
      <c r="A363" s="695" t="s">
        <v>556</v>
      </c>
      <c r="B363" s="696" t="s">
        <v>557</v>
      </c>
      <c r="C363" s="699" t="s">
        <v>574</v>
      </c>
      <c r="D363" s="720" t="s">
        <v>3570</v>
      </c>
      <c r="E363" s="699" t="s">
        <v>3571</v>
      </c>
      <c r="F363" s="720" t="s">
        <v>3572</v>
      </c>
      <c r="G363" s="699" t="s">
        <v>2836</v>
      </c>
      <c r="H363" s="699" t="s">
        <v>2837</v>
      </c>
      <c r="I363" s="711">
        <v>1419.4960000000001</v>
      </c>
      <c r="J363" s="711">
        <v>5</v>
      </c>
      <c r="K363" s="712">
        <v>7097.4800000000005</v>
      </c>
    </row>
    <row r="364" spans="1:11" ht="14.4" customHeight="1" x14ac:dyDescent="0.3">
      <c r="A364" s="695" t="s">
        <v>556</v>
      </c>
      <c r="B364" s="696" t="s">
        <v>557</v>
      </c>
      <c r="C364" s="699" t="s">
        <v>574</v>
      </c>
      <c r="D364" s="720" t="s">
        <v>3570</v>
      </c>
      <c r="E364" s="699" t="s">
        <v>3571</v>
      </c>
      <c r="F364" s="720" t="s">
        <v>3572</v>
      </c>
      <c r="G364" s="699" t="s">
        <v>2838</v>
      </c>
      <c r="H364" s="699" t="s">
        <v>2839</v>
      </c>
      <c r="I364" s="711">
        <v>1643.88</v>
      </c>
      <c r="J364" s="711">
        <v>1</v>
      </c>
      <c r="K364" s="712">
        <v>1643.88</v>
      </c>
    </row>
    <row r="365" spans="1:11" ht="14.4" customHeight="1" x14ac:dyDescent="0.3">
      <c r="A365" s="695" t="s">
        <v>556</v>
      </c>
      <c r="B365" s="696" t="s">
        <v>557</v>
      </c>
      <c r="C365" s="699" t="s">
        <v>574</v>
      </c>
      <c r="D365" s="720" t="s">
        <v>3570</v>
      </c>
      <c r="E365" s="699" t="s">
        <v>3571</v>
      </c>
      <c r="F365" s="720" t="s">
        <v>3572</v>
      </c>
      <c r="G365" s="699" t="s">
        <v>2840</v>
      </c>
      <c r="H365" s="699" t="s">
        <v>2841</v>
      </c>
      <c r="I365" s="711">
        <v>12640.32</v>
      </c>
      <c r="J365" s="711">
        <v>1</v>
      </c>
      <c r="K365" s="712">
        <v>12640.32</v>
      </c>
    </row>
    <row r="366" spans="1:11" ht="14.4" customHeight="1" x14ac:dyDescent="0.3">
      <c r="A366" s="695" t="s">
        <v>556</v>
      </c>
      <c r="B366" s="696" t="s">
        <v>557</v>
      </c>
      <c r="C366" s="699" t="s">
        <v>574</v>
      </c>
      <c r="D366" s="720" t="s">
        <v>3570</v>
      </c>
      <c r="E366" s="699" t="s">
        <v>3571</v>
      </c>
      <c r="F366" s="720" t="s">
        <v>3572</v>
      </c>
      <c r="G366" s="699" t="s">
        <v>2842</v>
      </c>
      <c r="H366" s="699" t="s">
        <v>2843</v>
      </c>
      <c r="I366" s="711">
        <v>11571</v>
      </c>
      <c r="J366" s="711">
        <v>1</v>
      </c>
      <c r="K366" s="712">
        <v>11571</v>
      </c>
    </row>
    <row r="367" spans="1:11" ht="14.4" customHeight="1" x14ac:dyDescent="0.3">
      <c r="A367" s="695" t="s">
        <v>556</v>
      </c>
      <c r="B367" s="696" t="s">
        <v>557</v>
      </c>
      <c r="C367" s="699" t="s">
        <v>574</v>
      </c>
      <c r="D367" s="720" t="s">
        <v>3570</v>
      </c>
      <c r="E367" s="699" t="s">
        <v>3571</v>
      </c>
      <c r="F367" s="720" t="s">
        <v>3572</v>
      </c>
      <c r="G367" s="699" t="s">
        <v>2844</v>
      </c>
      <c r="H367" s="699" t="s">
        <v>2845</v>
      </c>
      <c r="I367" s="711">
        <v>11571</v>
      </c>
      <c r="J367" s="711">
        <v>1</v>
      </c>
      <c r="K367" s="712">
        <v>11571</v>
      </c>
    </row>
    <row r="368" spans="1:11" ht="14.4" customHeight="1" x14ac:dyDescent="0.3">
      <c r="A368" s="695" t="s">
        <v>556</v>
      </c>
      <c r="B368" s="696" t="s">
        <v>557</v>
      </c>
      <c r="C368" s="699" t="s">
        <v>574</v>
      </c>
      <c r="D368" s="720" t="s">
        <v>3570</v>
      </c>
      <c r="E368" s="699" t="s">
        <v>3571</v>
      </c>
      <c r="F368" s="720" t="s">
        <v>3572</v>
      </c>
      <c r="G368" s="699" t="s">
        <v>2846</v>
      </c>
      <c r="H368" s="699" t="s">
        <v>2847</v>
      </c>
      <c r="I368" s="711">
        <v>2073.67</v>
      </c>
      <c r="J368" s="711">
        <v>4</v>
      </c>
      <c r="K368" s="712">
        <v>8294.67</v>
      </c>
    </row>
    <row r="369" spans="1:11" ht="14.4" customHeight="1" x14ac:dyDescent="0.3">
      <c r="A369" s="695" t="s">
        <v>556</v>
      </c>
      <c r="B369" s="696" t="s">
        <v>557</v>
      </c>
      <c r="C369" s="699" t="s">
        <v>574</v>
      </c>
      <c r="D369" s="720" t="s">
        <v>3570</v>
      </c>
      <c r="E369" s="699" t="s">
        <v>3571</v>
      </c>
      <c r="F369" s="720" t="s">
        <v>3572</v>
      </c>
      <c r="G369" s="699" t="s">
        <v>2848</v>
      </c>
      <c r="H369" s="699" t="s">
        <v>2849</v>
      </c>
      <c r="I369" s="711">
        <v>471.95</v>
      </c>
      <c r="J369" s="711">
        <v>2</v>
      </c>
      <c r="K369" s="712">
        <v>943.9</v>
      </c>
    </row>
    <row r="370" spans="1:11" ht="14.4" customHeight="1" x14ac:dyDescent="0.3">
      <c r="A370" s="695" t="s">
        <v>556</v>
      </c>
      <c r="B370" s="696" t="s">
        <v>557</v>
      </c>
      <c r="C370" s="699" t="s">
        <v>574</v>
      </c>
      <c r="D370" s="720" t="s">
        <v>3570</v>
      </c>
      <c r="E370" s="699" t="s">
        <v>3571</v>
      </c>
      <c r="F370" s="720" t="s">
        <v>3572</v>
      </c>
      <c r="G370" s="699" t="s">
        <v>2850</v>
      </c>
      <c r="H370" s="699" t="s">
        <v>2851</v>
      </c>
      <c r="I370" s="711">
        <v>466.25</v>
      </c>
      <c r="J370" s="711">
        <v>2</v>
      </c>
      <c r="K370" s="712">
        <v>932.51</v>
      </c>
    </row>
    <row r="371" spans="1:11" ht="14.4" customHeight="1" x14ac:dyDescent="0.3">
      <c r="A371" s="695" t="s">
        <v>556</v>
      </c>
      <c r="B371" s="696" t="s">
        <v>557</v>
      </c>
      <c r="C371" s="699" t="s">
        <v>574</v>
      </c>
      <c r="D371" s="720" t="s">
        <v>3570</v>
      </c>
      <c r="E371" s="699" t="s">
        <v>3571</v>
      </c>
      <c r="F371" s="720" t="s">
        <v>3572</v>
      </c>
      <c r="G371" s="699" t="s">
        <v>2852</v>
      </c>
      <c r="H371" s="699" t="s">
        <v>2853</v>
      </c>
      <c r="I371" s="711">
        <v>1033.9850000000001</v>
      </c>
      <c r="J371" s="711">
        <v>2</v>
      </c>
      <c r="K371" s="712">
        <v>2067.9700000000003</v>
      </c>
    </row>
    <row r="372" spans="1:11" ht="14.4" customHeight="1" x14ac:dyDescent="0.3">
      <c r="A372" s="695" t="s">
        <v>556</v>
      </c>
      <c r="B372" s="696" t="s">
        <v>557</v>
      </c>
      <c r="C372" s="699" t="s">
        <v>574</v>
      </c>
      <c r="D372" s="720" t="s">
        <v>3570</v>
      </c>
      <c r="E372" s="699" t="s">
        <v>3571</v>
      </c>
      <c r="F372" s="720" t="s">
        <v>3572</v>
      </c>
      <c r="G372" s="699" t="s">
        <v>2854</v>
      </c>
      <c r="H372" s="699" t="s">
        <v>2855</v>
      </c>
      <c r="I372" s="711">
        <v>1033.98</v>
      </c>
      <c r="J372" s="711">
        <v>1</v>
      </c>
      <c r="K372" s="712">
        <v>1033.98</v>
      </c>
    </row>
    <row r="373" spans="1:11" ht="14.4" customHeight="1" x14ac:dyDescent="0.3">
      <c r="A373" s="695" t="s">
        <v>556</v>
      </c>
      <c r="B373" s="696" t="s">
        <v>557</v>
      </c>
      <c r="C373" s="699" t="s">
        <v>574</v>
      </c>
      <c r="D373" s="720" t="s">
        <v>3570</v>
      </c>
      <c r="E373" s="699" t="s">
        <v>3571</v>
      </c>
      <c r="F373" s="720" t="s">
        <v>3572</v>
      </c>
      <c r="G373" s="699" t="s">
        <v>2856</v>
      </c>
      <c r="H373" s="699" t="s">
        <v>2857</v>
      </c>
      <c r="I373" s="711">
        <v>1033.98</v>
      </c>
      <c r="J373" s="711">
        <v>3</v>
      </c>
      <c r="K373" s="712">
        <v>3101.94</v>
      </c>
    </row>
    <row r="374" spans="1:11" ht="14.4" customHeight="1" x14ac:dyDescent="0.3">
      <c r="A374" s="695" t="s">
        <v>556</v>
      </c>
      <c r="B374" s="696" t="s">
        <v>557</v>
      </c>
      <c r="C374" s="699" t="s">
        <v>574</v>
      </c>
      <c r="D374" s="720" t="s">
        <v>3570</v>
      </c>
      <c r="E374" s="699" t="s">
        <v>3571</v>
      </c>
      <c r="F374" s="720" t="s">
        <v>3572</v>
      </c>
      <c r="G374" s="699" t="s">
        <v>2858</v>
      </c>
      <c r="H374" s="699" t="s">
        <v>2859</v>
      </c>
      <c r="I374" s="711">
        <v>1098.9533333333331</v>
      </c>
      <c r="J374" s="711">
        <v>12</v>
      </c>
      <c r="K374" s="712">
        <v>13187.45</v>
      </c>
    </row>
    <row r="375" spans="1:11" ht="14.4" customHeight="1" x14ac:dyDescent="0.3">
      <c r="A375" s="695" t="s">
        <v>556</v>
      </c>
      <c r="B375" s="696" t="s">
        <v>557</v>
      </c>
      <c r="C375" s="699" t="s">
        <v>574</v>
      </c>
      <c r="D375" s="720" t="s">
        <v>3570</v>
      </c>
      <c r="E375" s="699" t="s">
        <v>3571</v>
      </c>
      <c r="F375" s="720" t="s">
        <v>3572</v>
      </c>
      <c r="G375" s="699" t="s">
        <v>2860</v>
      </c>
      <c r="H375" s="699" t="s">
        <v>2861</v>
      </c>
      <c r="I375" s="711">
        <v>1179.9000000000001</v>
      </c>
      <c r="J375" s="711">
        <v>5</v>
      </c>
      <c r="K375" s="712">
        <v>5899.5</v>
      </c>
    </row>
    <row r="376" spans="1:11" ht="14.4" customHeight="1" x14ac:dyDescent="0.3">
      <c r="A376" s="695" t="s">
        <v>556</v>
      </c>
      <c r="B376" s="696" t="s">
        <v>557</v>
      </c>
      <c r="C376" s="699" t="s">
        <v>574</v>
      </c>
      <c r="D376" s="720" t="s">
        <v>3570</v>
      </c>
      <c r="E376" s="699" t="s">
        <v>3571</v>
      </c>
      <c r="F376" s="720" t="s">
        <v>3572</v>
      </c>
      <c r="G376" s="699" t="s">
        <v>2862</v>
      </c>
      <c r="H376" s="699" t="s">
        <v>2863</v>
      </c>
      <c r="I376" s="711">
        <v>1179.9028571428571</v>
      </c>
      <c r="J376" s="711">
        <v>12</v>
      </c>
      <c r="K376" s="712">
        <v>14158.84</v>
      </c>
    </row>
    <row r="377" spans="1:11" ht="14.4" customHeight="1" x14ac:dyDescent="0.3">
      <c r="A377" s="695" t="s">
        <v>556</v>
      </c>
      <c r="B377" s="696" t="s">
        <v>557</v>
      </c>
      <c r="C377" s="699" t="s">
        <v>574</v>
      </c>
      <c r="D377" s="720" t="s">
        <v>3570</v>
      </c>
      <c r="E377" s="699" t="s">
        <v>3571</v>
      </c>
      <c r="F377" s="720" t="s">
        <v>3572</v>
      </c>
      <c r="G377" s="699" t="s">
        <v>2864</v>
      </c>
      <c r="H377" s="699" t="s">
        <v>2865</v>
      </c>
      <c r="I377" s="711">
        <v>1247.1550000000002</v>
      </c>
      <c r="J377" s="711">
        <v>3</v>
      </c>
      <c r="K377" s="712">
        <v>3741.46</v>
      </c>
    </row>
    <row r="378" spans="1:11" ht="14.4" customHeight="1" x14ac:dyDescent="0.3">
      <c r="A378" s="695" t="s">
        <v>556</v>
      </c>
      <c r="B378" s="696" t="s">
        <v>557</v>
      </c>
      <c r="C378" s="699" t="s">
        <v>574</v>
      </c>
      <c r="D378" s="720" t="s">
        <v>3570</v>
      </c>
      <c r="E378" s="699" t="s">
        <v>3571</v>
      </c>
      <c r="F378" s="720" t="s">
        <v>3572</v>
      </c>
      <c r="G378" s="699" t="s">
        <v>2866</v>
      </c>
      <c r="H378" s="699" t="s">
        <v>2867</v>
      </c>
      <c r="I378" s="711">
        <v>1655.27</v>
      </c>
      <c r="J378" s="711">
        <v>1</v>
      </c>
      <c r="K378" s="712">
        <v>1655.27</v>
      </c>
    </row>
    <row r="379" spans="1:11" ht="14.4" customHeight="1" x14ac:dyDescent="0.3">
      <c r="A379" s="695" t="s">
        <v>556</v>
      </c>
      <c r="B379" s="696" t="s">
        <v>557</v>
      </c>
      <c r="C379" s="699" t="s">
        <v>574</v>
      </c>
      <c r="D379" s="720" t="s">
        <v>3570</v>
      </c>
      <c r="E379" s="699" t="s">
        <v>3571</v>
      </c>
      <c r="F379" s="720" t="s">
        <v>3572</v>
      </c>
      <c r="G379" s="699" t="s">
        <v>2868</v>
      </c>
      <c r="H379" s="699" t="s">
        <v>2869</v>
      </c>
      <c r="I379" s="711">
        <v>1764.0999999999997</v>
      </c>
      <c r="J379" s="711">
        <v>9</v>
      </c>
      <c r="K379" s="712">
        <v>15876.900000000001</v>
      </c>
    </row>
    <row r="380" spans="1:11" ht="14.4" customHeight="1" x14ac:dyDescent="0.3">
      <c r="A380" s="695" t="s">
        <v>556</v>
      </c>
      <c r="B380" s="696" t="s">
        <v>557</v>
      </c>
      <c r="C380" s="699" t="s">
        <v>574</v>
      </c>
      <c r="D380" s="720" t="s">
        <v>3570</v>
      </c>
      <c r="E380" s="699" t="s">
        <v>3571</v>
      </c>
      <c r="F380" s="720" t="s">
        <v>3572</v>
      </c>
      <c r="G380" s="699" t="s">
        <v>2870</v>
      </c>
      <c r="H380" s="699" t="s">
        <v>2871</v>
      </c>
      <c r="I380" s="711">
        <v>499.3175</v>
      </c>
      <c r="J380" s="711">
        <v>4</v>
      </c>
      <c r="K380" s="712">
        <v>1997.27</v>
      </c>
    </row>
    <row r="381" spans="1:11" ht="14.4" customHeight="1" x14ac:dyDescent="0.3">
      <c r="A381" s="695" t="s">
        <v>556</v>
      </c>
      <c r="B381" s="696" t="s">
        <v>557</v>
      </c>
      <c r="C381" s="699" t="s">
        <v>574</v>
      </c>
      <c r="D381" s="720" t="s">
        <v>3570</v>
      </c>
      <c r="E381" s="699" t="s">
        <v>3571</v>
      </c>
      <c r="F381" s="720" t="s">
        <v>3572</v>
      </c>
      <c r="G381" s="699" t="s">
        <v>2872</v>
      </c>
      <c r="H381" s="699" t="s">
        <v>2873</v>
      </c>
      <c r="I381" s="711">
        <v>499.32499999999999</v>
      </c>
      <c r="J381" s="711">
        <v>2</v>
      </c>
      <c r="K381" s="712">
        <v>998.65</v>
      </c>
    </row>
    <row r="382" spans="1:11" ht="14.4" customHeight="1" x14ac:dyDescent="0.3">
      <c r="A382" s="695" t="s">
        <v>556</v>
      </c>
      <c r="B382" s="696" t="s">
        <v>557</v>
      </c>
      <c r="C382" s="699" t="s">
        <v>574</v>
      </c>
      <c r="D382" s="720" t="s">
        <v>3570</v>
      </c>
      <c r="E382" s="699" t="s">
        <v>3571</v>
      </c>
      <c r="F382" s="720" t="s">
        <v>3572</v>
      </c>
      <c r="G382" s="699" t="s">
        <v>2874</v>
      </c>
      <c r="H382" s="699" t="s">
        <v>2875</v>
      </c>
      <c r="I382" s="711">
        <v>225.72499999999999</v>
      </c>
      <c r="J382" s="711">
        <v>6</v>
      </c>
      <c r="K382" s="712">
        <v>1354.35</v>
      </c>
    </row>
    <row r="383" spans="1:11" ht="14.4" customHeight="1" x14ac:dyDescent="0.3">
      <c r="A383" s="695" t="s">
        <v>556</v>
      </c>
      <c r="B383" s="696" t="s">
        <v>557</v>
      </c>
      <c r="C383" s="699" t="s">
        <v>574</v>
      </c>
      <c r="D383" s="720" t="s">
        <v>3570</v>
      </c>
      <c r="E383" s="699" t="s">
        <v>3571</v>
      </c>
      <c r="F383" s="720" t="s">
        <v>3572</v>
      </c>
      <c r="G383" s="699" t="s">
        <v>2876</v>
      </c>
      <c r="H383" s="699" t="s">
        <v>2877</v>
      </c>
      <c r="I383" s="711">
        <v>1247.1600000000001</v>
      </c>
      <c r="J383" s="711">
        <v>4</v>
      </c>
      <c r="K383" s="712">
        <v>4988.6499999999996</v>
      </c>
    </row>
    <row r="384" spans="1:11" ht="14.4" customHeight="1" x14ac:dyDescent="0.3">
      <c r="A384" s="695" t="s">
        <v>556</v>
      </c>
      <c r="B384" s="696" t="s">
        <v>557</v>
      </c>
      <c r="C384" s="699" t="s">
        <v>574</v>
      </c>
      <c r="D384" s="720" t="s">
        <v>3570</v>
      </c>
      <c r="E384" s="699" t="s">
        <v>3571</v>
      </c>
      <c r="F384" s="720" t="s">
        <v>3572</v>
      </c>
      <c r="G384" s="699" t="s">
        <v>2878</v>
      </c>
      <c r="H384" s="699" t="s">
        <v>2879</v>
      </c>
      <c r="I384" s="711">
        <v>1247.1600000000001</v>
      </c>
      <c r="J384" s="711">
        <v>2</v>
      </c>
      <c r="K384" s="712">
        <v>2494.33</v>
      </c>
    </row>
    <row r="385" spans="1:11" ht="14.4" customHeight="1" x14ac:dyDescent="0.3">
      <c r="A385" s="695" t="s">
        <v>556</v>
      </c>
      <c r="B385" s="696" t="s">
        <v>557</v>
      </c>
      <c r="C385" s="699" t="s">
        <v>574</v>
      </c>
      <c r="D385" s="720" t="s">
        <v>3570</v>
      </c>
      <c r="E385" s="699" t="s">
        <v>3571</v>
      </c>
      <c r="F385" s="720" t="s">
        <v>3572</v>
      </c>
      <c r="G385" s="699" t="s">
        <v>2880</v>
      </c>
      <c r="H385" s="699" t="s">
        <v>2881</v>
      </c>
      <c r="I385" s="711">
        <v>1421.58</v>
      </c>
      <c r="J385" s="711">
        <v>3</v>
      </c>
      <c r="K385" s="712">
        <v>4264.74</v>
      </c>
    </row>
    <row r="386" spans="1:11" ht="14.4" customHeight="1" x14ac:dyDescent="0.3">
      <c r="A386" s="695" t="s">
        <v>556</v>
      </c>
      <c r="B386" s="696" t="s">
        <v>557</v>
      </c>
      <c r="C386" s="699" t="s">
        <v>574</v>
      </c>
      <c r="D386" s="720" t="s">
        <v>3570</v>
      </c>
      <c r="E386" s="699" t="s">
        <v>3571</v>
      </c>
      <c r="F386" s="720" t="s">
        <v>3572</v>
      </c>
      <c r="G386" s="699" t="s">
        <v>2882</v>
      </c>
      <c r="H386" s="699" t="s">
        <v>2883</v>
      </c>
      <c r="I386" s="711">
        <v>5442.95</v>
      </c>
      <c r="J386" s="711">
        <v>1</v>
      </c>
      <c r="K386" s="712">
        <v>5442.95</v>
      </c>
    </row>
    <row r="387" spans="1:11" ht="14.4" customHeight="1" x14ac:dyDescent="0.3">
      <c r="A387" s="695" t="s">
        <v>556</v>
      </c>
      <c r="B387" s="696" t="s">
        <v>557</v>
      </c>
      <c r="C387" s="699" t="s">
        <v>574</v>
      </c>
      <c r="D387" s="720" t="s">
        <v>3570</v>
      </c>
      <c r="E387" s="699" t="s">
        <v>3571</v>
      </c>
      <c r="F387" s="720" t="s">
        <v>3572</v>
      </c>
      <c r="G387" s="699" t="s">
        <v>2884</v>
      </c>
      <c r="H387" s="699" t="s">
        <v>2885</v>
      </c>
      <c r="I387" s="711">
        <v>506</v>
      </c>
      <c r="J387" s="711">
        <v>1</v>
      </c>
      <c r="K387" s="712">
        <v>506</v>
      </c>
    </row>
    <row r="388" spans="1:11" ht="14.4" customHeight="1" x14ac:dyDescent="0.3">
      <c r="A388" s="695" t="s">
        <v>556</v>
      </c>
      <c r="B388" s="696" t="s">
        <v>557</v>
      </c>
      <c r="C388" s="699" t="s">
        <v>574</v>
      </c>
      <c r="D388" s="720" t="s">
        <v>3570</v>
      </c>
      <c r="E388" s="699" t="s">
        <v>3571</v>
      </c>
      <c r="F388" s="720" t="s">
        <v>3572</v>
      </c>
      <c r="G388" s="699" t="s">
        <v>2886</v>
      </c>
      <c r="H388" s="699" t="s">
        <v>2887</v>
      </c>
      <c r="I388" s="711">
        <v>1664.4</v>
      </c>
      <c r="J388" s="711">
        <v>2</v>
      </c>
      <c r="K388" s="712">
        <v>3328.8</v>
      </c>
    </row>
    <row r="389" spans="1:11" ht="14.4" customHeight="1" x14ac:dyDescent="0.3">
      <c r="A389" s="695" t="s">
        <v>556</v>
      </c>
      <c r="B389" s="696" t="s">
        <v>557</v>
      </c>
      <c r="C389" s="699" t="s">
        <v>574</v>
      </c>
      <c r="D389" s="720" t="s">
        <v>3570</v>
      </c>
      <c r="E389" s="699" t="s">
        <v>3571</v>
      </c>
      <c r="F389" s="720" t="s">
        <v>3572</v>
      </c>
      <c r="G389" s="699" t="s">
        <v>2888</v>
      </c>
      <c r="H389" s="699" t="s">
        <v>2889</v>
      </c>
      <c r="I389" s="711">
        <v>9660</v>
      </c>
      <c r="J389" s="711">
        <v>1</v>
      </c>
      <c r="K389" s="712">
        <v>9660</v>
      </c>
    </row>
    <row r="390" spans="1:11" ht="14.4" customHeight="1" x14ac:dyDescent="0.3">
      <c r="A390" s="695" t="s">
        <v>556</v>
      </c>
      <c r="B390" s="696" t="s">
        <v>557</v>
      </c>
      <c r="C390" s="699" t="s">
        <v>574</v>
      </c>
      <c r="D390" s="720" t="s">
        <v>3570</v>
      </c>
      <c r="E390" s="699" t="s">
        <v>3571</v>
      </c>
      <c r="F390" s="720" t="s">
        <v>3572</v>
      </c>
      <c r="G390" s="699" t="s">
        <v>2890</v>
      </c>
      <c r="H390" s="699" t="s">
        <v>2891</v>
      </c>
      <c r="I390" s="711">
        <v>1839.09</v>
      </c>
      <c r="J390" s="711">
        <v>2</v>
      </c>
      <c r="K390" s="712">
        <v>3678.18</v>
      </c>
    </row>
    <row r="391" spans="1:11" ht="14.4" customHeight="1" x14ac:dyDescent="0.3">
      <c r="A391" s="695" t="s">
        <v>556</v>
      </c>
      <c r="B391" s="696" t="s">
        <v>557</v>
      </c>
      <c r="C391" s="699" t="s">
        <v>574</v>
      </c>
      <c r="D391" s="720" t="s">
        <v>3570</v>
      </c>
      <c r="E391" s="699" t="s">
        <v>3571</v>
      </c>
      <c r="F391" s="720" t="s">
        <v>3572</v>
      </c>
      <c r="G391" s="699" t="s">
        <v>2892</v>
      </c>
      <c r="H391" s="699" t="s">
        <v>2893</v>
      </c>
      <c r="I391" s="711">
        <v>1856.1</v>
      </c>
      <c r="J391" s="711">
        <v>2</v>
      </c>
      <c r="K391" s="712">
        <v>3712.2</v>
      </c>
    </row>
    <row r="392" spans="1:11" ht="14.4" customHeight="1" x14ac:dyDescent="0.3">
      <c r="A392" s="695" t="s">
        <v>556</v>
      </c>
      <c r="B392" s="696" t="s">
        <v>557</v>
      </c>
      <c r="C392" s="699" t="s">
        <v>574</v>
      </c>
      <c r="D392" s="720" t="s">
        <v>3570</v>
      </c>
      <c r="E392" s="699" t="s">
        <v>3571</v>
      </c>
      <c r="F392" s="720" t="s">
        <v>3572</v>
      </c>
      <c r="G392" s="699" t="s">
        <v>2894</v>
      </c>
      <c r="H392" s="699" t="s">
        <v>2895</v>
      </c>
      <c r="I392" s="711">
        <v>1856.1</v>
      </c>
      <c r="J392" s="711">
        <v>3</v>
      </c>
      <c r="K392" s="712">
        <v>5568.2999999999993</v>
      </c>
    </row>
    <row r="393" spans="1:11" ht="14.4" customHeight="1" x14ac:dyDescent="0.3">
      <c r="A393" s="695" t="s">
        <v>556</v>
      </c>
      <c r="B393" s="696" t="s">
        <v>557</v>
      </c>
      <c r="C393" s="699" t="s">
        <v>574</v>
      </c>
      <c r="D393" s="720" t="s">
        <v>3570</v>
      </c>
      <c r="E393" s="699" t="s">
        <v>3571</v>
      </c>
      <c r="F393" s="720" t="s">
        <v>3572</v>
      </c>
      <c r="G393" s="699" t="s">
        <v>2896</v>
      </c>
      <c r="H393" s="699" t="s">
        <v>2897</v>
      </c>
      <c r="I393" s="711">
        <v>1033.98</v>
      </c>
      <c r="J393" s="711">
        <v>2</v>
      </c>
      <c r="K393" s="712">
        <v>2067.96</v>
      </c>
    </row>
    <row r="394" spans="1:11" ht="14.4" customHeight="1" x14ac:dyDescent="0.3">
      <c r="A394" s="695" t="s">
        <v>556</v>
      </c>
      <c r="B394" s="696" t="s">
        <v>557</v>
      </c>
      <c r="C394" s="699" t="s">
        <v>574</v>
      </c>
      <c r="D394" s="720" t="s">
        <v>3570</v>
      </c>
      <c r="E394" s="699" t="s">
        <v>3571</v>
      </c>
      <c r="F394" s="720" t="s">
        <v>3572</v>
      </c>
      <c r="G394" s="699" t="s">
        <v>2898</v>
      </c>
      <c r="H394" s="699" t="s">
        <v>2899</v>
      </c>
      <c r="I394" s="711">
        <v>2645</v>
      </c>
      <c r="J394" s="711">
        <v>1</v>
      </c>
      <c r="K394" s="712">
        <v>2645</v>
      </c>
    </row>
    <row r="395" spans="1:11" ht="14.4" customHeight="1" x14ac:dyDescent="0.3">
      <c r="A395" s="695" t="s">
        <v>556</v>
      </c>
      <c r="B395" s="696" t="s">
        <v>557</v>
      </c>
      <c r="C395" s="699" t="s">
        <v>574</v>
      </c>
      <c r="D395" s="720" t="s">
        <v>3570</v>
      </c>
      <c r="E395" s="699" t="s">
        <v>3571</v>
      </c>
      <c r="F395" s="720" t="s">
        <v>3572</v>
      </c>
      <c r="G395" s="699" t="s">
        <v>2900</v>
      </c>
      <c r="H395" s="699" t="s">
        <v>2901</v>
      </c>
      <c r="I395" s="711">
        <v>329.46</v>
      </c>
      <c r="J395" s="711">
        <v>1</v>
      </c>
      <c r="K395" s="712">
        <v>329.46</v>
      </c>
    </row>
    <row r="396" spans="1:11" ht="14.4" customHeight="1" x14ac:dyDescent="0.3">
      <c r="A396" s="695" t="s">
        <v>556</v>
      </c>
      <c r="B396" s="696" t="s">
        <v>557</v>
      </c>
      <c r="C396" s="699" t="s">
        <v>574</v>
      </c>
      <c r="D396" s="720" t="s">
        <v>3570</v>
      </c>
      <c r="E396" s="699" t="s">
        <v>3571</v>
      </c>
      <c r="F396" s="720" t="s">
        <v>3572</v>
      </c>
      <c r="G396" s="699" t="s">
        <v>2902</v>
      </c>
      <c r="H396" s="699" t="s">
        <v>2903</v>
      </c>
      <c r="I396" s="711">
        <v>329.47200000000004</v>
      </c>
      <c r="J396" s="711">
        <v>7</v>
      </c>
      <c r="K396" s="712">
        <v>2306.3100000000004</v>
      </c>
    </row>
    <row r="397" spans="1:11" ht="14.4" customHeight="1" x14ac:dyDescent="0.3">
      <c r="A397" s="695" t="s">
        <v>556</v>
      </c>
      <c r="B397" s="696" t="s">
        <v>557</v>
      </c>
      <c r="C397" s="699" t="s">
        <v>574</v>
      </c>
      <c r="D397" s="720" t="s">
        <v>3570</v>
      </c>
      <c r="E397" s="699" t="s">
        <v>3571</v>
      </c>
      <c r="F397" s="720" t="s">
        <v>3572</v>
      </c>
      <c r="G397" s="699" t="s">
        <v>2904</v>
      </c>
      <c r="H397" s="699" t="s">
        <v>2905</v>
      </c>
      <c r="I397" s="711">
        <v>1375.4</v>
      </c>
      <c r="J397" s="711">
        <v>3</v>
      </c>
      <c r="K397" s="712">
        <v>4126.2</v>
      </c>
    </row>
    <row r="398" spans="1:11" ht="14.4" customHeight="1" x14ac:dyDescent="0.3">
      <c r="A398" s="695" t="s">
        <v>556</v>
      </c>
      <c r="B398" s="696" t="s">
        <v>557</v>
      </c>
      <c r="C398" s="699" t="s">
        <v>574</v>
      </c>
      <c r="D398" s="720" t="s">
        <v>3570</v>
      </c>
      <c r="E398" s="699" t="s">
        <v>3571</v>
      </c>
      <c r="F398" s="720" t="s">
        <v>3572</v>
      </c>
      <c r="G398" s="699" t="s">
        <v>2906</v>
      </c>
      <c r="H398" s="699" t="s">
        <v>2907</v>
      </c>
      <c r="I398" s="711">
        <v>901.74</v>
      </c>
      <c r="J398" s="711">
        <v>2</v>
      </c>
      <c r="K398" s="712">
        <v>1803.48</v>
      </c>
    </row>
    <row r="399" spans="1:11" ht="14.4" customHeight="1" x14ac:dyDescent="0.3">
      <c r="A399" s="695" t="s">
        <v>556</v>
      </c>
      <c r="B399" s="696" t="s">
        <v>557</v>
      </c>
      <c r="C399" s="699" t="s">
        <v>574</v>
      </c>
      <c r="D399" s="720" t="s">
        <v>3570</v>
      </c>
      <c r="E399" s="699" t="s">
        <v>3571</v>
      </c>
      <c r="F399" s="720" t="s">
        <v>3572</v>
      </c>
      <c r="G399" s="699" t="s">
        <v>2908</v>
      </c>
      <c r="H399" s="699" t="s">
        <v>2909</v>
      </c>
      <c r="I399" s="711">
        <v>1385.75</v>
      </c>
      <c r="J399" s="711">
        <v>2</v>
      </c>
      <c r="K399" s="712">
        <v>2771.5</v>
      </c>
    </row>
    <row r="400" spans="1:11" ht="14.4" customHeight="1" x14ac:dyDescent="0.3">
      <c r="A400" s="695" t="s">
        <v>556</v>
      </c>
      <c r="B400" s="696" t="s">
        <v>557</v>
      </c>
      <c r="C400" s="699" t="s">
        <v>574</v>
      </c>
      <c r="D400" s="720" t="s">
        <v>3570</v>
      </c>
      <c r="E400" s="699" t="s">
        <v>3571</v>
      </c>
      <c r="F400" s="720" t="s">
        <v>3572</v>
      </c>
      <c r="G400" s="699" t="s">
        <v>2910</v>
      </c>
      <c r="H400" s="699" t="s">
        <v>2911</v>
      </c>
      <c r="I400" s="711">
        <v>1385.75</v>
      </c>
      <c r="J400" s="711">
        <v>2</v>
      </c>
      <c r="K400" s="712">
        <v>2771.5</v>
      </c>
    </row>
    <row r="401" spans="1:11" ht="14.4" customHeight="1" x14ac:dyDescent="0.3">
      <c r="A401" s="695" t="s">
        <v>556</v>
      </c>
      <c r="B401" s="696" t="s">
        <v>557</v>
      </c>
      <c r="C401" s="699" t="s">
        <v>574</v>
      </c>
      <c r="D401" s="720" t="s">
        <v>3570</v>
      </c>
      <c r="E401" s="699" t="s">
        <v>3571</v>
      </c>
      <c r="F401" s="720" t="s">
        <v>3572</v>
      </c>
      <c r="G401" s="699" t="s">
        <v>2912</v>
      </c>
      <c r="H401" s="699" t="s">
        <v>2913</v>
      </c>
      <c r="I401" s="711">
        <v>4435.75</v>
      </c>
      <c r="J401" s="711">
        <v>1</v>
      </c>
      <c r="K401" s="712">
        <v>4435.75</v>
      </c>
    </row>
    <row r="402" spans="1:11" ht="14.4" customHeight="1" x14ac:dyDescent="0.3">
      <c r="A402" s="695" t="s">
        <v>556</v>
      </c>
      <c r="B402" s="696" t="s">
        <v>557</v>
      </c>
      <c r="C402" s="699" t="s">
        <v>574</v>
      </c>
      <c r="D402" s="720" t="s">
        <v>3570</v>
      </c>
      <c r="E402" s="699" t="s">
        <v>3571</v>
      </c>
      <c r="F402" s="720" t="s">
        <v>3572</v>
      </c>
      <c r="G402" s="699" t="s">
        <v>2914</v>
      </c>
      <c r="H402" s="699" t="s">
        <v>2915</v>
      </c>
      <c r="I402" s="711">
        <v>123.12</v>
      </c>
      <c r="J402" s="711">
        <v>2</v>
      </c>
      <c r="K402" s="712">
        <v>246.24</v>
      </c>
    </row>
    <row r="403" spans="1:11" ht="14.4" customHeight="1" x14ac:dyDescent="0.3">
      <c r="A403" s="695" t="s">
        <v>556</v>
      </c>
      <c r="B403" s="696" t="s">
        <v>557</v>
      </c>
      <c r="C403" s="699" t="s">
        <v>574</v>
      </c>
      <c r="D403" s="720" t="s">
        <v>3570</v>
      </c>
      <c r="E403" s="699" t="s">
        <v>3571</v>
      </c>
      <c r="F403" s="720" t="s">
        <v>3572</v>
      </c>
      <c r="G403" s="699" t="s">
        <v>2916</v>
      </c>
      <c r="H403" s="699" t="s">
        <v>2917</v>
      </c>
      <c r="I403" s="711">
        <v>1725</v>
      </c>
      <c r="J403" s="711">
        <v>2</v>
      </c>
      <c r="K403" s="712">
        <v>3450</v>
      </c>
    </row>
    <row r="404" spans="1:11" ht="14.4" customHeight="1" x14ac:dyDescent="0.3">
      <c r="A404" s="695" t="s">
        <v>556</v>
      </c>
      <c r="B404" s="696" t="s">
        <v>557</v>
      </c>
      <c r="C404" s="699" t="s">
        <v>574</v>
      </c>
      <c r="D404" s="720" t="s">
        <v>3570</v>
      </c>
      <c r="E404" s="699" t="s">
        <v>3571</v>
      </c>
      <c r="F404" s="720" t="s">
        <v>3572</v>
      </c>
      <c r="G404" s="699" t="s">
        <v>2918</v>
      </c>
      <c r="H404" s="699" t="s">
        <v>2919</v>
      </c>
      <c r="I404" s="711">
        <v>1033.9775</v>
      </c>
      <c r="J404" s="711">
        <v>7</v>
      </c>
      <c r="K404" s="712">
        <v>7237.85</v>
      </c>
    </row>
    <row r="405" spans="1:11" ht="14.4" customHeight="1" x14ac:dyDescent="0.3">
      <c r="A405" s="695" t="s">
        <v>556</v>
      </c>
      <c r="B405" s="696" t="s">
        <v>557</v>
      </c>
      <c r="C405" s="699" t="s">
        <v>574</v>
      </c>
      <c r="D405" s="720" t="s">
        <v>3570</v>
      </c>
      <c r="E405" s="699" t="s">
        <v>3571</v>
      </c>
      <c r="F405" s="720" t="s">
        <v>3572</v>
      </c>
      <c r="G405" s="699" t="s">
        <v>2920</v>
      </c>
      <c r="H405" s="699" t="s">
        <v>2921</v>
      </c>
      <c r="I405" s="711">
        <v>471.95</v>
      </c>
      <c r="J405" s="711">
        <v>2</v>
      </c>
      <c r="K405" s="712">
        <v>943.91</v>
      </c>
    </row>
    <row r="406" spans="1:11" ht="14.4" customHeight="1" x14ac:dyDescent="0.3">
      <c r="A406" s="695" t="s">
        <v>556</v>
      </c>
      <c r="B406" s="696" t="s">
        <v>557</v>
      </c>
      <c r="C406" s="699" t="s">
        <v>574</v>
      </c>
      <c r="D406" s="720" t="s">
        <v>3570</v>
      </c>
      <c r="E406" s="699" t="s">
        <v>3571</v>
      </c>
      <c r="F406" s="720" t="s">
        <v>3572</v>
      </c>
      <c r="G406" s="699" t="s">
        <v>2922</v>
      </c>
      <c r="H406" s="699" t="s">
        <v>2923</v>
      </c>
      <c r="I406" s="711">
        <v>1000.5</v>
      </c>
      <c r="J406" s="711">
        <v>2</v>
      </c>
      <c r="K406" s="712">
        <v>2001</v>
      </c>
    </row>
    <row r="407" spans="1:11" ht="14.4" customHeight="1" x14ac:dyDescent="0.3">
      <c r="A407" s="695" t="s">
        <v>556</v>
      </c>
      <c r="B407" s="696" t="s">
        <v>557</v>
      </c>
      <c r="C407" s="699" t="s">
        <v>574</v>
      </c>
      <c r="D407" s="720" t="s">
        <v>3570</v>
      </c>
      <c r="E407" s="699" t="s">
        <v>3571</v>
      </c>
      <c r="F407" s="720" t="s">
        <v>3572</v>
      </c>
      <c r="G407" s="699" t="s">
        <v>2924</v>
      </c>
      <c r="H407" s="699" t="s">
        <v>2925</v>
      </c>
      <c r="I407" s="711">
        <v>329.46499999999997</v>
      </c>
      <c r="J407" s="711">
        <v>9</v>
      </c>
      <c r="K407" s="712">
        <v>2965.18</v>
      </c>
    </row>
    <row r="408" spans="1:11" ht="14.4" customHeight="1" x14ac:dyDescent="0.3">
      <c r="A408" s="695" t="s">
        <v>556</v>
      </c>
      <c r="B408" s="696" t="s">
        <v>557</v>
      </c>
      <c r="C408" s="699" t="s">
        <v>574</v>
      </c>
      <c r="D408" s="720" t="s">
        <v>3570</v>
      </c>
      <c r="E408" s="699" t="s">
        <v>3571</v>
      </c>
      <c r="F408" s="720" t="s">
        <v>3572</v>
      </c>
      <c r="G408" s="699" t="s">
        <v>2926</v>
      </c>
      <c r="H408" s="699" t="s">
        <v>2927</v>
      </c>
      <c r="I408" s="711">
        <v>329.47333333333336</v>
      </c>
      <c r="J408" s="711">
        <v>10</v>
      </c>
      <c r="K408" s="712">
        <v>3294.7200000000003</v>
      </c>
    </row>
    <row r="409" spans="1:11" ht="14.4" customHeight="1" x14ac:dyDescent="0.3">
      <c r="A409" s="695" t="s">
        <v>556</v>
      </c>
      <c r="B409" s="696" t="s">
        <v>557</v>
      </c>
      <c r="C409" s="699" t="s">
        <v>574</v>
      </c>
      <c r="D409" s="720" t="s">
        <v>3570</v>
      </c>
      <c r="E409" s="699" t="s">
        <v>3571</v>
      </c>
      <c r="F409" s="720" t="s">
        <v>3572</v>
      </c>
      <c r="G409" s="699" t="s">
        <v>2928</v>
      </c>
      <c r="H409" s="699" t="s">
        <v>2929</v>
      </c>
      <c r="I409" s="711">
        <v>433.21500000000003</v>
      </c>
      <c r="J409" s="711">
        <v>2</v>
      </c>
      <c r="K409" s="712">
        <v>866.43000000000006</v>
      </c>
    </row>
    <row r="410" spans="1:11" ht="14.4" customHeight="1" x14ac:dyDescent="0.3">
      <c r="A410" s="695" t="s">
        <v>556</v>
      </c>
      <c r="B410" s="696" t="s">
        <v>557</v>
      </c>
      <c r="C410" s="699" t="s">
        <v>574</v>
      </c>
      <c r="D410" s="720" t="s">
        <v>3570</v>
      </c>
      <c r="E410" s="699" t="s">
        <v>3571</v>
      </c>
      <c r="F410" s="720" t="s">
        <v>3572</v>
      </c>
      <c r="G410" s="699" t="s">
        <v>2930</v>
      </c>
      <c r="H410" s="699" t="s">
        <v>2931</v>
      </c>
      <c r="I410" s="711">
        <v>901.74</v>
      </c>
      <c r="J410" s="711">
        <v>1</v>
      </c>
      <c r="K410" s="712">
        <v>901.74</v>
      </c>
    </row>
    <row r="411" spans="1:11" ht="14.4" customHeight="1" x14ac:dyDescent="0.3">
      <c r="A411" s="695" t="s">
        <v>556</v>
      </c>
      <c r="B411" s="696" t="s">
        <v>557</v>
      </c>
      <c r="C411" s="699" t="s">
        <v>574</v>
      </c>
      <c r="D411" s="720" t="s">
        <v>3570</v>
      </c>
      <c r="E411" s="699" t="s">
        <v>3571</v>
      </c>
      <c r="F411" s="720" t="s">
        <v>3572</v>
      </c>
      <c r="G411" s="699" t="s">
        <v>2932</v>
      </c>
      <c r="H411" s="699" t="s">
        <v>2933</v>
      </c>
      <c r="I411" s="711">
        <v>4452.8</v>
      </c>
      <c r="J411" s="711">
        <v>1</v>
      </c>
      <c r="K411" s="712">
        <v>4452.8</v>
      </c>
    </row>
    <row r="412" spans="1:11" ht="14.4" customHeight="1" x14ac:dyDescent="0.3">
      <c r="A412" s="695" t="s">
        <v>556</v>
      </c>
      <c r="B412" s="696" t="s">
        <v>557</v>
      </c>
      <c r="C412" s="699" t="s">
        <v>574</v>
      </c>
      <c r="D412" s="720" t="s">
        <v>3570</v>
      </c>
      <c r="E412" s="699" t="s">
        <v>3571</v>
      </c>
      <c r="F412" s="720" t="s">
        <v>3572</v>
      </c>
      <c r="G412" s="699" t="s">
        <v>2934</v>
      </c>
      <c r="H412" s="699" t="s">
        <v>2935</v>
      </c>
      <c r="I412" s="711">
        <v>506</v>
      </c>
      <c r="J412" s="711">
        <v>3</v>
      </c>
      <c r="K412" s="712">
        <v>1518</v>
      </c>
    </row>
    <row r="413" spans="1:11" ht="14.4" customHeight="1" x14ac:dyDescent="0.3">
      <c r="A413" s="695" t="s">
        <v>556</v>
      </c>
      <c r="B413" s="696" t="s">
        <v>557</v>
      </c>
      <c r="C413" s="699" t="s">
        <v>574</v>
      </c>
      <c r="D413" s="720" t="s">
        <v>3570</v>
      </c>
      <c r="E413" s="699" t="s">
        <v>3571</v>
      </c>
      <c r="F413" s="720" t="s">
        <v>3572</v>
      </c>
      <c r="G413" s="699" t="s">
        <v>2936</v>
      </c>
      <c r="H413" s="699" t="s">
        <v>2937</v>
      </c>
      <c r="I413" s="711">
        <v>527.84</v>
      </c>
      <c r="J413" s="711">
        <v>6</v>
      </c>
      <c r="K413" s="712">
        <v>3167</v>
      </c>
    </row>
    <row r="414" spans="1:11" ht="14.4" customHeight="1" x14ac:dyDescent="0.3">
      <c r="A414" s="695" t="s">
        <v>556</v>
      </c>
      <c r="B414" s="696" t="s">
        <v>557</v>
      </c>
      <c r="C414" s="699" t="s">
        <v>574</v>
      </c>
      <c r="D414" s="720" t="s">
        <v>3570</v>
      </c>
      <c r="E414" s="699" t="s">
        <v>3571</v>
      </c>
      <c r="F414" s="720" t="s">
        <v>3572</v>
      </c>
      <c r="G414" s="699" t="s">
        <v>2938</v>
      </c>
      <c r="H414" s="699" t="s">
        <v>2939</v>
      </c>
      <c r="I414" s="711">
        <v>527.85</v>
      </c>
      <c r="J414" s="711">
        <v>3</v>
      </c>
      <c r="K414" s="712">
        <v>1583.55</v>
      </c>
    </row>
    <row r="415" spans="1:11" ht="14.4" customHeight="1" x14ac:dyDescent="0.3">
      <c r="A415" s="695" t="s">
        <v>556</v>
      </c>
      <c r="B415" s="696" t="s">
        <v>557</v>
      </c>
      <c r="C415" s="699" t="s">
        <v>574</v>
      </c>
      <c r="D415" s="720" t="s">
        <v>3570</v>
      </c>
      <c r="E415" s="699" t="s">
        <v>3571</v>
      </c>
      <c r="F415" s="720" t="s">
        <v>3572</v>
      </c>
      <c r="G415" s="699" t="s">
        <v>2940</v>
      </c>
      <c r="H415" s="699" t="s">
        <v>2941</v>
      </c>
      <c r="I415" s="711">
        <v>527.66999999999996</v>
      </c>
      <c r="J415" s="711">
        <v>3</v>
      </c>
      <c r="K415" s="712">
        <v>1583</v>
      </c>
    </row>
    <row r="416" spans="1:11" ht="14.4" customHeight="1" x14ac:dyDescent="0.3">
      <c r="A416" s="695" t="s">
        <v>556</v>
      </c>
      <c r="B416" s="696" t="s">
        <v>557</v>
      </c>
      <c r="C416" s="699" t="s">
        <v>574</v>
      </c>
      <c r="D416" s="720" t="s">
        <v>3570</v>
      </c>
      <c r="E416" s="699" t="s">
        <v>3571</v>
      </c>
      <c r="F416" s="720" t="s">
        <v>3572</v>
      </c>
      <c r="G416" s="699" t="s">
        <v>2942</v>
      </c>
      <c r="H416" s="699" t="s">
        <v>2943</v>
      </c>
      <c r="I416" s="711">
        <v>1179.92</v>
      </c>
      <c r="J416" s="711">
        <v>5</v>
      </c>
      <c r="K416" s="712">
        <v>5899.58</v>
      </c>
    </row>
    <row r="417" spans="1:11" ht="14.4" customHeight="1" x14ac:dyDescent="0.3">
      <c r="A417" s="695" t="s">
        <v>556</v>
      </c>
      <c r="B417" s="696" t="s">
        <v>557</v>
      </c>
      <c r="C417" s="699" t="s">
        <v>574</v>
      </c>
      <c r="D417" s="720" t="s">
        <v>3570</v>
      </c>
      <c r="E417" s="699" t="s">
        <v>3571</v>
      </c>
      <c r="F417" s="720" t="s">
        <v>3572</v>
      </c>
      <c r="G417" s="699" t="s">
        <v>2944</v>
      </c>
      <c r="H417" s="699" t="s">
        <v>2945</v>
      </c>
      <c r="I417" s="711">
        <v>527.85</v>
      </c>
      <c r="J417" s="711">
        <v>6</v>
      </c>
      <c r="K417" s="712">
        <v>3167.1</v>
      </c>
    </row>
    <row r="418" spans="1:11" ht="14.4" customHeight="1" x14ac:dyDescent="0.3">
      <c r="A418" s="695" t="s">
        <v>556</v>
      </c>
      <c r="B418" s="696" t="s">
        <v>557</v>
      </c>
      <c r="C418" s="699" t="s">
        <v>574</v>
      </c>
      <c r="D418" s="720" t="s">
        <v>3570</v>
      </c>
      <c r="E418" s="699" t="s">
        <v>3571</v>
      </c>
      <c r="F418" s="720" t="s">
        <v>3572</v>
      </c>
      <c r="G418" s="699" t="s">
        <v>2946</v>
      </c>
      <c r="H418" s="699" t="s">
        <v>2947</v>
      </c>
      <c r="I418" s="711">
        <v>8717</v>
      </c>
      <c r="J418" s="711">
        <v>1</v>
      </c>
      <c r="K418" s="712">
        <v>8717</v>
      </c>
    </row>
    <row r="419" spans="1:11" ht="14.4" customHeight="1" x14ac:dyDescent="0.3">
      <c r="A419" s="695" t="s">
        <v>556</v>
      </c>
      <c r="B419" s="696" t="s">
        <v>557</v>
      </c>
      <c r="C419" s="699" t="s">
        <v>574</v>
      </c>
      <c r="D419" s="720" t="s">
        <v>3570</v>
      </c>
      <c r="E419" s="699" t="s">
        <v>3571</v>
      </c>
      <c r="F419" s="720" t="s">
        <v>3572</v>
      </c>
      <c r="G419" s="699" t="s">
        <v>2948</v>
      </c>
      <c r="H419" s="699" t="s">
        <v>2949</v>
      </c>
      <c r="I419" s="711">
        <v>594.17499999999995</v>
      </c>
      <c r="J419" s="711">
        <v>4</v>
      </c>
      <c r="K419" s="712">
        <v>2376.69</v>
      </c>
    </row>
    <row r="420" spans="1:11" ht="14.4" customHeight="1" x14ac:dyDescent="0.3">
      <c r="A420" s="695" t="s">
        <v>556</v>
      </c>
      <c r="B420" s="696" t="s">
        <v>557</v>
      </c>
      <c r="C420" s="699" t="s">
        <v>574</v>
      </c>
      <c r="D420" s="720" t="s">
        <v>3570</v>
      </c>
      <c r="E420" s="699" t="s">
        <v>3571</v>
      </c>
      <c r="F420" s="720" t="s">
        <v>3572</v>
      </c>
      <c r="G420" s="699" t="s">
        <v>2950</v>
      </c>
      <c r="H420" s="699" t="s">
        <v>2951</v>
      </c>
      <c r="I420" s="711">
        <v>594.16000000000008</v>
      </c>
      <c r="J420" s="711">
        <v>4</v>
      </c>
      <c r="K420" s="712">
        <v>2384.5699999999997</v>
      </c>
    </row>
    <row r="421" spans="1:11" ht="14.4" customHeight="1" x14ac:dyDescent="0.3">
      <c r="A421" s="695" t="s">
        <v>556</v>
      </c>
      <c r="B421" s="696" t="s">
        <v>557</v>
      </c>
      <c r="C421" s="699" t="s">
        <v>574</v>
      </c>
      <c r="D421" s="720" t="s">
        <v>3570</v>
      </c>
      <c r="E421" s="699" t="s">
        <v>3571</v>
      </c>
      <c r="F421" s="720" t="s">
        <v>3572</v>
      </c>
      <c r="G421" s="699" t="s">
        <v>2952</v>
      </c>
      <c r="H421" s="699" t="s">
        <v>2953</v>
      </c>
      <c r="I421" s="711">
        <v>589.12</v>
      </c>
      <c r="J421" s="711">
        <v>1</v>
      </c>
      <c r="K421" s="712">
        <v>589.12</v>
      </c>
    </row>
    <row r="422" spans="1:11" ht="14.4" customHeight="1" x14ac:dyDescent="0.3">
      <c r="A422" s="695" t="s">
        <v>556</v>
      </c>
      <c r="B422" s="696" t="s">
        <v>557</v>
      </c>
      <c r="C422" s="699" t="s">
        <v>574</v>
      </c>
      <c r="D422" s="720" t="s">
        <v>3570</v>
      </c>
      <c r="E422" s="699" t="s">
        <v>3571</v>
      </c>
      <c r="F422" s="720" t="s">
        <v>3572</v>
      </c>
      <c r="G422" s="699" t="s">
        <v>2954</v>
      </c>
      <c r="H422" s="699" t="s">
        <v>2955</v>
      </c>
      <c r="I422" s="711">
        <v>597.79500000000007</v>
      </c>
      <c r="J422" s="711">
        <v>3</v>
      </c>
      <c r="K422" s="712">
        <v>1793.04</v>
      </c>
    </row>
    <row r="423" spans="1:11" ht="14.4" customHeight="1" x14ac:dyDescent="0.3">
      <c r="A423" s="695" t="s">
        <v>556</v>
      </c>
      <c r="B423" s="696" t="s">
        <v>557</v>
      </c>
      <c r="C423" s="699" t="s">
        <v>574</v>
      </c>
      <c r="D423" s="720" t="s">
        <v>3570</v>
      </c>
      <c r="E423" s="699" t="s">
        <v>3571</v>
      </c>
      <c r="F423" s="720" t="s">
        <v>3572</v>
      </c>
      <c r="G423" s="699" t="s">
        <v>2956</v>
      </c>
      <c r="H423" s="699" t="s">
        <v>2957</v>
      </c>
      <c r="I423" s="711">
        <v>1847.9399999999998</v>
      </c>
      <c r="J423" s="711">
        <v>9</v>
      </c>
      <c r="K423" s="712">
        <v>16631.440000000002</v>
      </c>
    </row>
    <row r="424" spans="1:11" ht="14.4" customHeight="1" x14ac:dyDescent="0.3">
      <c r="A424" s="695" t="s">
        <v>556</v>
      </c>
      <c r="B424" s="696" t="s">
        <v>557</v>
      </c>
      <c r="C424" s="699" t="s">
        <v>574</v>
      </c>
      <c r="D424" s="720" t="s">
        <v>3570</v>
      </c>
      <c r="E424" s="699" t="s">
        <v>3571</v>
      </c>
      <c r="F424" s="720" t="s">
        <v>3572</v>
      </c>
      <c r="G424" s="699" t="s">
        <v>2958</v>
      </c>
      <c r="H424" s="699" t="s">
        <v>2959</v>
      </c>
      <c r="I424" s="711">
        <v>9397</v>
      </c>
      <c r="J424" s="711">
        <v>1</v>
      </c>
      <c r="K424" s="712">
        <v>9397</v>
      </c>
    </row>
    <row r="425" spans="1:11" ht="14.4" customHeight="1" x14ac:dyDescent="0.3">
      <c r="A425" s="695" t="s">
        <v>556</v>
      </c>
      <c r="B425" s="696" t="s">
        <v>557</v>
      </c>
      <c r="C425" s="699" t="s">
        <v>574</v>
      </c>
      <c r="D425" s="720" t="s">
        <v>3570</v>
      </c>
      <c r="E425" s="699" t="s">
        <v>3571</v>
      </c>
      <c r="F425" s="720" t="s">
        <v>3572</v>
      </c>
      <c r="G425" s="699" t="s">
        <v>2960</v>
      </c>
      <c r="H425" s="699" t="s">
        <v>2961</v>
      </c>
      <c r="I425" s="711">
        <v>1839.0999999999997</v>
      </c>
      <c r="J425" s="711">
        <v>3</v>
      </c>
      <c r="K425" s="712">
        <v>5517.2999999999993</v>
      </c>
    </row>
    <row r="426" spans="1:11" ht="14.4" customHeight="1" x14ac:dyDescent="0.3">
      <c r="A426" s="695" t="s">
        <v>556</v>
      </c>
      <c r="B426" s="696" t="s">
        <v>557</v>
      </c>
      <c r="C426" s="699" t="s">
        <v>574</v>
      </c>
      <c r="D426" s="720" t="s">
        <v>3570</v>
      </c>
      <c r="E426" s="699" t="s">
        <v>3571</v>
      </c>
      <c r="F426" s="720" t="s">
        <v>3572</v>
      </c>
      <c r="G426" s="699" t="s">
        <v>2962</v>
      </c>
      <c r="H426" s="699" t="s">
        <v>2963</v>
      </c>
      <c r="I426" s="711">
        <v>329.46</v>
      </c>
      <c r="J426" s="711">
        <v>3</v>
      </c>
      <c r="K426" s="712">
        <v>988.39</v>
      </c>
    </row>
    <row r="427" spans="1:11" ht="14.4" customHeight="1" x14ac:dyDescent="0.3">
      <c r="A427" s="695" t="s">
        <v>556</v>
      </c>
      <c r="B427" s="696" t="s">
        <v>557</v>
      </c>
      <c r="C427" s="699" t="s">
        <v>574</v>
      </c>
      <c r="D427" s="720" t="s">
        <v>3570</v>
      </c>
      <c r="E427" s="699" t="s">
        <v>3571</v>
      </c>
      <c r="F427" s="720" t="s">
        <v>3572</v>
      </c>
      <c r="G427" s="699" t="s">
        <v>2964</v>
      </c>
      <c r="H427" s="699" t="s">
        <v>2965</v>
      </c>
      <c r="I427" s="711">
        <v>13804.83</v>
      </c>
      <c r="J427" s="711">
        <v>1</v>
      </c>
      <c r="K427" s="712">
        <v>13804.83</v>
      </c>
    </row>
    <row r="428" spans="1:11" ht="14.4" customHeight="1" x14ac:dyDescent="0.3">
      <c r="A428" s="695" t="s">
        <v>556</v>
      </c>
      <c r="B428" s="696" t="s">
        <v>557</v>
      </c>
      <c r="C428" s="699" t="s">
        <v>574</v>
      </c>
      <c r="D428" s="720" t="s">
        <v>3570</v>
      </c>
      <c r="E428" s="699" t="s">
        <v>3571</v>
      </c>
      <c r="F428" s="720" t="s">
        <v>3572</v>
      </c>
      <c r="G428" s="699" t="s">
        <v>2966</v>
      </c>
      <c r="H428" s="699" t="s">
        <v>2967</v>
      </c>
      <c r="I428" s="711">
        <v>433.2</v>
      </c>
      <c r="J428" s="711">
        <v>1</v>
      </c>
      <c r="K428" s="712">
        <v>433.2</v>
      </c>
    </row>
    <row r="429" spans="1:11" ht="14.4" customHeight="1" x14ac:dyDescent="0.3">
      <c r="A429" s="695" t="s">
        <v>556</v>
      </c>
      <c r="B429" s="696" t="s">
        <v>557</v>
      </c>
      <c r="C429" s="699" t="s">
        <v>574</v>
      </c>
      <c r="D429" s="720" t="s">
        <v>3570</v>
      </c>
      <c r="E429" s="699" t="s">
        <v>3571</v>
      </c>
      <c r="F429" s="720" t="s">
        <v>3572</v>
      </c>
      <c r="G429" s="699" t="s">
        <v>2968</v>
      </c>
      <c r="H429" s="699" t="s">
        <v>2969</v>
      </c>
      <c r="I429" s="711">
        <v>692.99</v>
      </c>
      <c r="J429" s="711">
        <v>1</v>
      </c>
      <c r="K429" s="712">
        <v>692.99</v>
      </c>
    </row>
    <row r="430" spans="1:11" ht="14.4" customHeight="1" x14ac:dyDescent="0.3">
      <c r="A430" s="695" t="s">
        <v>556</v>
      </c>
      <c r="B430" s="696" t="s">
        <v>557</v>
      </c>
      <c r="C430" s="699" t="s">
        <v>574</v>
      </c>
      <c r="D430" s="720" t="s">
        <v>3570</v>
      </c>
      <c r="E430" s="699" t="s">
        <v>3571</v>
      </c>
      <c r="F430" s="720" t="s">
        <v>3572</v>
      </c>
      <c r="G430" s="699" t="s">
        <v>2970</v>
      </c>
      <c r="H430" s="699" t="s">
        <v>2971</v>
      </c>
      <c r="I430" s="711">
        <v>499.34</v>
      </c>
      <c r="J430" s="711">
        <v>1</v>
      </c>
      <c r="K430" s="712">
        <v>499.34</v>
      </c>
    </row>
    <row r="431" spans="1:11" ht="14.4" customHeight="1" x14ac:dyDescent="0.3">
      <c r="A431" s="695" t="s">
        <v>556</v>
      </c>
      <c r="B431" s="696" t="s">
        <v>557</v>
      </c>
      <c r="C431" s="699" t="s">
        <v>574</v>
      </c>
      <c r="D431" s="720" t="s">
        <v>3570</v>
      </c>
      <c r="E431" s="699" t="s">
        <v>3571</v>
      </c>
      <c r="F431" s="720" t="s">
        <v>3572</v>
      </c>
      <c r="G431" s="699" t="s">
        <v>2972</v>
      </c>
      <c r="H431" s="699" t="s">
        <v>2973</v>
      </c>
      <c r="I431" s="711">
        <v>139.88</v>
      </c>
      <c r="J431" s="711">
        <v>10</v>
      </c>
      <c r="K431" s="712">
        <v>1398.78</v>
      </c>
    </row>
    <row r="432" spans="1:11" ht="14.4" customHeight="1" x14ac:dyDescent="0.3">
      <c r="A432" s="695" t="s">
        <v>556</v>
      </c>
      <c r="B432" s="696" t="s">
        <v>557</v>
      </c>
      <c r="C432" s="699" t="s">
        <v>574</v>
      </c>
      <c r="D432" s="720" t="s">
        <v>3570</v>
      </c>
      <c r="E432" s="699" t="s">
        <v>3571</v>
      </c>
      <c r="F432" s="720" t="s">
        <v>3572</v>
      </c>
      <c r="G432" s="699" t="s">
        <v>2974</v>
      </c>
      <c r="H432" s="699" t="s">
        <v>2975</v>
      </c>
      <c r="I432" s="711">
        <v>680.7</v>
      </c>
      <c r="J432" s="711">
        <v>1</v>
      </c>
      <c r="K432" s="712">
        <v>680.7</v>
      </c>
    </row>
    <row r="433" spans="1:11" ht="14.4" customHeight="1" x14ac:dyDescent="0.3">
      <c r="A433" s="695" t="s">
        <v>556</v>
      </c>
      <c r="B433" s="696" t="s">
        <v>557</v>
      </c>
      <c r="C433" s="699" t="s">
        <v>574</v>
      </c>
      <c r="D433" s="720" t="s">
        <v>3570</v>
      </c>
      <c r="E433" s="699" t="s">
        <v>3571</v>
      </c>
      <c r="F433" s="720" t="s">
        <v>3572</v>
      </c>
      <c r="G433" s="699" t="s">
        <v>2976</v>
      </c>
      <c r="H433" s="699" t="s">
        <v>2977</v>
      </c>
      <c r="I433" s="711">
        <v>329.435</v>
      </c>
      <c r="J433" s="711">
        <v>4</v>
      </c>
      <c r="K433" s="712">
        <v>1317.74</v>
      </c>
    </row>
    <row r="434" spans="1:11" ht="14.4" customHeight="1" x14ac:dyDescent="0.3">
      <c r="A434" s="695" t="s">
        <v>556</v>
      </c>
      <c r="B434" s="696" t="s">
        <v>557</v>
      </c>
      <c r="C434" s="699" t="s">
        <v>574</v>
      </c>
      <c r="D434" s="720" t="s">
        <v>3570</v>
      </c>
      <c r="E434" s="699" t="s">
        <v>3571</v>
      </c>
      <c r="F434" s="720" t="s">
        <v>3572</v>
      </c>
      <c r="G434" s="699" t="s">
        <v>2978</v>
      </c>
      <c r="H434" s="699" t="s">
        <v>2979</v>
      </c>
      <c r="I434" s="711">
        <v>433.19</v>
      </c>
      <c r="J434" s="711">
        <v>1</v>
      </c>
      <c r="K434" s="712">
        <v>433.19</v>
      </c>
    </row>
    <row r="435" spans="1:11" ht="14.4" customHeight="1" x14ac:dyDescent="0.3">
      <c r="A435" s="695" t="s">
        <v>556</v>
      </c>
      <c r="B435" s="696" t="s">
        <v>557</v>
      </c>
      <c r="C435" s="699" t="s">
        <v>574</v>
      </c>
      <c r="D435" s="720" t="s">
        <v>3570</v>
      </c>
      <c r="E435" s="699" t="s">
        <v>3571</v>
      </c>
      <c r="F435" s="720" t="s">
        <v>3572</v>
      </c>
      <c r="G435" s="699" t="s">
        <v>2980</v>
      </c>
      <c r="H435" s="699" t="s">
        <v>2981</v>
      </c>
      <c r="I435" s="711">
        <v>3510.26</v>
      </c>
      <c r="J435" s="711">
        <v>1</v>
      </c>
      <c r="K435" s="712">
        <v>3510.26</v>
      </c>
    </row>
    <row r="436" spans="1:11" ht="14.4" customHeight="1" x14ac:dyDescent="0.3">
      <c r="A436" s="695" t="s">
        <v>556</v>
      </c>
      <c r="B436" s="696" t="s">
        <v>557</v>
      </c>
      <c r="C436" s="699" t="s">
        <v>574</v>
      </c>
      <c r="D436" s="720" t="s">
        <v>3570</v>
      </c>
      <c r="E436" s="699" t="s">
        <v>3571</v>
      </c>
      <c r="F436" s="720" t="s">
        <v>3572</v>
      </c>
      <c r="G436" s="699" t="s">
        <v>2982</v>
      </c>
      <c r="H436" s="699" t="s">
        <v>2983</v>
      </c>
      <c r="I436" s="711">
        <v>8766.4500000000007</v>
      </c>
      <c r="J436" s="711">
        <v>1</v>
      </c>
      <c r="K436" s="712">
        <v>8766.4500000000007</v>
      </c>
    </row>
    <row r="437" spans="1:11" ht="14.4" customHeight="1" x14ac:dyDescent="0.3">
      <c r="A437" s="695" t="s">
        <v>556</v>
      </c>
      <c r="B437" s="696" t="s">
        <v>557</v>
      </c>
      <c r="C437" s="699" t="s">
        <v>574</v>
      </c>
      <c r="D437" s="720" t="s">
        <v>3570</v>
      </c>
      <c r="E437" s="699" t="s">
        <v>3571</v>
      </c>
      <c r="F437" s="720" t="s">
        <v>3572</v>
      </c>
      <c r="G437" s="699" t="s">
        <v>2984</v>
      </c>
      <c r="H437" s="699" t="s">
        <v>2985</v>
      </c>
      <c r="I437" s="711">
        <v>680.7</v>
      </c>
      <c r="J437" s="711">
        <v>2</v>
      </c>
      <c r="K437" s="712">
        <v>1361.4</v>
      </c>
    </row>
    <row r="438" spans="1:11" ht="14.4" customHeight="1" x14ac:dyDescent="0.3">
      <c r="A438" s="695" t="s">
        <v>556</v>
      </c>
      <c r="B438" s="696" t="s">
        <v>557</v>
      </c>
      <c r="C438" s="699" t="s">
        <v>574</v>
      </c>
      <c r="D438" s="720" t="s">
        <v>3570</v>
      </c>
      <c r="E438" s="699" t="s">
        <v>3571</v>
      </c>
      <c r="F438" s="720" t="s">
        <v>3572</v>
      </c>
      <c r="G438" s="699" t="s">
        <v>2986</v>
      </c>
      <c r="H438" s="699" t="s">
        <v>2987</v>
      </c>
      <c r="I438" s="711">
        <v>875.52</v>
      </c>
      <c r="J438" s="711">
        <v>1</v>
      </c>
      <c r="K438" s="712">
        <v>875.52</v>
      </c>
    </row>
    <row r="439" spans="1:11" ht="14.4" customHeight="1" x14ac:dyDescent="0.3">
      <c r="A439" s="695" t="s">
        <v>556</v>
      </c>
      <c r="B439" s="696" t="s">
        <v>557</v>
      </c>
      <c r="C439" s="699" t="s">
        <v>574</v>
      </c>
      <c r="D439" s="720" t="s">
        <v>3570</v>
      </c>
      <c r="E439" s="699" t="s">
        <v>3571</v>
      </c>
      <c r="F439" s="720" t="s">
        <v>3572</v>
      </c>
      <c r="G439" s="699" t="s">
        <v>2988</v>
      </c>
      <c r="H439" s="699" t="s">
        <v>2989</v>
      </c>
      <c r="I439" s="711">
        <v>229.13999999999996</v>
      </c>
      <c r="J439" s="711">
        <v>6</v>
      </c>
      <c r="K439" s="712">
        <v>1374.8399999999997</v>
      </c>
    </row>
    <row r="440" spans="1:11" ht="14.4" customHeight="1" x14ac:dyDescent="0.3">
      <c r="A440" s="695" t="s">
        <v>556</v>
      </c>
      <c r="B440" s="696" t="s">
        <v>557</v>
      </c>
      <c r="C440" s="699" t="s">
        <v>574</v>
      </c>
      <c r="D440" s="720" t="s">
        <v>3570</v>
      </c>
      <c r="E440" s="699" t="s">
        <v>3571</v>
      </c>
      <c r="F440" s="720" t="s">
        <v>3572</v>
      </c>
      <c r="G440" s="699" t="s">
        <v>2990</v>
      </c>
      <c r="H440" s="699" t="s">
        <v>2991</v>
      </c>
      <c r="I440" s="711">
        <v>807.48</v>
      </c>
      <c r="J440" s="711">
        <v>1</v>
      </c>
      <c r="K440" s="712">
        <v>807.48</v>
      </c>
    </row>
    <row r="441" spans="1:11" ht="14.4" customHeight="1" x14ac:dyDescent="0.3">
      <c r="A441" s="695" t="s">
        <v>556</v>
      </c>
      <c r="B441" s="696" t="s">
        <v>557</v>
      </c>
      <c r="C441" s="699" t="s">
        <v>574</v>
      </c>
      <c r="D441" s="720" t="s">
        <v>3570</v>
      </c>
      <c r="E441" s="699" t="s">
        <v>3571</v>
      </c>
      <c r="F441" s="720" t="s">
        <v>3572</v>
      </c>
      <c r="G441" s="699" t="s">
        <v>2992</v>
      </c>
      <c r="H441" s="699" t="s">
        <v>2993</v>
      </c>
      <c r="I441" s="711">
        <v>499.31</v>
      </c>
      <c r="J441" s="711">
        <v>2</v>
      </c>
      <c r="K441" s="712">
        <v>998.63</v>
      </c>
    </row>
    <row r="442" spans="1:11" ht="14.4" customHeight="1" x14ac:dyDescent="0.3">
      <c r="A442" s="695" t="s">
        <v>556</v>
      </c>
      <c r="B442" s="696" t="s">
        <v>557</v>
      </c>
      <c r="C442" s="699" t="s">
        <v>574</v>
      </c>
      <c r="D442" s="720" t="s">
        <v>3570</v>
      </c>
      <c r="E442" s="699" t="s">
        <v>3571</v>
      </c>
      <c r="F442" s="720" t="s">
        <v>3572</v>
      </c>
      <c r="G442" s="699" t="s">
        <v>2994</v>
      </c>
      <c r="H442" s="699" t="s">
        <v>2995</v>
      </c>
      <c r="I442" s="711">
        <v>217.74333333333334</v>
      </c>
      <c r="J442" s="711">
        <v>5</v>
      </c>
      <c r="K442" s="712">
        <v>1088.72</v>
      </c>
    </row>
    <row r="443" spans="1:11" ht="14.4" customHeight="1" x14ac:dyDescent="0.3">
      <c r="A443" s="695" t="s">
        <v>556</v>
      </c>
      <c r="B443" s="696" t="s">
        <v>557</v>
      </c>
      <c r="C443" s="699" t="s">
        <v>574</v>
      </c>
      <c r="D443" s="720" t="s">
        <v>3570</v>
      </c>
      <c r="E443" s="699" t="s">
        <v>3571</v>
      </c>
      <c r="F443" s="720" t="s">
        <v>3572</v>
      </c>
      <c r="G443" s="699" t="s">
        <v>2996</v>
      </c>
      <c r="H443" s="699" t="s">
        <v>2997</v>
      </c>
      <c r="I443" s="711">
        <v>1029.44</v>
      </c>
      <c r="J443" s="711">
        <v>3</v>
      </c>
      <c r="K443" s="712">
        <v>3088.3100000000004</v>
      </c>
    </row>
    <row r="444" spans="1:11" ht="14.4" customHeight="1" x14ac:dyDescent="0.3">
      <c r="A444" s="695" t="s">
        <v>556</v>
      </c>
      <c r="B444" s="696" t="s">
        <v>557</v>
      </c>
      <c r="C444" s="699" t="s">
        <v>574</v>
      </c>
      <c r="D444" s="720" t="s">
        <v>3570</v>
      </c>
      <c r="E444" s="699" t="s">
        <v>3571</v>
      </c>
      <c r="F444" s="720" t="s">
        <v>3572</v>
      </c>
      <c r="G444" s="699" t="s">
        <v>2998</v>
      </c>
      <c r="H444" s="699" t="s">
        <v>2999</v>
      </c>
      <c r="I444" s="711">
        <v>597.42999999999995</v>
      </c>
      <c r="J444" s="711">
        <v>1</v>
      </c>
      <c r="K444" s="712">
        <v>597.42999999999995</v>
      </c>
    </row>
    <row r="445" spans="1:11" ht="14.4" customHeight="1" x14ac:dyDescent="0.3">
      <c r="A445" s="695" t="s">
        <v>556</v>
      </c>
      <c r="B445" s="696" t="s">
        <v>557</v>
      </c>
      <c r="C445" s="699" t="s">
        <v>574</v>
      </c>
      <c r="D445" s="720" t="s">
        <v>3570</v>
      </c>
      <c r="E445" s="699" t="s">
        <v>3571</v>
      </c>
      <c r="F445" s="720" t="s">
        <v>3572</v>
      </c>
      <c r="G445" s="699" t="s">
        <v>3000</v>
      </c>
      <c r="H445" s="699" t="s">
        <v>3001</v>
      </c>
      <c r="I445" s="711">
        <v>1242</v>
      </c>
      <c r="J445" s="711">
        <v>1</v>
      </c>
      <c r="K445" s="712">
        <v>1242</v>
      </c>
    </row>
    <row r="446" spans="1:11" ht="14.4" customHeight="1" x14ac:dyDescent="0.3">
      <c r="A446" s="695" t="s">
        <v>556</v>
      </c>
      <c r="B446" s="696" t="s">
        <v>557</v>
      </c>
      <c r="C446" s="699" t="s">
        <v>574</v>
      </c>
      <c r="D446" s="720" t="s">
        <v>3570</v>
      </c>
      <c r="E446" s="699" t="s">
        <v>3571</v>
      </c>
      <c r="F446" s="720" t="s">
        <v>3572</v>
      </c>
      <c r="G446" s="699" t="s">
        <v>3002</v>
      </c>
      <c r="H446" s="699" t="s">
        <v>3003</v>
      </c>
      <c r="I446" s="711">
        <v>11384.05</v>
      </c>
      <c r="J446" s="711">
        <v>1</v>
      </c>
      <c r="K446" s="712">
        <v>11384.05</v>
      </c>
    </row>
    <row r="447" spans="1:11" ht="14.4" customHeight="1" x14ac:dyDescent="0.3">
      <c r="A447" s="695" t="s">
        <v>556</v>
      </c>
      <c r="B447" s="696" t="s">
        <v>557</v>
      </c>
      <c r="C447" s="699" t="s">
        <v>574</v>
      </c>
      <c r="D447" s="720" t="s">
        <v>3570</v>
      </c>
      <c r="E447" s="699" t="s">
        <v>3571</v>
      </c>
      <c r="F447" s="720" t="s">
        <v>3572</v>
      </c>
      <c r="G447" s="699" t="s">
        <v>3004</v>
      </c>
      <c r="H447" s="699" t="s">
        <v>3005</v>
      </c>
      <c r="I447" s="711">
        <v>1029.45</v>
      </c>
      <c r="J447" s="711">
        <v>1</v>
      </c>
      <c r="K447" s="712">
        <v>1029.45</v>
      </c>
    </row>
    <row r="448" spans="1:11" ht="14.4" customHeight="1" x14ac:dyDescent="0.3">
      <c r="A448" s="695" t="s">
        <v>556</v>
      </c>
      <c r="B448" s="696" t="s">
        <v>557</v>
      </c>
      <c r="C448" s="699" t="s">
        <v>574</v>
      </c>
      <c r="D448" s="720" t="s">
        <v>3570</v>
      </c>
      <c r="E448" s="699" t="s">
        <v>3571</v>
      </c>
      <c r="F448" s="720" t="s">
        <v>3572</v>
      </c>
      <c r="G448" s="699" t="s">
        <v>3006</v>
      </c>
      <c r="H448" s="699" t="s">
        <v>3007</v>
      </c>
      <c r="I448" s="711">
        <v>1232.3399999999999</v>
      </c>
      <c r="J448" s="711">
        <v>1</v>
      </c>
      <c r="K448" s="712">
        <v>1232.3399999999999</v>
      </c>
    </row>
    <row r="449" spans="1:11" ht="14.4" customHeight="1" x14ac:dyDescent="0.3">
      <c r="A449" s="695" t="s">
        <v>556</v>
      </c>
      <c r="B449" s="696" t="s">
        <v>557</v>
      </c>
      <c r="C449" s="699" t="s">
        <v>574</v>
      </c>
      <c r="D449" s="720" t="s">
        <v>3570</v>
      </c>
      <c r="E449" s="699" t="s">
        <v>3571</v>
      </c>
      <c r="F449" s="720" t="s">
        <v>3572</v>
      </c>
      <c r="G449" s="699" t="s">
        <v>3008</v>
      </c>
      <c r="H449" s="699" t="s">
        <v>3009</v>
      </c>
      <c r="I449" s="711">
        <v>2129.52</v>
      </c>
      <c r="J449" s="711">
        <v>2</v>
      </c>
      <c r="K449" s="712">
        <v>4259.04</v>
      </c>
    </row>
    <row r="450" spans="1:11" ht="14.4" customHeight="1" x14ac:dyDescent="0.3">
      <c r="A450" s="695" t="s">
        <v>556</v>
      </c>
      <c r="B450" s="696" t="s">
        <v>557</v>
      </c>
      <c r="C450" s="699" t="s">
        <v>574</v>
      </c>
      <c r="D450" s="720" t="s">
        <v>3570</v>
      </c>
      <c r="E450" s="699" t="s">
        <v>3571</v>
      </c>
      <c r="F450" s="720" t="s">
        <v>3572</v>
      </c>
      <c r="G450" s="699" t="s">
        <v>3010</v>
      </c>
      <c r="H450" s="699" t="s">
        <v>3011</v>
      </c>
      <c r="I450" s="711">
        <v>851.58</v>
      </c>
      <c r="J450" s="711">
        <v>1</v>
      </c>
      <c r="K450" s="712">
        <v>851.58</v>
      </c>
    </row>
    <row r="451" spans="1:11" ht="14.4" customHeight="1" x14ac:dyDescent="0.3">
      <c r="A451" s="695" t="s">
        <v>556</v>
      </c>
      <c r="B451" s="696" t="s">
        <v>557</v>
      </c>
      <c r="C451" s="699" t="s">
        <v>574</v>
      </c>
      <c r="D451" s="720" t="s">
        <v>3570</v>
      </c>
      <c r="E451" s="699" t="s">
        <v>3571</v>
      </c>
      <c r="F451" s="720" t="s">
        <v>3572</v>
      </c>
      <c r="G451" s="699" t="s">
        <v>3012</v>
      </c>
      <c r="H451" s="699" t="s">
        <v>3013</v>
      </c>
      <c r="I451" s="711">
        <v>1029.4349999999999</v>
      </c>
      <c r="J451" s="711">
        <v>2</v>
      </c>
      <c r="K451" s="712">
        <v>2058.87</v>
      </c>
    </row>
    <row r="452" spans="1:11" ht="14.4" customHeight="1" x14ac:dyDescent="0.3">
      <c r="A452" s="695" t="s">
        <v>556</v>
      </c>
      <c r="B452" s="696" t="s">
        <v>557</v>
      </c>
      <c r="C452" s="699" t="s">
        <v>574</v>
      </c>
      <c r="D452" s="720" t="s">
        <v>3570</v>
      </c>
      <c r="E452" s="699" t="s">
        <v>3571</v>
      </c>
      <c r="F452" s="720" t="s">
        <v>3572</v>
      </c>
      <c r="G452" s="699" t="s">
        <v>3014</v>
      </c>
      <c r="H452" s="699" t="s">
        <v>3015</v>
      </c>
      <c r="I452" s="711">
        <v>1098.915</v>
      </c>
      <c r="J452" s="711">
        <v>2</v>
      </c>
      <c r="K452" s="712">
        <v>2197.83</v>
      </c>
    </row>
    <row r="453" spans="1:11" ht="14.4" customHeight="1" x14ac:dyDescent="0.3">
      <c r="A453" s="695" t="s">
        <v>556</v>
      </c>
      <c r="B453" s="696" t="s">
        <v>557</v>
      </c>
      <c r="C453" s="699" t="s">
        <v>574</v>
      </c>
      <c r="D453" s="720" t="s">
        <v>3570</v>
      </c>
      <c r="E453" s="699" t="s">
        <v>3571</v>
      </c>
      <c r="F453" s="720" t="s">
        <v>3572</v>
      </c>
      <c r="G453" s="699" t="s">
        <v>3016</v>
      </c>
      <c r="H453" s="699" t="s">
        <v>3017</v>
      </c>
      <c r="I453" s="711">
        <v>1435.258</v>
      </c>
      <c r="J453" s="711">
        <v>5</v>
      </c>
      <c r="K453" s="712">
        <v>7176.29</v>
      </c>
    </row>
    <row r="454" spans="1:11" ht="14.4" customHeight="1" x14ac:dyDescent="0.3">
      <c r="A454" s="695" t="s">
        <v>556</v>
      </c>
      <c r="B454" s="696" t="s">
        <v>557</v>
      </c>
      <c r="C454" s="699" t="s">
        <v>574</v>
      </c>
      <c r="D454" s="720" t="s">
        <v>3570</v>
      </c>
      <c r="E454" s="699" t="s">
        <v>3571</v>
      </c>
      <c r="F454" s="720" t="s">
        <v>3572</v>
      </c>
      <c r="G454" s="699" t="s">
        <v>3018</v>
      </c>
      <c r="H454" s="699" t="s">
        <v>3019</v>
      </c>
      <c r="I454" s="711">
        <v>2129.52</v>
      </c>
      <c r="J454" s="711">
        <v>1</v>
      </c>
      <c r="K454" s="712">
        <v>2129.52</v>
      </c>
    </row>
    <row r="455" spans="1:11" ht="14.4" customHeight="1" x14ac:dyDescent="0.3">
      <c r="A455" s="695" t="s">
        <v>556</v>
      </c>
      <c r="B455" s="696" t="s">
        <v>557</v>
      </c>
      <c r="C455" s="699" t="s">
        <v>574</v>
      </c>
      <c r="D455" s="720" t="s">
        <v>3570</v>
      </c>
      <c r="E455" s="699" t="s">
        <v>3571</v>
      </c>
      <c r="F455" s="720" t="s">
        <v>3572</v>
      </c>
      <c r="G455" s="699" t="s">
        <v>3020</v>
      </c>
      <c r="H455" s="699" t="s">
        <v>3021</v>
      </c>
      <c r="I455" s="711">
        <v>8790.2000000000007</v>
      </c>
      <c r="J455" s="711">
        <v>1</v>
      </c>
      <c r="K455" s="712">
        <v>8790.2000000000007</v>
      </c>
    </row>
    <row r="456" spans="1:11" ht="14.4" customHeight="1" x14ac:dyDescent="0.3">
      <c r="A456" s="695" t="s">
        <v>556</v>
      </c>
      <c r="B456" s="696" t="s">
        <v>557</v>
      </c>
      <c r="C456" s="699" t="s">
        <v>574</v>
      </c>
      <c r="D456" s="720" t="s">
        <v>3570</v>
      </c>
      <c r="E456" s="699" t="s">
        <v>3571</v>
      </c>
      <c r="F456" s="720" t="s">
        <v>3572</v>
      </c>
      <c r="G456" s="699" t="s">
        <v>3022</v>
      </c>
      <c r="H456" s="699" t="s">
        <v>3023</v>
      </c>
      <c r="I456" s="711">
        <v>807.48</v>
      </c>
      <c r="J456" s="711">
        <v>1</v>
      </c>
      <c r="K456" s="712">
        <v>807.48</v>
      </c>
    </row>
    <row r="457" spans="1:11" ht="14.4" customHeight="1" x14ac:dyDescent="0.3">
      <c r="A457" s="695" t="s">
        <v>556</v>
      </c>
      <c r="B457" s="696" t="s">
        <v>557</v>
      </c>
      <c r="C457" s="699" t="s">
        <v>574</v>
      </c>
      <c r="D457" s="720" t="s">
        <v>3570</v>
      </c>
      <c r="E457" s="699" t="s">
        <v>3571</v>
      </c>
      <c r="F457" s="720" t="s">
        <v>3572</v>
      </c>
      <c r="G457" s="699" t="s">
        <v>3024</v>
      </c>
      <c r="H457" s="699" t="s">
        <v>3025</v>
      </c>
      <c r="I457" s="711">
        <v>807.48</v>
      </c>
      <c r="J457" s="711">
        <v>1</v>
      </c>
      <c r="K457" s="712">
        <v>807.48</v>
      </c>
    </row>
    <row r="458" spans="1:11" ht="14.4" customHeight="1" x14ac:dyDescent="0.3">
      <c r="A458" s="695" t="s">
        <v>556</v>
      </c>
      <c r="B458" s="696" t="s">
        <v>557</v>
      </c>
      <c r="C458" s="699" t="s">
        <v>574</v>
      </c>
      <c r="D458" s="720" t="s">
        <v>3570</v>
      </c>
      <c r="E458" s="699" t="s">
        <v>3571</v>
      </c>
      <c r="F458" s="720" t="s">
        <v>3572</v>
      </c>
      <c r="G458" s="699" t="s">
        <v>3026</v>
      </c>
      <c r="H458" s="699" t="s">
        <v>3027</v>
      </c>
      <c r="I458" s="711">
        <v>8683.3700000000008</v>
      </c>
      <c r="J458" s="711">
        <v>1</v>
      </c>
      <c r="K458" s="712">
        <v>8683.3700000000008</v>
      </c>
    </row>
    <row r="459" spans="1:11" ht="14.4" customHeight="1" x14ac:dyDescent="0.3">
      <c r="A459" s="695" t="s">
        <v>556</v>
      </c>
      <c r="B459" s="696" t="s">
        <v>557</v>
      </c>
      <c r="C459" s="699" t="s">
        <v>574</v>
      </c>
      <c r="D459" s="720" t="s">
        <v>3570</v>
      </c>
      <c r="E459" s="699" t="s">
        <v>3571</v>
      </c>
      <c r="F459" s="720" t="s">
        <v>3572</v>
      </c>
      <c r="G459" s="699" t="s">
        <v>3028</v>
      </c>
      <c r="H459" s="699" t="s">
        <v>3029</v>
      </c>
      <c r="I459" s="711">
        <v>4600</v>
      </c>
      <c r="J459" s="711">
        <v>1</v>
      </c>
      <c r="K459" s="712">
        <v>4600</v>
      </c>
    </row>
    <row r="460" spans="1:11" ht="14.4" customHeight="1" x14ac:dyDescent="0.3">
      <c r="A460" s="695" t="s">
        <v>556</v>
      </c>
      <c r="B460" s="696" t="s">
        <v>557</v>
      </c>
      <c r="C460" s="699" t="s">
        <v>574</v>
      </c>
      <c r="D460" s="720" t="s">
        <v>3570</v>
      </c>
      <c r="E460" s="699" t="s">
        <v>3571</v>
      </c>
      <c r="F460" s="720" t="s">
        <v>3572</v>
      </c>
      <c r="G460" s="699" t="s">
        <v>3030</v>
      </c>
      <c r="H460" s="699" t="s">
        <v>3031</v>
      </c>
      <c r="I460" s="711">
        <v>1135.44</v>
      </c>
      <c r="J460" s="711">
        <v>4</v>
      </c>
      <c r="K460" s="712">
        <v>4541.76</v>
      </c>
    </row>
    <row r="461" spans="1:11" ht="14.4" customHeight="1" x14ac:dyDescent="0.3">
      <c r="A461" s="695" t="s">
        <v>556</v>
      </c>
      <c r="B461" s="696" t="s">
        <v>557</v>
      </c>
      <c r="C461" s="699" t="s">
        <v>574</v>
      </c>
      <c r="D461" s="720" t="s">
        <v>3570</v>
      </c>
      <c r="E461" s="699" t="s">
        <v>3571</v>
      </c>
      <c r="F461" s="720" t="s">
        <v>3572</v>
      </c>
      <c r="G461" s="699" t="s">
        <v>3032</v>
      </c>
      <c r="H461" s="699" t="s">
        <v>3033</v>
      </c>
      <c r="I461" s="711">
        <v>1169.6400000000001</v>
      </c>
      <c r="J461" s="711">
        <v>5</v>
      </c>
      <c r="K461" s="712">
        <v>5848.2000000000007</v>
      </c>
    </row>
    <row r="462" spans="1:11" ht="14.4" customHeight="1" x14ac:dyDescent="0.3">
      <c r="A462" s="695" t="s">
        <v>556</v>
      </c>
      <c r="B462" s="696" t="s">
        <v>557</v>
      </c>
      <c r="C462" s="699" t="s">
        <v>574</v>
      </c>
      <c r="D462" s="720" t="s">
        <v>3570</v>
      </c>
      <c r="E462" s="699" t="s">
        <v>3571</v>
      </c>
      <c r="F462" s="720" t="s">
        <v>3572</v>
      </c>
      <c r="G462" s="699" t="s">
        <v>3034</v>
      </c>
      <c r="H462" s="699" t="s">
        <v>3035</v>
      </c>
      <c r="I462" s="711">
        <v>1169.6400000000001</v>
      </c>
      <c r="J462" s="711">
        <v>10</v>
      </c>
      <c r="K462" s="712">
        <v>11696.4</v>
      </c>
    </row>
    <row r="463" spans="1:11" ht="14.4" customHeight="1" x14ac:dyDescent="0.3">
      <c r="A463" s="695" t="s">
        <v>556</v>
      </c>
      <c r="B463" s="696" t="s">
        <v>557</v>
      </c>
      <c r="C463" s="699" t="s">
        <v>574</v>
      </c>
      <c r="D463" s="720" t="s">
        <v>3570</v>
      </c>
      <c r="E463" s="699" t="s">
        <v>3571</v>
      </c>
      <c r="F463" s="720" t="s">
        <v>3572</v>
      </c>
      <c r="G463" s="699" t="s">
        <v>3036</v>
      </c>
      <c r="H463" s="699" t="s">
        <v>3037</v>
      </c>
      <c r="I463" s="711">
        <v>580.48799999999994</v>
      </c>
      <c r="J463" s="711">
        <v>6</v>
      </c>
      <c r="K463" s="712">
        <v>3482.9299999999994</v>
      </c>
    </row>
    <row r="464" spans="1:11" ht="14.4" customHeight="1" x14ac:dyDescent="0.3">
      <c r="A464" s="695" t="s">
        <v>556</v>
      </c>
      <c r="B464" s="696" t="s">
        <v>557</v>
      </c>
      <c r="C464" s="699" t="s">
        <v>574</v>
      </c>
      <c r="D464" s="720" t="s">
        <v>3570</v>
      </c>
      <c r="E464" s="699" t="s">
        <v>3571</v>
      </c>
      <c r="F464" s="720" t="s">
        <v>3572</v>
      </c>
      <c r="G464" s="699" t="s">
        <v>3038</v>
      </c>
      <c r="H464" s="699" t="s">
        <v>3039</v>
      </c>
      <c r="I464" s="711">
        <v>580.49</v>
      </c>
      <c r="J464" s="711">
        <v>3</v>
      </c>
      <c r="K464" s="712">
        <v>1741.47</v>
      </c>
    </row>
    <row r="465" spans="1:11" ht="14.4" customHeight="1" x14ac:dyDescent="0.3">
      <c r="A465" s="695" t="s">
        <v>556</v>
      </c>
      <c r="B465" s="696" t="s">
        <v>557</v>
      </c>
      <c r="C465" s="699" t="s">
        <v>574</v>
      </c>
      <c r="D465" s="720" t="s">
        <v>3570</v>
      </c>
      <c r="E465" s="699" t="s">
        <v>3571</v>
      </c>
      <c r="F465" s="720" t="s">
        <v>3572</v>
      </c>
      <c r="G465" s="699" t="s">
        <v>3040</v>
      </c>
      <c r="H465" s="699" t="s">
        <v>3041</v>
      </c>
      <c r="I465" s="711">
        <v>561.11</v>
      </c>
      <c r="J465" s="711">
        <v>4</v>
      </c>
      <c r="K465" s="712">
        <v>2244.44</v>
      </c>
    </row>
    <row r="466" spans="1:11" ht="14.4" customHeight="1" x14ac:dyDescent="0.3">
      <c r="A466" s="695" t="s">
        <v>556</v>
      </c>
      <c r="B466" s="696" t="s">
        <v>557</v>
      </c>
      <c r="C466" s="699" t="s">
        <v>574</v>
      </c>
      <c r="D466" s="720" t="s">
        <v>3570</v>
      </c>
      <c r="E466" s="699" t="s">
        <v>3571</v>
      </c>
      <c r="F466" s="720" t="s">
        <v>3572</v>
      </c>
      <c r="G466" s="699" t="s">
        <v>3042</v>
      </c>
      <c r="H466" s="699" t="s">
        <v>3043</v>
      </c>
      <c r="I466" s="711">
        <v>1169.6400000000001</v>
      </c>
      <c r="J466" s="711">
        <v>11</v>
      </c>
      <c r="K466" s="712">
        <v>12866.050000000001</v>
      </c>
    </row>
    <row r="467" spans="1:11" ht="14.4" customHeight="1" x14ac:dyDescent="0.3">
      <c r="A467" s="695" t="s">
        <v>556</v>
      </c>
      <c r="B467" s="696" t="s">
        <v>557</v>
      </c>
      <c r="C467" s="699" t="s">
        <v>574</v>
      </c>
      <c r="D467" s="720" t="s">
        <v>3570</v>
      </c>
      <c r="E467" s="699" t="s">
        <v>3571</v>
      </c>
      <c r="F467" s="720" t="s">
        <v>3572</v>
      </c>
      <c r="G467" s="699" t="s">
        <v>3044</v>
      </c>
      <c r="H467" s="699" t="s">
        <v>3045</v>
      </c>
      <c r="I467" s="711">
        <v>506</v>
      </c>
      <c r="J467" s="711">
        <v>1</v>
      </c>
      <c r="K467" s="712">
        <v>506</v>
      </c>
    </row>
    <row r="468" spans="1:11" ht="14.4" customHeight="1" x14ac:dyDescent="0.3">
      <c r="A468" s="695" t="s">
        <v>556</v>
      </c>
      <c r="B468" s="696" t="s">
        <v>557</v>
      </c>
      <c r="C468" s="699" t="s">
        <v>574</v>
      </c>
      <c r="D468" s="720" t="s">
        <v>3570</v>
      </c>
      <c r="E468" s="699" t="s">
        <v>3571</v>
      </c>
      <c r="F468" s="720" t="s">
        <v>3572</v>
      </c>
      <c r="G468" s="699" t="s">
        <v>3046</v>
      </c>
      <c r="H468" s="699" t="s">
        <v>3047</v>
      </c>
      <c r="I468" s="711">
        <v>2341.56</v>
      </c>
      <c r="J468" s="711">
        <v>1</v>
      </c>
      <c r="K468" s="712">
        <v>2341.56</v>
      </c>
    </row>
    <row r="469" spans="1:11" ht="14.4" customHeight="1" x14ac:dyDescent="0.3">
      <c r="A469" s="695" t="s">
        <v>556</v>
      </c>
      <c r="B469" s="696" t="s">
        <v>557</v>
      </c>
      <c r="C469" s="699" t="s">
        <v>574</v>
      </c>
      <c r="D469" s="720" t="s">
        <v>3570</v>
      </c>
      <c r="E469" s="699" t="s">
        <v>3571</v>
      </c>
      <c r="F469" s="720" t="s">
        <v>3572</v>
      </c>
      <c r="G469" s="699" t="s">
        <v>3048</v>
      </c>
      <c r="H469" s="699" t="s">
        <v>3049</v>
      </c>
      <c r="I469" s="711">
        <v>1199.28</v>
      </c>
      <c r="J469" s="711">
        <v>4</v>
      </c>
      <c r="K469" s="712">
        <v>4797.12</v>
      </c>
    </row>
    <row r="470" spans="1:11" ht="14.4" customHeight="1" x14ac:dyDescent="0.3">
      <c r="A470" s="695" t="s">
        <v>556</v>
      </c>
      <c r="B470" s="696" t="s">
        <v>557</v>
      </c>
      <c r="C470" s="699" t="s">
        <v>574</v>
      </c>
      <c r="D470" s="720" t="s">
        <v>3570</v>
      </c>
      <c r="E470" s="699" t="s">
        <v>3571</v>
      </c>
      <c r="F470" s="720" t="s">
        <v>3572</v>
      </c>
      <c r="G470" s="699" t="s">
        <v>3050</v>
      </c>
      <c r="H470" s="699" t="s">
        <v>3051</v>
      </c>
      <c r="I470" s="711">
        <v>851.58</v>
      </c>
      <c r="J470" s="711">
        <v>1</v>
      </c>
      <c r="K470" s="712">
        <v>851.58</v>
      </c>
    </row>
    <row r="471" spans="1:11" ht="14.4" customHeight="1" x14ac:dyDescent="0.3">
      <c r="A471" s="695" t="s">
        <v>556</v>
      </c>
      <c r="B471" s="696" t="s">
        <v>557</v>
      </c>
      <c r="C471" s="699" t="s">
        <v>574</v>
      </c>
      <c r="D471" s="720" t="s">
        <v>3570</v>
      </c>
      <c r="E471" s="699" t="s">
        <v>3571</v>
      </c>
      <c r="F471" s="720" t="s">
        <v>3572</v>
      </c>
      <c r="G471" s="699" t="s">
        <v>3052</v>
      </c>
      <c r="H471" s="699" t="s">
        <v>3053</v>
      </c>
      <c r="I471" s="711">
        <v>912</v>
      </c>
      <c r="J471" s="711">
        <v>1</v>
      </c>
      <c r="K471" s="712">
        <v>912</v>
      </c>
    </row>
    <row r="472" spans="1:11" ht="14.4" customHeight="1" x14ac:dyDescent="0.3">
      <c r="A472" s="695" t="s">
        <v>556</v>
      </c>
      <c r="B472" s="696" t="s">
        <v>557</v>
      </c>
      <c r="C472" s="699" t="s">
        <v>574</v>
      </c>
      <c r="D472" s="720" t="s">
        <v>3570</v>
      </c>
      <c r="E472" s="699" t="s">
        <v>3571</v>
      </c>
      <c r="F472" s="720" t="s">
        <v>3572</v>
      </c>
      <c r="G472" s="699" t="s">
        <v>3054</v>
      </c>
      <c r="H472" s="699" t="s">
        <v>3055</v>
      </c>
      <c r="I472" s="711">
        <v>851.58</v>
      </c>
      <c r="J472" s="711">
        <v>1</v>
      </c>
      <c r="K472" s="712">
        <v>851.58</v>
      </c>
    </row>
    <row r="473" spans="1:11" ht="14.4" customHeight="1" x14ac:dyDescent="0.3">
      <c r="A473" s="695" t="s">
        <v>556</v>
      </c>
      <c r="B473" s="696" t="s">
        <v>557</v>
      </c>
      <c r="C473" s="699" t="s">
        <v>574</v>
      </c>
      <c r="D473" s="720" t="s">
        <v>3570</v>
      </c>
      <c r="E473" s="699" t="s">
        <v>3571</v>
      </c>
      <c r="F473" s="720" t="s">
        <v>3572</v>
      </c>
      <c r="G473" s="699" t="s">
        <v>3056</v>
      </c>
      <c r="H473" s="699" t="s">
        <v>3057</v>
      </c>
      <c r="I473" s="711">
        <v>12451.08</v>
      </c>
      <c r="J473" s="711">
        <v>1</v>
      </c>
      <c r="K473" s="712">
        <v>12451.08</v>
      </c>
    </row>
    <row r="474" spans="1:11" ht="14.4" customHeight="1" x14ac:dyDescent="0.3">
      <c r="A474" s="695" t="s">
        <v>556</v>
      </c>
      <c r="B474" s="696" t="s">
        <v>557</v>
      </c>
      <c r="C474" s="699" t="s">
        <v>574</v>
      </c>
      <c r="D474" s="720" t="s">
        <v>3570</v>
      </c>
      <c r="E474" s="699" t="s">
        <v>3571</v>
      </c>
      <c r="F474" s="720" t="s">
        <v>3572</v>
      </c>
      <c r="G474" s="699" t="s">
        <v>3058</v>
      </c>
      <c r="H474" s="699" t="s">
        <v>3059</v>
      </c>
      <c r="I474" s="711">
        <v>8920.0400000000009</v>
      </c>
      <c r="J474" s="711">
        <v>2</v>
      </c>
      <c r="K474" s="712">
        <v>17840.080000000002</v>
      </c>
    </row>
    <row r="475" spans="1:11" ht="14.4" customHeight="1" x14ac:dyDescent="0.3">
      <c r="A475" s="695" t="s">
        <v>556</v>
      </c>
      <c r="B475" s="696" t="s">
        <v>557</v>
      </c>
      <c r="C475" s="699" t="s">
        <v>574</v>
      </c>
      <c r="D475" s="720" t="s">
        <v>3570</v>
      </c>
      <c r="E475" s="699" t="s">
        <v>3571</v>
      </c>
      <c r="F475" s="720" t="s">
        <v>3572</v>
      </c>
      <c r="G475" s="699" t="s">
        <v>3060</v>
      </c>
      <c r="H475" s="699" t="s">
        <v>3061</v>
      </c>
      <c r="I475" s="711">
        <v>1029.42</v>
      </c>
      <c r="J475" s="711">
        <v>2</v>
      </c>
      <c r="K475" s="712">
        <v>2058.84</v>
      </c>
    </row>
    <row r="476" spans="1:11" ht="14.4" customHeight="1" x14ac:dyDescent="0.3">
      <c r="A476" s="695" t="s">
        <v>556</v>
      </c>
      <c r="B476" s="696" t="s">
        <v>557</v>
      </c>
      <c r="C476" s="699" t="s">
        <v>574</v>
      </c>
      <c r="D476" s="720" t="s">
        <v>3570</v>
      </c>
      <c r="E476" s="699" t="s">
        <v>3571</v>
      </c>
      <c r="F476" s="720" t="s">
        <v>3572</v>
      </c>
      <c r="G476" s="699" t="s">
        <v>3062</v>
      </c>
      <c r="H476" s="699" t="s">
        <v>3063</v>
      </c>
      <c r="I476" s="711">
        <v>1386.24</v>
      </c>
      <c r="J476" s="711">
        <v>1</v>
      </c>
      <c r="K476" s="712">
        <v>1386.24</v>
      </c>
    </row>
    <row r="477" spans="1:11" ht="14.4" customHeight="1" x14ac:dyDescent="0.3">
      <c r="A477" s="695" t="s">
        <v>556</v>
      </c>
      <c r="B477" s="696" t="s">
        <v>557</v>
      </c>
      <c r="C477" s="699" t="s">
        <v>574</v>
      </c>
      <c r="D477" s="720" t="s">
        <v>3570</v>
      </c>
      <c r="E477" s="699" t="s">
        <v>3571</v>
      </c>
      <c r="F477" s="720" t="s">
        <v>3572</v>
      </c>
      <c r="G477" s="699" t="s">
        <v>3064</v>
      </c>
      <c r="H477" s="699" t="s">
        <v>3065</v>
      </c>
      <c r="I477" s="711">
        <v>1179.9000000000001</v>
      </c>
      <c r="J477" s="711">
        <v>1</v>
      </c>
      <c r="K477" s="712">
        <v>1179.9000000000001</v>
      </c>
    </row>
    <row r="478" spans="1:11" ht="14.4" customHeight="1" x14ac:dyDescent="0.3">
      <c r="A478" s="695" t="s">
        <v>556</v>
      </c>
      <c r="B478" s="696" t="s">
        <v>557</v>
      </c>
      <c r="C478" s="699" t="s">
        <v>574</v>
      </c>
      <c r="D478" s="720" t="s">
        <v>3570</v>
      </c>
      <c r="E478" s="699" t="s">
        <v>3571</v>
      </c>
      <c r="F478" s="720" t="s">
        <v>3572</v>
      </c>
      <c r="G478" s="699" t="s">
        <v>3066</v>
      </c>
      <c r="H478" s="699" t="s">
        <v>3067</v>
      </c>
      <c r="I478" s="711">
        <v>1135.44</v>
      </c>
      <c r="J478" s="711">
        <v>2</v>
      </c>
      <c r="K478" s="712">
        <v>2270.88</v>
      </c>
    </row>
    <row r="479" spans="1:11" ht="14.4" customHeight="1" x14ac:dyDescent="0.3">
      <c r="A479" s="695" t="s">
        <v>556</v>
      </c>
      <c r="B479" s="696" t="s">
        <v>557</v>
      </c>
      <c r="C479" s="699" t="s">
        <v>574</v>
      </c>
      <c r="D479" s="720" t="s">
        <v>3570</v>
      </c>
      <c r="E479" s="699" t="s">
        <v>3571</v>
      </c>
      <c r="F479" s="720" t="s">
        <v>3572</v>
      </c>
      <c r="G479" s="699" t="s">
        <v>3068</v>
      </c>
      <c r="H479" s="699" t="s">
        <v>3069</v>
      </c>
      <c r="I479" s="711">
        <v>9223.7099999999991</v>
      </c>
      <c r="J479" s="711">
        <v>1</v>
      </c>
      <c r="K479" s="712">
        <v>9223.7099999999991</v>
      </c>
    </row>
    <row r="480" spans="1:11" ht="14.4" customHeight="1" x14ac:dyDescent="0.3">
      <c r="A480" s="695" t="s">
        <v>556</v>
      </c>
      <c r="B480" s="696" t="s">
        <v>557</v>
      </c>
      <c r="C480" s="699" t="s">
        <v>574</v>
      </c>
      <c r="D480" s="720" t="s">
        <v>3570</v>
      </c>
      <c r="E480" s="699" t="s">
        <v>3571</v>
      </c>
      <c r="F480" s="720" t="s">
        <v>3572</v>
      </c>
      <c r="G480" s="699" t="s">
        <v>3070</v>
      </c>
      <c r="H480" s="699" t="s">
        <v>3071</v>
      </c>
      <c r="I480" s="711">
        <v>11132.1</v>
      </c>
      <c r="J480" s="711">
        <v>1</v>
      </c>
      <c r="K480" s="712">
        <v>11132.1</v>
      </c>
    </row>
    <row r="481" spans="1:11" ht="14.4" customHeight="1" x14ac:dyDescent="0.3">
      <c r="A481" s="695" t="s">
        <v>556</v>
      </c>
      <c r="B481" s="696" t="s">
        <v>557</v>
      </c>
      <c r="C481" s="699" t="s">
        <v>574</v>
      </c>
      <c r="D481" s="720" t="s">
        <v>3570</v>
      </c>
      <c r="E481" s="699" t="s">
        <v>3571</v>
      </c>
      <c r="F481" s="720" t="s">
        <v>3572</v>
      </c>
      <c r="G481" s="699" t="s">
        <v>3072</v>
      </c>
      <c r="H481" s="699" t="s">
        <v>3073</v>
      </c>
      <c r="I481" s="711">
        <v>5146.25</v>
      </c>
      <c r="J481" s="711">
        <v>1</v>
      </c>
      <c r="K481" s="712">
        <v>5146.25</v>
      </c>
    </row>
    <row r="482" spans="1:11" ht="14.4" customHeight="1" x14ac:dyDescent="0.3">
      <c r="A482" s="695" t="s">
        <v>556</v>
      </c>
      <c r="B482" s="696" t="s">
        <v>557</v>
      </c>
      <c r="C482" s="699" t="s">
        <v>574</v>
      </c>
      <c r="D482" s="720" t="s">
        <v>3570</v>
      </c>
      <c r="E482" s="699" t="s">
        <v>3571</v>
      </c>
      <c r="F482" s="720" t="s">
        <v>3572</v>
      </c>
      <c r="G482" s="699" t="s">
        <v>3074</v>
      </c>
      <c r="H482" s="699" t="s">
        <v>3075</v>
      </c>
      <c r="I482" s="711">
        <v>1375.4</v>
      </c>
      <c r="J482" s="711">
        <v>1</v>
      </c>
      <c r="K482" s="712">
        <v>1375.4</v>
      </c>
    </row>
    <row r="483" spans="1:11" ht="14.4" customHeight="1" x14ac:dyDescent="0.3">
      <c r="A483" s="695" t="s">
        <v>556</v>
      </c>
      <c r="B483" s="696" t="s">
        <v>557</v>
      </c>
      <c r="C483" s="699" t="s">
        <v>574</v>
      </c>
      <c r="D483" s="720" t="s">
        <v>3570</v>
      </c>
      <c r="E483" s="699" t="s">
        <v>3571</v>
      </c>
      <c r="F483" s="720" t="s">
        <v>3572</v>
      </c>
      <c r="G483" s="699" t="s">
        <v>3076</v>
      </c>
      <c r="H483" s="699" t="s">
        <v>3077</v>
      </c>
      <c r="I483" s="711">
        <v>1375.4</v>
      </c>
      <c r="J483" s="711">
        <v>6</v>
      </c>
      <c r="K483" s="712">
        <v>8252.4</v>
      </c>
    </row>
    <row r="484" spans="1:11" ht="14.4" customHeight="1" x14ac:dyDescent="0.3">
      <c r="A484" s="695" t="s">
        <v>556</v>
      </c>
      <c r="B484" s="696" t="s">
        <v>557</v>
      </c>
      <c r="C484" s="699" t="s">
        <v>574</v>
      </c>
      <c r="D484" s="720" t="s">
        <v>3570</v>
      </c>
      <c r="E484" s="699" t="s">
        <v>3571</v>
      </c>
      <c r="F484" s="720" t="s">
        <v>3572</v>
      </c>
      <c r="G484" s="699" t="s">
        <v>3078</v>
      </c>
      <c r="H484" s="699" t="s">
        <v>3079</v>
      </c>
      <c r="I484" s="711">
        <v>1386.24</v>
      </c>
      <c r="J484" s="711">
        <v>1</v>
      </c>
      <c r="K484" s="712">
        <v>1386.24</v>
      </c>
    </row>
    <row r="485" spans="1:11" ht="14.4" customHeight="1" x14ac:dyDescent="0.3">
      <c r="A485" s="695" t="s">
        <v>556</v>
      </c>
      <c r="B485" s="696" t="s">
        <v>557</v>
      </c>
      <c r="C485" s="699" t="s">
        <v>574</v>
      </c>
      <c r="D485" s="720" t="s">
        <v>3570</v>
      </c>
      <c r="E485" s="699" t="s">
        <v>3571</v>
      </c>
      <c r="F485" s="720" t="s">
        <v>3572</v>
      </c>
      <c r="G485" s="699" t="s">
        <v>3080</v>
      </c>
      <c r="H485" s="699" t="s">
        <v>3081</v>
      </c>
      <c r="I485" s="711">
        <v>3109.6</v>
      </c>
      <c r="J485" s="711">
        <v>6</v>
      </c>
      <c r="K485" s="712">
        <v>18657.599999999999</v>
      </c>
    </row>
    <row r="486" spans="1:11" ht="14.4" customHeight="1" x14ac:dyDescent="0.3">
      <c r="A486" s="695" t="s">
        <v>556</v>
      </c>
      <c r="B486" s="696" t="s">
        <v>557</v>
      </c>
      <c r="C486" s="699" t="s">
        <v>574</v>
      </c>
      <c r="D486" s="720" t="s">
        <v>3570</v>
      </c>
      <c r="E486" s="699" t="s">
        <v>3571</v>
      </c>
      <c r="F486" s="720" t="s">
        <v>3572</v>
      </c>
      <c r="G486" s="699" t="s">
        <v>3082</v>
      </c>
      <c r="H486" s="699" t="s">
        <v>3083</v>
      </c>
      <c r="I486" s="711">
        <v>878.8</v>
      </c>
      <c r="J486" s="711">
        <v>1</v>
      </c>
      <c r="K486" s="712">
        <v>878.8</v>
      </c>
    </row>
    <row r="487" spans="1:11" ht="14.4" customHeight="1" x14ac:dyDescent="0.3">
      <c r="A487" s="695" t="s">
        <v>556</v>
      </c>
      <c r="B487" s="696" t="s">
        <v>557</v>
      </c>
      <c r="C487" s="699" t="s">
        <v>574</v>
      </c>
      <c r="D487" s="720" t="s">
        <v>3570</v>
      </c>
      <c r="E487" s="699" t="s">
        <v>3571</v>
      </c>
      <c r="F487" s="720" t="s">
        <v>3572</v>
      </c>
      <c r="G487" s="699" t="s">
        <v>3084</v>
      </c>
      <c r="H487" s="699" t="s">
        <v>3085</v>
      </c>
      <c r="I487" s="711">
        <v>878.72</v>
      </c>
      <c r="J487" s="711">
        <v>2</v>
      </c>
      <c r="K487" s="712">
        <v>1757.44</v>
      </c>
    </row>
    <row r="488" spans="1:11" ht="14.4" customHeight="1" x14ac:dyDescent="0.3">
      <c r="A488" s="695" t="s">
        <v>556</v>
      </c>
      <c r="B488" s="696" t="s">
        <v>557</v>
      </c>
      <c r="C488" s="699" t="s">
        <v>574</v>
      </c>
      <c r="D488" s="720" t="s">
        <v>3570</v>
      </c>
      <c r="E488" s="699" t="s">
        <v>3571</v>
      </c>
      <c r="F488" s="720" t="s">
        <v>3572</v>
      </c>
      <c r="G488" s="699" t="s">
        <v>3086</v>
      </c>
      <c r="H488" s="699" t="s">
        <v>3087</v>
      </c>
      <c r="I488" s="711">
        <v>8766.4500000000007</v>
      </c>
      <c r="J488" s="711">
        <v>1</v>
      </c>
      <c r="K488" s="712">
        <v>8766.4500000000007</v>
      </c>
    </row>
    <row r="489" spans="1:11" ht="14.4" customHeight="1" x14ac:dyDescent="0.3">
      <c r="A489" s="695" t="s">
        <v>556</v>
      </c>
      <c r="B489" s="696" t="s">
        <v>557</v>
      </c>
      <c r="C489" s="699" t="s">
        <v>574</v>
      </c>
      <c r="D489" s="720" t="s">
        <v>3570</v>
      </c>
      <c r="E489" s="699" t="s">
        <v>3571</v>
      </c>
      <c r="F489" s="720" t="s">
        <v>3572</v>
      </c>
      <c r="G489" s="699" t="s">
        <v>3088</v>
      </c>
      <c r="H489" s="699" t="s">
        <v>3089</v>
      </c>
      <c r="I489" s="711">
        <v>878.72</v>
      </c>
      <c r="J489" s="711">
        <v>2</v>
      </c>
      <c r="K489" s="712">
        <v>1757.44</v>
      </c>
    </row>
    <row r="490" spans="1:11" ht="14.4" customHeight="1" x14ac:dyDescent="0.3">
      <c r="A490" s="695" t="s">
        <v>556</v>
      </c>
      <c r="B490" s="696" t="s">
        <v>557</v>
      </c>
      <c r="C490" s="699" t="s">
        <v>574</v>
      </c>
      <c r="D490" s="720" t="s">
        <v>3570</v>
      </c>
      <c r="E490" s="699" t="s">
        <v>3571</v>
      </c>
      <c r="F490" s="720" t="s">
        <v>3572</v>
      </c>
      <c r="G490" s="699" t="s">
        <v>3090</v>
      </c>
      <c r="H490" s="699" t="s">
        <v>3091</v>
      </c>
      <c r="I490" s="711">
        <v>878.71</v>
      </c>
      <c r="J490" s="711">
        <v>3</v>
      </c>
      <c r="K490" s="712">
        <v>2636.12</v>
      </c>
    </row>
    <row r="491" spans="1:11" ht="14.4" customHeight="1" x14ac:dyDescent="0.3">
      <c r="A491" s="695" t="s">
        <v>556</v>
      </c>
      <c r="B491" s="696" t="s">
        <v>557</v>
      </c>
      <c r="C491" s="699" t="s">
        <v>574</v>
      </c>
      <c r="D491" s="720" t="s">
        <v>3570</v>
      </c>
      <c r="E491" s="699" t="s">
        <v>3571</v>
      </c>
      <c r="F491" s="720" t="s">
        <v>3572</v>
      </c>
      <c r="G491" s="699" t="s">
        <v>3092</v>
      </c>
      <c r="H491" s="699" t="s">
        <v>3093</v>
      </c>
      <c r="I491" s="711">
        <v>1179.9000000000001</v>
      </c>
      <c r="J491" s="711">
        <v>1</v>
      </c>
      <c r="K491" s="712">
        <v>1179.9000000000001</v>
      </c>
    </row>
    <row r="492" spans="1:11" ht="14.4" customHeight="1" x14ac:dyDescent="0.3">
      <c r="A492" s="695" t="s">
        <v>556</v>
      </c>
      <c r="B492" s="696" t="s">
        <v>557</v>
      </c>
      <c r="C492" s="699" t="s">
        <v>574</v>
      </c>
      <c r="D492" s="720" t="s">
        <v>3570</v>
      </c>
      <c r="E492" s="699" t="s">
        <v>3571</v>
      </c>
      <c r="F492" s="720" t="s">
        <v>3572</v>
      </c>
      <c r="G492" s="699" t="s">
        <v>3094</v>
      </c>
      <c r="H492" s="699" t="s">
        <v>3095</v>
      </c>
      <c r="I492" s="711">
        <v>1179.9000000000001</v>
      </c>
      <c r="J492" s="711">
        <v>2</v>
      </c>
      <c r="K492" s="712">
        <v>2359.8000000000002</v>
      </c>
    </row>
    <row r="493" spans="1:11" ht="14.4" customHeight="1" x14ac:dyDescent="0.3">
      <c r="A493" s="695" t="s">
        <v>556</v>
      </c>
      <c r="B493" s="696" t="s">
        <v>557</v>
      </c>
      <c r="C493" s="699" t="s">
        <v>574</v>
      </c>
      <c r="D493" s="720" t="s">
        <v>3570</v>
      </c>
      <c r="E493" s="699" t="s">
        <v>3571</v>
      </c>
      <c r="F493" s="720" t="s">
        <v>3572</v>
      </c>
      <c r="G493" s="699" t="s">
        <v>3096</v>
      </c>
      <c r="H493" s="699" t="s">
        <v>3097</v>
      </c>
      <c r="I493" s="711">
        <v>1375.4000000000003</v>
      </c>
      <c r="J493" s="711">
        <v>6</v>
      </c>
      <c r="K493" s="712">
        <v>8252.4000000000015</v>
      </c>
    </row>
    <row r="494" spans="1:11" ht="14.4" customHeight="1" x14ac:dyDescent="0.3">
      <c r="A494" s="695" t="s">
        <v>556</v>
      </c>
      <c r="B494" s="696" t="s">
        <v>557</v>
      </c>
      <c r="C494" s="699" t="s">
        <v>574</v>
      </c>
      <c r="D494" s="720" t="s">
        <v>3570</v>
      </c>
      <c r="E494" s="699" t="s">
        <v>3571</v>
      </c>
      <c r="F494" s="720" t="s">
        <v>3572</v>
      </c>
      <c r="G494" s="699" t="s">
        <v>3098</v>
      </c>
      <c r="H494" s="699" t="s">
        <v>3099</v>
      </c>
      <c r="I494" s="711">
        <v>878.72</v>
      </c>
      <c r="J494" s="711">
        <v>3</v>
      </c>
      <c r="K494" s="712">
        <v>2636.15</v>
      </c>
    </row>
    <row r="495" spans="1:11" ht="14.4" customHeight="1" x14ac:dyDescent="0.3">
      <c r="A495" s="695" t="s">
        <v>556</v>
      </c>
      <c r="B495" s="696" t="s">
        <v>557</v>
      </c>
      <c r="C495" s="699" t="s">
        <v>574</v>
      </c>
      <c r="D495" s="720" t="s">
        <v>3570</v>
      </c>
      <c r="E495" s="699" t="s">
        <v>3571</v>
      </c>
      <c r="F495" s="720" t="s">
        <v>3572</v>
      </c>
      <c r="G495" s="699" t="s">
        <v>3100</v>
      </c>
      <c r="H495" s="699" t="s">
        <v>3101</v>
      </c>
      <c r="I495" s="711">
        <v>878.72333333333336</v>
      </c>
      <c r="J495" s="711">
        <v>6</v>
      </c>
      <c r="K495" s="712">
        <v>5272.35</v>
      </c>
    </row>
    <row r="496" spans="1:11" ht="14.4" customHeight="1" x14ac:dyDescent="0.3">
      <c r="A496" s="695" t="s">
        <v>556</v>
      </c>
      <c r="B496" s="696" t="s">
        <v>557</v>
      </c>
      <c r="C496" s="699" t="s">
        <v>574</v>
      </c>
      <c r="D496" s="720" t="s">
        <v>3570</v>
      </c>
      <c r="E496" s="699" t="s">
        <v>3571</v>
      </c>
      <c r="F496" s="720" t="s">
        <v>3572</v>
      </c>
      <c r="G496" s="699" t="s">
        <v>3102</v>
      </c>
      <c r="H496" s="699" t="s">
        <v>3103</v>
      </c>
      <c r="I496" s="711">
        <v>4666.7</v>
      </c>
      <c r="J496" s="711">
        <v>2</v>
      </c>
      <c r="K496" s="712">
        <v>9333.4</v>
      </c>
    </row>
    <row r="497" spans="1:11" ht="14.4" customHeight="1" x14ac:dyDescent="0.3">
      <c r="A497" s="695" t="s">
        <v>556</v>
      </c>
      <c r="B497" s="696" t="s">
        <v>557</v>
      </c>
      <c r="C497" s="699" t="s">
        <v>574</v>
      </c>
      <c r="D497" s="720" t="s">
        <v>3570</v>
      </c>
      <c r="E497" s="699" t="s">
        <v>3571</v>
      </c>
      <c r="F497" s="720" t="s">
        <v>3572</v>
      </c>
      <c r="G497" s="699" t="s">
        <v>3104</v>
      </c>
      <c r="H497" s="699" t="s">
        <v>3105</v>
      </c>
      <c r="I497" s="711">
        <v>4666.7</v>
      </c>
      <c r="J497" s="711">
        <v>3</v>
      </c>
      <c r="K497" s="712">
        <v>14000.099999999999</v>
      </c>
    </row>
    <row r="498" spans="1:11" ht="14.4" customHeight="1" x14ac:dyDescent="0.3">
      <c r="A498" s="695" t="s">
        <v>556</v>
      </c>
      <c r="B498" s="696" t="s">
        <v>557</v>
      </c>
      <c r="C498" s="699" t="s">
        <v>574</v>
      </c>
      <c r="D498" s="720" t="s">
        <v>3570</v>
      </c>
      <c r="E498" s="699" t="s">
        <v>3571</v>
      </c>
      <c r="F498" s="720" t="s">
        <v>3572</v>
      </c>
      <c r="G498" s="699" t="s">
        <v>3106</v>
      </c>
      <c r="H498" s="699" t="s">
        <v>3107</v>
      </c>
      <c r="I498" s="711">
        <v>7466.32</v>
      </c>
      <c r="J498" s="711">
        <v>1</v>
      </c>
      <c r="K498" s="712">
        <v>7466.32</v>
      </c>
    </row>
    <row r="499" spans="1:11" ht="14.4" customHeight="1" x14ac:dyDescent="0.3">
      <c r="A499" s="695" t="s">
        <v>556</v>
      </c>
      <c r="B499" s="696" t="s">
        <v>557</v>
      </c>
      <c r="C499" s="699" t="s">
        <v>574</v>
      </c>
      <c r="D499" s="720" t="s">
        <v>3570</v>
      </c>
      <c r="E499" s="699" t="s">
        <v>3571</v>
      </c>
      <c r="F499" s="720" t="s">
        <v>3572</v>
      </c>
      <c r="G499" s="699" t="s">
        <v>3108</v>
      </c>
      <c r="H499" s="699" t="s">
        <v>3109</v>
      </c>
      <c r="I499" s="711">
        <v>9028.7999999999993</v>
      </c>
      <c r="J499" s="711">
        <v>1</v>
      </c>
      <c r="K499" s="712">
        <v>9028.7999999999993</v>
      </c>
    </row>
    <row r="500" spans="1:11" ht="14.4" customHeight="1" x14ac:dyDescent="0.3">
      <c r="A500" s="695" t="s">
        <v>556</v>
      </c>
      <c r="B500" s="696" t="s">
        <v>557</v>
      </c>
      <c r="C500" s="699" t="s">
        <v>574</v>
      </c>
      <c r="D500" s="720" t="s">
        <v>3570</v>
      </c>
      <c r="E500" s="699" t="s">
        <v>3571</v>
      </c>
      <c r="F500" s="720" t="s">
        <v>3572</v>
      </c>
      <c r="G500" s="699" t="s">
        <v>3110</v>
      </c>
      <c r="H500" s="699" t="s">
        <v>3111</v>
      </c>
      <c r="I500" s="711">
        <v>10994</v>
      </c>
      <c r="J500" s="711">
        <v>1</v>
      </c>
      <c r="K500" s="712">
        <v>10994</v>
      </c>
    </row>
    <row r="501" spans="1:11" ht="14.4" customHeight="1" x14ac:dyDescent="0.3">
      <c r="A501" s="695" t="s">
        <v>556</v>
      </c>
      <c r="B501" s="696" t="s">
        <v>557</v>
      </c>
      <c r="C501" s="699" t="s">
        <v>574</v>
      </c>
      <c r="D501" s="720" t="s">
        <v>3570</v>
      </c>
      <c r="E501" s="699" t="s">
        <v>3571</v>
      </c>
      <c r="F501" s="720" t="s">
        <v>3572</v>
      </c>
      <c r="G501" s="699" t="s">
        <v>3112</v>
      </c>
      <c r="H501" s="699" t="s">
        <v>3113</v>
      </c>
      <c r="I501" s="711">
        <v>1179.9000000000001</v>
      </c>
      <c r="J501" s="711">
        <v>1</v>
      </c>
      <c r="K501" s="712">
        <v>1179.9000000000001</v>
      </c>
    </row>
    <row r="502" spans="1:11" ht="14.4" customHeight="1" x14ac:dyDescent="0.3">
      <c r="A502" s="695" t="s">
        <v>556</v>
      </c>
      <c r="B502" s="696" t="s">
        <v>557</v>
      </c>
      <c r="C502" s="699" t="s">
        <v>574</v>
      </c>
      <c r="D502" s="720" t="s">
        <v>3570</v>
      </c>
      <c r="E502" s="699" t="s">
        <v>3571</v>
      </c>
      <c r="F502" s="720" t="s">
        <v>3572</v>
      </c>
      <c r="G502" s="699" t="s">
        <v>3114</v>
      </c>
      <c r="H502" s="699" t="s">
        <v>3115</v>
      </c>
      <c r="I502" s="711">
        <v>614.46</v>
      </c>
      <c r="J502" s="711">
        <v>2</v>
      </c>
      <c r="K502" s="712">
        <v>1228.9100000000001</v>
      </c>
    </row>
    <row r="503" spans="1:11" ht="14.4" customHeight="1" x14ac:dyDescent="0.3">
      <c r="A503" s="695" t="s">
        <v>556</v>
      </c>
      <c r="B503" s="696" t="s">
        <v>557</v>
      </c>
      <c r="C503" s="699" t="s">
        <v>574</v>
      </c>
      <c r="D503" s="720" t="s">
        <v>3570</v>
      </c>
      <c r="E503" s="699" t="s">
        <v>3571</v>
      </c>
      <c r="F503" s="720" t="s">
        <v>3572</v>
      </c>
      <c r="G503" s="699" t="s">
        <v>3116</v>
      </c>
      <c r="H503" s="699" t="s">
        <v>3117</v>
      </c>
      <c r="I503" s="711">
        <v>851.58</v>
      </c>
      <c r="J503" s="711">
        <v>1</v>
      </c>
      <c r="K503" s="712">
        <v>851.58</v>
      </c>
    </row>
    <row r="504" spans="1:11" ht="14.4" customHeight="1" x14ac:dyDescent="0.3">
      <c r="A504" s="695" t="s">
        <v>556</v>
      </c>
      <c r="B504" s="696" t="s">
        <v>557</v>
      </c>
      <c r="C504" s="699" t="s">
        <v>574</v>
      </c>
      <c r="D504" s="720" t="s">
        <v>3570</v>
      </c>
      <c r="E504" s="699" t="s">
        <v>3571</v>
      </c>
      <c r="F504" s="720" t="s">
        <v>3572</v>
      </c>
      <c r="G504" s="699" t="s">
        <v>3118</v>
      </c>
      <c r="H504" s="699" t="s">
        <v>3119</v>
      </c>
      <c r="I504" s="711">
        <v>5175</v>
      </c>
      <c r="J504" s="711">
        <v>1</v>
      </c>
      <c r="K504" s="712">
        <v>5175</v>
      </c>
    </row>
    <row r="505" spans="1:11" ht="14.4" customHeight="1" x14ac:dyDescent="0.3">
      <c r="A505" s="695" t="s">
        <v>556</v>
      </c>
      <c r="B505" s="696" t="s">
        <v>557</v>
      </c>
      <c r="C505" s="699" t="s">
        <v>574</v>
      </c>
      <c r="D505" s="720" t="s">
        <v>3570</v>
      </c>
      <c r="E505" s="699" t="s">
        <v>3571</v>
      </c>
      <c r="F505" s="720" t="s">
        <v>3572</v>
      </c>
      <c r="G505" s="699" t="s">
        <v>3120</v>
      </c>
      <c r="H505" s="699" t="s">
        <v>3121</v>
      </c>
      <c r="I505" s="711">
        <v>1232.3399999999999</v>
      </c>
      <c r="J505" s="711">
        <v>1</v>
      </c>
      <c r="K505" s="712">
        <v>1232.3399999999999</v>
      </c>
    </row>
    <row r="506" spans="1:11" ht="14.4" customHeight="1" x14ac:dyDescent="0.3">
      <c r="A506" s="695" t="s">
        <v>556</v>
      </c>
      <c r="B506" s="696" t="s">
        <v>557</v>
      </c>
      <c r="C506" s="699" t="s">
        <v>574</v>
      </c>
      <c r="D506" s="720" t="s">
        <v>3570</v>
      </c>
      <c r="E506" s="699" t="s">
        <v>3571</v>
      </c>
      <c r="F506" s="720" t="s">
        <v>3572</v>
      </c>
      <c r="G506" s="699" t="s">
        <v>3122</v>
      </c>
      <c r="H506" s="699" t="s">
        <v>3123</v>
      </c>
      <c r="I506" s="711">
        <v>3859.17</v>
      </c>
      <c r="J506" s="711">
        <v>1</v>
      </c>
      <c r="K506" s="712">
        <v>3859.17</v>
      </c>
    </row>
    <row r="507" spans="1:11" ht="14.4" customHeight="1" x14ac:dyDescent="0.3">
      <c r="A507" s="695" t="s">
        <v>556</v>
      </c>
      <c r="B507" s="696" t="s">
        <v>557</v>
      </c>
      <c r="C507" s="699" t="s">
        <v>574</v>
      </c>
      <c r="D507" s="720" t="s">
        <v>3570</v>
      </c>
      <c r="E507" s="699" t="s">
        <v>3571</v>
      </c>
      <c r="F507" s="720" t="s">
        <v>3572</v>
      </c>
      <c r="G507" s="699" t="s">
        <v>3124</v>
      </c>
      <c r="H507" s="699" t="s">
        <v>3125</v>
      </c>
      <c r="I507" s="711">
        <v>103.63</v>
      </c>
      <c r="J507" s="711">
        <v>30</v>
      </c>
      <c r="K507" s="712">
        <v>3108.8</v>
      </c>
    </row>
    <row r="508" spans="1:11" ht="14.4" customHeight="1" x14ac:dyDescent="0.3">
      <c r="A508" s="695" t="s">
        <v>556</v>
      </c>
      <c r="B508" s="696" t="s">
        <v>557</v>
      </c>
      <c r="C508" s="699" t="s">
        <v>574</v>
      </c>
      <c r="D508" s="720" t="s">
        <v>3570</v>
      </c>
      <c r="E508" s="699" t="s">
        <v>3571</v>
      </c>
      <c r="F508" s="720" t="s">
        <v>3572</v>
      </c>
      <c r="G508" s="699" t="s">
        <v>3126</v>
      </c>
      <c r="H508" s="699" t="s">
        <v>3127</v>
      </c>
      <c r="I508" s="711">
        <v>2111.3450000000003</v>
      </c>
      <c r="J508" s="711">
        <v>2</v>
      </c>
      <c r="K508" s="712">
        <v>4222.6900000000005</v>
      </c>
    </row>
    <row r="509" spans="1:11" ht="14.4" customHeight="1" x14ac:dyDescent="0.3">
      <c r="A509" s="695" t="s">
        <v>556</v>
      </c>
      <c r="B509" s="696" t="s">
        <v>557</v>
      </c>
      <c r="C509" s="699" t="s">
        <v>574</v>
      </c>
      <c r="D509" s="720" t="s">
        <v>3570</v>
      </c>
      <c r="E509" s="699" t="s">
        <v>3571</v>
      </c>
      <c r="F509" s="720" t="s">
        <v>3572</v>
      </c>
      <c r="G509" s="699" t="s">
        <v>3128</v>
      </c>
      <c r="H509" s="699" t="s">
        <v>3129</v>
      </c>
      <c r="I509" s="711">
        <v>329.4666666666667</v>
      </c>
      <c r="J509" s="711">
        <v>3</v>
      </c>
      <c r="K509" s="712">
        <v>988.40000000000009</v>
      </c>
    </row>
    <row r="510" spans="1:11" ht="14.4" customHeight="1" x14ac:dyDescent="0.3">
      <c r="A510" s="695" t="s">
        <v>556</v>
      </c>
      <c r="B510" s="696" t="s">
        <v>557</v>
      </c>
      <c r="C510" s="699" t="s">
        <v>574</v>
      </c>
      <c r="D510" s="720" t="s">
        <v>3570</v>
      </c>
      <c r="E510" s="699" t="s">
        <v>3571</v>
      </c>
      <c r="F510" s="720" t="s">
        <v>3572</v>
      </c>
      <c r="G510" s="699" t="s">
        <v>3130</v>
      </c>
      <c r="H510" s="699" t="s">
        <v>3131</v>
      </c>
      <c r="I510" s="711">
        <v>2916.13</v>
      </c>
      <c r="J510" s="711">
        <v>1</v>
      </c>
      <c r="K510" s="712">
        <v>2916.13</v>
      </c>
    </row>
    <row r="511" spans="1:11" ht="14.4" customHeight="1" x14ac:dyDescent="0.3">
      <c r="A511" s="695" t="s">
        <v>556</v>
      </c>
      <c r="B511" s="696" t="s">
        <v>557</v>
      </c>
      <c r="C511" s="699" t="s">
        <v>574</v>
      </c>
      <c r="D511" s="720" t="s">
        <v>3570</v>
      </c>
      <c r="E511" s="699" t="s">
        <v>3571</v>
      </c>
      <c r="F511" s="720" t="s">
        <v>3572</v>
      </c>
      <c r="G511" s="699" t="s">
        <v>3132</v>
      </c>
      <c r="H511" s="699" t="s">
        <v>3133</v>
      </c>
      <c r="I511" s="711">
        <v>229.15</v>
      </c>
      <c r="J511" s="711">
        <v>2</v>
      </c>
      <c r="K511" s="712">
        <v>458.3</v>
      </c>
    </row>
    <row r="512" spans="1:11" ht="14.4" customHeight="1" x14ac:dyDescent="0.3">
      <c r="A512" s="695" t="s">
        <v>556</v>
      </c>
      <c r="B512" s="696" t="s">
        <v>557</v>
      </c>
      <c r="C512" s="699" t="s">
        <v>574</v>
      </c>
      <c r="D512" s="720" t="s">
        <v>3570</v>
      </c>
      <c r="E512" s="699" t="s">
        <v>3571</v>
      </c>
      <c r="F512" s="720" t="s">
        <v>3572</v>
      </c>
      <c r="G512" s="699" t="s">
        <v>3134</v>
      </c>
      <c r="H512" s="699" t="s">
        <v>3135</v>
      </c>
      <c r="I512" s="711">
        <v>466.26</v>
      </c>
      <c r="J512" s="711">
        <v>2</v>
      </c>
      <c r="K512" s="712">
        <v>932.52</v>
      </c>
    </row>
    <row r="513" spans="1:11" ht="14.4" customHeight="1" x14ac:dyDescent="0.3">
      <c r="A513" s="695" t="s">
        <v>556</v>
      </c>
      <c r="B513" s="696" t="s">
        <v>557</v>
      </c>
      <c r="C513" s="699" t="s">
        <v>574</v>
      </c>
      <c r="D513" s="720" t="s">
        <v>3570</v>
      </c>
      <c r="E513" s="699" t="s">
        <v>3571</v>
      </c>
      <c r="F513" s="720" t="s">
        <v>3572</v>
      </c>
      <c r="G513" s="699" t="s">
        <v>3136</v>
      </c>
      <c r="H513" s="699" t="s">
        <v>3137</v>
      </c>
      <c r="I513" s="711">
        <v>2916.12</v>
      </c>
      <c r="J513" s="711">
        <v>1</v>
      </c>
      <c r="K513" s="712">
        <v>2916.12</v>
      </c>
    </row>
    <row r="514" spans="1:11" ht="14.4" customHeight="1" x14ac:dyDescent="0.3">
      <c r="A514" s="695" t="s">
        <v>556</v>
      </c>
      <c r="B514" s="696" t="s">
        <v>557</v>
      </c>
      <c r="C514" s="699" t="s">
        <v>574</v>
      </c>
      <c r="D514" s="720" t="s">
        <v>3570</v>
      </c>
      <c r="E514" s="699" t="s">
        <v>3571</v>
      </c>
      <c r="F514" s="720" t="s">
        <v>3572</v>
      </c>
      <c r="G514" s="699" t="s">
        <v>3138</v>
      </c>
      <c r="H514" s="699" t="s">
        <v>3139</v>
      </c>
      <c r="I514" s="711">
        <v>1029.43</v>
      </c>
      <c r="J514" s="711">
        <v>1</v>
      </c>
      <c r="K514" s="712">
        <v>1029.43</v>
      </c>
    </row>
    <row r="515" spans="1:11" ht="14.4" customHeight="1" x14ac:dyDescent="0.3">
      <c r="A515" s="695" t="s">
        <v>556</v>
      </c>
      <c r="B515" s="696" t="s">
        <v>557</v>
      </c>
      <c r="C515" s="699" t="s">
        <v>574</v>
      </c>
      <c r="D515" s="720" t="s">
        <v>3570</v>
      </c>
      <c r="E515" s="699" t="s">
        <v>3571</v>
      </c>
      <c r="F515" s="720" t="s">
        <v>3572</v>
      </c>
      <c r="G515" s="699" t="s">
        <v>3140</v>
      </c>
      <c r="H515" s="699" t="s">
        <v>3141</v>
      </c>
      <c r="I515" s="711">
        <v>641.07000000000005</v>
      </c>
      <c r="J515" s="711">
        <v>1</v>
      </c>
      <c r="K515" s="712">
        <v>641.07000000000005</v>
      </c>
    </row>
    <row r="516" spans="1:11" ht="14.4" customHeight="1" x14ac:dyDescent="0.3">
      <c r="A516" s="695" t="s">
        <v>556</v>
      </c>
      <c r="B516" s="696" t="s">
        <v>557</v>
      </c>
      <c r="C516" s="699" t="s">
        <v>574</v>
      </c>
      <c r="D516" s="720" t="s">
        <v>3570</v>
      </c>
      <c r="E516" s="699" t="s">
        <v>3571</v>
      </c>
      <c r="F516" s="720" t="s">
        <v>3572</v>
      </c>
      <c r="G516" s="699" t="s">
        <v>3142</v>
      </c>
      <c r="H516" s="699" t="s">
        <v>3143</v>
      </c>
      <c r="I516" s="711">
        <v>3859.2</v>
      </c>
      <c r="J516" s="711">
        <v>1</v>
      </c>
      <c r="K516" s="712">
        <v>3859.2</v>
      </c>
    </row>
    <row r="517" spans="1:11" ht="14.4" customHeight="1" x14ac:dyDescent="0.3">
      <c r="A517" s="695" t="s">
        <v>556</v>
      </c>
      <c r="B517" s="696" t="s">
        <v>557</v>
      </c>
      <c r="C517" s="699" t="s">
        <v>574</v>
      </c>
      <c r="D517" s="720" t="s">
        <v>3570</v>
      </c>
      <c r="E517" s="699" t="s">
        <v>3571</v>
      </c>
      <c r="F517" s="720" t="s">
        <v>3572</v>
      </c>
      <c r="G517" s="699" t="s">
        <v>3144</v>
      </c>
      <c r="H517" s="699" t="s">
        <v>3145</v>
      </c>
      <c r="I517" s="711">
        <v>466.26</v>
      </c>
      <c r="J517" s="711">
        <v>2</v>
      </c>
      <c r="K517" s="712">
        <v>932.52</v>
      </c>
    </row>
    <row r="518" spans="1:11" ht="14.4" customHeight="1" x14ac:dyDescent="0.3">
      <c r="A518" s="695" t="s">
        <v>556</v>
      </c>
      <c r="B518" s="696" t="s">
        <v>557</v>
      </c>
      <c r="C518" s="699" t="s">
        <v>574</v>
      </c>
      <c r="D518" s="720" t="s">
        <v>3570</v>
      </c>
      <c r="E518" s="699" t="s">
        <v>3571</v>
      </c>
      <c r="F518" s="720" t="s">
        <v>3572</v>
      </c>
      <c r="G518" s="699" t="s">
        <v>3146</v>
      </c>
      <c r="H518" s="699" t="s">
        <v>3147</v>
      </c>
      <c r="I518" s="711">
        <v>5175</v>
      </c>
      <c r="J518" s="711">
        <v>1</v>
      </c>
      <c r="K518" s="712">
        <v>5175</v>
      </c>
    </row>
    <row r="519" spans="1:11" ht="14.4" customHeight="1" x14ac:dyDescent="0.3">
      <c r="A519" s="695" t="s">
        <v>556</v>
      </c>
      <c r="B519" s="696" t="s">
        <v>557</v>
      </c>
      <c r="C519" s="699" t="s">
        <v>574</v>
      </c>
      <c r="D519" s="720" t="s">
        <v>3570</v>
      </c>
      <c r="E519" s="699" t="s">
        <v>3571</v>
      </c>
      <c r="F519" s="720" t="s">
        <v>3572</v>
      </c>
      <c r="G519" s="699" t="s">
        <v>3148</v>
      </c>
      <c r="H519" s="699" t="s">
        <v>3149</v>
      </c>
      <c r="I519" s="711">
        <v>1839.1</v>
      </c>
      <c r="J519" s="711">
        <v>4</v>
      </c>
      <c r="K519" s="712">
        <v>7356.4</v>
      </c>
    </row>
    <row r="520" spans="1:11" ht="14.4" customHeight="1" x14ac:dyDescent="0.3">
      <c r="A520" s="695" t="s">
        <v>556</v>
      </c>
      <c r="B520" s="696" t="s">
        <v>557</v>
      </c>
      <c r="C520" s="699" t="s">
        <v>574</v>
      </c>
      <c r="D520" s="720" t="s">
        <v>3570</v>
      </c>
      <c r="E520" s="699" t="s">
        <v>3571</v>
      </c>
      <c r="F520" s="720" t="s">
        <v>3572</v>
      </c>
      <c r="G520" s="699" t="s">
        <v>3150</v>
      </c>
      <c r="H520" s="699" t="s">
        <v>3151</v>
      </c>
      <c r="I520" s="711">
        <v>344.28</v>
      </c>
      <c r="J520" s="711">
        <v>1</v>
      </c>
      <c r="K520" s="712">
        <v>344.28</v>
      </c>
    </row>
    <row r="521" spans="1:11" ht="14.4" customHeight="1" x14ac:dyDescent="0.3">
      <c r="A521" s="695" t="s">
        <v>556</v>
      </c>
      <c r="B521" s="696" t="s">
        <v>557</v>
      </c>
      <c r="C521" s="699" t="s">
        <v>574</v>
      </c>
      <c r="D521" s="720" t="s">
        <v>3570</v>
      </c>
      <c r="E521" s="699" t="s">
        <v>3571</v>
      </c>
      <c r="F521" s="720" t="s">
        <v>3572</v>
      </c>
      <c r="G521" s="699" t="s">
        <v>3152</v>
      </c>
      <c r="H521" s="699" t="s">
        <v>3153</v>
      </c>
      <c r="I521" s="711">
        <v>11384</v>
      </c>
      <c r="J521" s="711">
        <v>1</v>
      </c>
      <c r="K521" s="712">
        <v>11384</v>
      </c>
    </row>
    <row r="522" spans="1:11" ht="14.4" customHeight="1" x14ac:dyDescent="0.3">
      <c r="A522" s="695" t="s">
        <v>556</v>
      </c>
      <c r="B522" s="696" t="s">
        <v>557</v>
      </c>
      <c r="C522" s="699" t="s">
        <v>574</v>
      </c>
      <c r="D522" s="720" t="s">
        <v>3570</v>
      </c>
      <c r="E522" s="699" t="s">
        <v>3571</v>
      </c>
      <c r="F522" s="720" t="s">
        <v>3572</v>
      </c>
      <c r="G522" s="699" t="s">
        <v>3154</v>
      </c>
      <c r="H522" s="699" t="s">
        <v>3155</v>
      </c>
      <c r="I522" s="711">
        <v>5442.95</v>
      </c>
      <c r="J522" s="711">
        <v>1</v>
      </c>
      <c r="K522" s="712">
        <v>5442.95</v>
      </c>
    </row>
    <row r="523" spans="1:11" ht="14.4" customHeight="1" x14ac:dyDescent="0.3">
      <c r="A523" s="695" t="s">
        <v>556</v>
      </c>
      <c r="B523" s="696" t="s">
        <v>557</v>
      </c>
      <c r="C523" s="699" t="s">
        <v>574</v>
      </c>
      <c r="D523" s="720" t="s">
        <v>3570</v>
      </c>
      <c r="E523" s="699" t="s">
        <v>3571</v>
      </c>
      <c r="F523" s="720" t="s">
        <v>3572</v>
      </c>
      <c r="G523" s="699" t="s">
        <v>3156</v>
      </c>
      <c r="H523" s="699" t="s">
        <v>3157</v>
      </c>
      <c r="I523" s="711">
        <v>8683.43</v>
      </c>
      <c r="J523" s="711">
        <v>1</v>
      </c>
      <c r="K523" s="712">
        <v>8683.43</v>
      </c>
    </row>
    <row r="524" spans="1:11" ht="14.4" customHeight="1" x14ac:dyDescent="0.3">
      <c r="A524" s="695" t="s">
        <v>556</v>
      </c>
      <c r="B524" s="696" t="s">
        <v>557</v>
      </c>
      <c r="C524" s="699" t="s">
        <v>574</v>
      </c>
      <c r="D524" s="720" t="s">
        <v>3570</v>
      </c>
      <c r="E524" s="699" t="s">
        <v>3571</v>
      </c>
      <c r="F524" s="720" t="s">
        <v>3572</v>
      </c>
      <c r="G524" s="699" t="s">
        <v>3158</v>
      </c>
      <c r="H524" s="699" t="s">
        <v>3159</v>
      </c>
      <c r="I524" s="711">
        <v>1094.4000000000001</v>
      </c>
      <c r="J524" s="711">
        <v>1</v>
      </c>
      <c r="K524" s="712">
        <v>1094.4000000000001</v>
      </c>
    </row>
    <row r="525" spans="1:11" ht="14.4" customHeight="1" x14ac:dyDescent="0.3">
      <c r="A525" s="695" t="s">
        <v>556</v>
      </c>
      <c r="B525" s="696" t="s">
        <v>557</v>
      </c>
      <c r="C525" s="699" t="s">
        <v>574</v>
      </c>
      <c r="D525" s="720" t="s">
        <v>3570</v>
      </c>
      <c r="E525" s="699" t="s">
        <v>3571</v>
      </c>
      <c r="F525" s="720" t="s">
        <v>3572</v>
      </c>
      <c r="G525" s="699" t="s">
        <v>3160</v>
      </c>
      <c r="H525" s="699" t="s">
        <v>3161</v>
      </c>
      <c r="I525" s="711">
        <v>851.58</v>
      </c>
      <c r="J525" s="711">
        <v>1</v>
      </c>
      <c r="K525" s="712">
        <v>851.58</v>
      </c>
    </row>
    <row r="526" spans="1:11" ht="14.4" customHeight="1" x14ac:dyDescent="0.3">
      <c r="A526" s="695" t="s">
        <v>556</v>
      </c>
      <c r="B526" s="696" t="s">
        <v>557</v>
      </c>
      <c r="C526" s="699" t="s">
        <v>574</v>
      </c>
      <c r="D526" s="720" t="s">
        <v>3570</v>
      </c>
      <c r="E526" s="699" t="s">
        <v>3571</v>
      </c>
      <c r="F526" s="720" t="s">
        <v>3572</v>
      </c>
      <c r="G526" s="699" t="s">
        <v>3162</v>
      </c>
      <c r="H526" s="699" t="s">
        <v>3163</v>
      </c>
      <c r="I526" s="711">
        <v>10319.295</v>
      </c>
      <c r="J526" s="711">
        <v>2</v>
      </c>
      <c r="K526" s="712">
        <v>20638.59</v>
      </c>
    </row>
    <row r="527" spans="1:11" ht="14.4" customHeight="1" x14ac:dyDescent="0.3">
      <c r="A527" s="695" t="s">
        <v>556</v>
      </c>
      <c r="B527" s="696" t="s">
        <v>557</v>
      </c>
      <c r="C527" s="699" t="s">
        <v>574</v>
      </c>
      <c r="D527" s="720" t="s">
        <v>3570</v>
      </c>
      <c r="E527" s="699" t="s">
        <v>3571</v>
      </c>
      <c r="F527" s="720" t="s">
        <v>3572</v>
      </c>
      <c r="G527" s="699" t="s">
        <v>3164</v>
      </c>
      <c r="H527" s="699" t="s">
        <v>3165</v>
      </c>
      <c r="I527" s="711">
        <v>4772.5</v>
      </c>
      <c r="J527" s="711">
        <v>3</v>
      </c>
      <c r="K527" s="712">
        <v>14317.5</v>
      </c>
    </row>
    <row r="528" spans="1:11" ht="14.4" customHeight="1" x14ac:dyDescent="0.3">
      <c r="A528" s="695" t="s">
        <v>556</v>
      </c>
      <c r="B528" s="696" t="s">
        <v>557</v>
      </c>
      <c r="C528" s="699" t="s">
        <v>574</v>
      </c>
      <c r="D528" s="720" t="s">
        <v>3570</v>
      </c>
      <c r="E528" s="699" t="s">
        <v>3571</v>
      </c>
      <c r="F528" s="720" t="s">
        <v>3572</v>
      </c>
      <c r="G528" s="699" t="s">
        <v>3166</v>
      </c>
      <c r="H528" s="699" t="s">
        <v>3167</v>
      </c>
      <c r="I528" s="711">
        <v>878.72</v>
      </c>
      <c r="J528" s="711">
        <v>1</v>
      </c>
      <c r="K528" s="712">
        <v>878.72</v>
      </c>
    </row>
    <row r="529" spans="1:11" ht="14.4" customHeight="1" x14ac:dyDescent="0.3">
      <c r="A529" s="695" t="s">
        <v>556</v>
      </c>
      <c r="B529" s="696" t="s">
        <v>557</v>
      </c>
      <c r="C529" s="699" t="s">
        <v>574</v>
      </c>
      <c r="D529" s="720" t="s">
        <v>3570</v>
      </c>
      <c r="E529" s="699" t="s">
        <v>3571</v>
      </c>
      <c r="F529" s="720" t="s">
        <v>3572</v>
      </c>
      <c r="G529" s="699" t="s">
        <v>3168</v>
      </c>
      <c r="H529" s="699" t="s">
        <v>3169</v>
      </c>
      <c r="I529" s="711">
        <v>879.41</v>
      </c>
      <c r="J529" s="711">
        <v>2</v>
      </c>
      <c r="K529" s="712">
        <v>1758.82</v>
      </c>
    </row>
    <row r="530" spans="1:11" ht="14.4" customHeight="1" x14ac:dyDescent="0.3">
      <c r="A530" s="695" t="s">
        <v>556</v>
      </c>
      <c r="B530" s="696" t="s">
        <v>557</v>
      </c>
      <c r="C530" s="699" t="s">
        <v>574</v>
      </c>
      <c r="D530" s="720" t="s">
        <v>3570</v>
      </c>
      <c r="E530" s="699" t="s">
        <v>3571</v>
      </c>
      <c r="F530" s="720" t="s">
        <v>3572</v>
      </c>
      <c r="G530" s="699" t="s">
        <v>3170</v>
      </c>
      <c r="H530" s="699" t="s">
        <v>3171</v>
      </c>
      <c r="I530" s="711">
        <v>5192.26</v>
      </c>
      <c r="J530" s="711">
        <v>1</v>
      </c>
      <c r="K530" s="712">
        <v>5192.26</v>
      </c>
    </row>
    <row r="531" spans="1:11" ht="14.4" customHeight="1" x14ac:dyDescent="0.3">
      <c r="A531" s="695" t="s">
        <v>556</v>
      </c>
      <c r="B531" s="696" t="s">
        <v>557</v>
      </c>
      <c r="C531" s="699" t="s">
        <v>574</v>
      </c>
      <c r="D531" s="720" t="s">
        <v>3570</v>
      </c>
      <c r="E531" s="699" t="s">
        <v>3571</v>
      </c>
      <c r="F531" s="720" t="s">
        <v>3572</v>
      </c>
      <c r="G531" s="699" t="s">
        <v>3172</v>
      </c>
      <c r="H531" s="699" t="s">
        <v>3173</v>
      </c>
      <c r="I531" s="711">
        <v>8703.91</v>
      </c>
      <c r="J531" s="711">
        <v>1</v>
      </c>
      <c r="K531" s="712">
        <v>8703.91</v>
      </c>
    </row>
    <row r="532" spans="1:11" ht="14.4" customHeight="1" x14ac:dyDescent="0.3">
      <c r="A532" s="695" t="s">
        <v>556</v>
      </c>
      <c r="B532" s="696" t="s">
        <v>557</v>
      </c>
      <c r="C532" s="699" t="s">
        <v>574</v>
      </c>
      <c r="D532" s="720" t="s">
        <v>3570</v>
      </c>
      <c r="E532" s="699" t="s">
        <v>3571</v>
      </c>
      <c r="F532" s="720" t="s">
        <v>3572</v>
      </c>
      <c r="G532" s="699" t="s">
        <v>3174</v>
      </c>
      <c r="H532" s="699" t="s">
        <v>3175</v>
      </c>
      <c r="I532" s="711">
        <v>1179.9000000000001</v>
      </c>
      <c r="J532" s="711">
        <v>1</v>
      </c>
      <c r="K532" s="712">
        <v>1179.9000000000001</v>
      </c>
    </row>
    <row r="533" spans="1:11" ht="14.4" customHeight="1" x14ac:dyDescent="0.3">
      <c r="A533" s="695" t="s">
        <v>556</v>
      </c>
      <c r="B533" s="696" t="s">
        <v>557</v>
      </c>
      <c r="C533" s="699" t="s">
        <v>574</v>
      </c>
      <c r="D533" s="720" t="s">
        <v>3570</v>
      </c>
      <c r="E533" s="699" t="s">
        <v>3571</v>
      </c>
      <c r="F533" s="720" t="s">
        <v>3572</v>
      </c>
      <c r="G533" s="699" t="s">
        <v>3176</v>
      </c>
      <c r="H533" s="699" t="s">
        <v>3177</v>
      </c>
      <c r="I533" s="711">
        <v>722.76</v>
      </c>
      <c r="J533" s="711">
        <v>1</v>
      </c>
      <c r="K533" s="712">
        <v>722.76</v>
      </c>
    </row>
    <row r="534" spans="1:11" ht="14.4" customHeight="1" x14ac:dyDescent="0.3">
      <c r="A534" s="695" t="s">
        <v>556</v>
      </c>
      <c r="B534" s="696" t="s">
        <v>557</v>
      </c>
      <c r="C534" s="699" t="s">
        <v>574</v>
      </c>
      <c r="D534" s="720" t="s">
        <v>3570</v>
      </c>
      <c r="E534" s="699" t="s">
        <v>3571</v>
      </c>
      <c r="F534" s="720" t="s">
        <v>3572</v>
      </c>
      <c r="G534" s="699" t="s">
        <v>3178</v>
      </c>
      <c r="H534" s="699" t="s">
        <v>3179</v>
      </c>
      <c r="I534" s="711">
        <v>5774.1</v>
      </c>
      <c r="J534" s="711">
        <v>1</v>
      </c>
      <c r="K534" s="712">
        <v>5774.1</v>
      </c>
    </row>
    <row r="535" spans="1:11" ht="14.4" customHeight="1" x14ac:dyDescent="0.3">
      <c r="A535" s="695" t="s">
        <v>556</v>
      </c>
      <c r="B535" s="696" t="s">
        <v>557</v>
      </c>
      <c r="C535" s="699" t="s">
        <v>574</v>
      </c>
      <c r="D535" s="720" t="s">
        <v>3570</v>
      </c>
      <c r="E535" s="699" t="s">
        <v>3571</v>
      </c>
      <c r="F535" s="720" t="s">
        <v>3572</v>
      </c>
      <c r="G535" s="699" t="s">
        <v>3180</v>
      </c>
      <c r="H535" s="699" t="s">
        <v>3181</v>
      </c>
      <c r="I535" s="711">
        <v>8703.9</v>
      </c>
      <c r="J535" s="711">
        <v>1</v>
      </c>
      <c r="K535" s="712">
        <v>8703.9</v>
      </c>
    </row>
    <row r="536" spans="1:11" ht="14.4" customHeight="1" x14ac:dyDescent="0.3">
      <c r="A536" s="695" t="s">
        <v>556</v>
      </c>
      <c r="B536" s="696" t="s">
        <v>557</v>
      </c>
      <c r="C536" s="699" t="s">
        <v>574</v>
      </c>
      <c r="D536" s="720" t="s">
        <v>3570</v>
      </c>
      <c r="E536" s="699" t="s">
        <v>3571</v>
      </c>
      <c r="F536" s="720" t="s">
        <v>3572</v>
      </c>
      <c r="G536" s="699" t="s">
        <v>3182</v>
      </c>
      <c r="H536" s="699" t="s">
        <v>3183</v>
      </c>
      <c r="I536" s="711">
        <v>11132.12</v>
      </c>
      <c r="J536" s="711">
        <v>1</v>
      </c>
      <c r="K536" s="712">
        <v>11132.12</v>
      </c>
    </row>
    <row r="537" spans="1:11" ht="14.4" customHeight="1" x14ac:dyDescent="0.3">
      <c r="A537" s="695" t="s">
        <v>556</v>
      </c>
      <c r="B537" s="696" t="s">
        <v>557</v>
      </c>
      <c r="C537" s="699" t="s">
        <v>574</v>
      </c>
      <c r="D537" s="720" t="s">
        <v>3570</v>
      </c>
      <c r="E537" s="699" t="s">
        <v>3571</v>
      </c>
      <c r="F537" s="720" t="s">
        <v>3572</v>
      </c>
      <c r="G537" s="699" t="s">
        <v>3184</v>
      </c>
      <c r="H537" s="699" t="s">
        <v>3185</v>
      </c>
      <c r="I537" s="711">
        <v>499.33</v>
      </c>
      <c r="J537" s="711">
        <v>1</v>
      </c>
      <c r="K537" s="712">
        <v>499.33</v>
      </c>
    </row>
    <row r="538" spans="1:11" ht="14.4" customHeight="1" x14ac:dyDescent="0.3">
      <c r="A538" s="695" t="s">
        <v>556</v>
      </c>
      <c r="B538" s="696" t="s">
        <v>557</v>
      </c>
      <c r="C538" s="699" t="s">
        <v>574</v>
      </c>
      <c r="D538" s="720" t="s">
        <v>3570</v>
      </c>
      <c r="E538" s="699" t="s">
        <v>3571</v>
      </c>
      <c r="F538" s="720" t="s">
        <v>3572</v>
      </c>
      <c r="G538" s="699" t="s">
        <v>3186</v>
      </c>
      <c r="H538" s="699" t="s">
        <v>3187</v>
      </c>
      <c r="I538" s="711">
        <v>10994</v>
      </c>
      <c r="J538" s="711">
        <v>2</v>
      </c>
      <c r="K538" s="712">
        <v>21988</v>
      </c>
    </row>
    <row r="539" spans="1:11" ht="14.4" customHeight="1" x14ac:dyDescent="0.3">
      <c r="A539" s="695" t="s">
        <v>556</v>
      </c>
      <c r="B539" s="696" t="s">
        <v>557</v>
      </c>
      <c r="C539" s="699" t="s">
        <v>574</v>
      </c>
      <c r="D539" s="720" t="s">
        <v>3570</v>
      </c>
      <c r="E539" s="699" t="s">
        <v>3571</v>
      </c>
      <c r="F539" s="720" t="s">
        <v>3572</v>
      </c>
      <c r="G539" s="699" t="s">
        <v>3188</v>
      </c>
      <c r="H539" s="699" t="s">
        <v>3189</v>
      </c>
      <c r="I539" s="711">
        <v>8470.19</v>
      </c>
      <c r="J539" s="711">
        <v>1</v>
      </c>
      <c r="K539" s="712">
        <v>8470.19</v>
      </c>
    </row>
    <row r="540" spans="1:11" ht="14.4" customHeight="1" x14ac:dyDescent="0.3">
      <c r="A540" s="695" t="s">
        <v>556</v>
      </c>
      <c r="B540" s="696" t="s">
        <v>557</v>
      </c>
      <c r="C540" s="699" t="s">
        <v>574</v>
      </c>
      <c r="D540" s="720" t="s">
        <v>3570</v>
      </c>
      <c r="E540" s="699" t="s">
        <v>3571</v>
      </c>
      <c r="F540" s="720" t="s">
        <v>3572</v>
      </c>
      <c r="G540" s="699" t="s">
        <v>3190</v>
      </c>
      <c r="H540" s="699" t="s">
        <v>3191</v>
      </c>
      <c r="I540" s="711">
        <v>5196.13</v>
      </c>
      <c r="J540" s="711">
        <v>1</v>
      </c>
      <c r="K540" s="712">
        <v>5196.13</v>
      </c>
    </row>
    <row r="541" spans="1:11" ht="14.4" customHeight="1" x14ac:dyDescent="0.3">
      <c r="A541" s="695" t="s">
        <v>556</v>
      </c>
      <c r="B541" s="696" t="s">
        <v>557</v>
      </c>
      <c r="C541" s="699" t="s">
        <v>574</v>
      </c>
      <c r="D541" s="720" t="s">
        <v>3570</v>
      </c>
      <c r="E541" s="699" t="s">
        <v>3571</v>
      </c>
      <c r="F541" s="720" t="s">
        <v>3572</v>
      </c>
      <c r="G541" s="699" t="s">
        <v>3192</v>
      </c>
      <c r="H541" s="699" t="s">
        <v>3193</v>
      </c>
      <c r="I541" s="711">
        <v>680.69</v>
      </c>
      <c r="J541" s="711">
        <v>3</v>
      </c>
      <c r="K541" s="712">
        <v>2042.07</v>
      </c>
    </row>
    <row r="542" spans="1:11" ht="14.4" customHeight="1" x14ac:dyDescent="0.3">
      <c r="A542" s="695" t="s">
        <v>556</v>
      </c>
      <c r="B542" s="696" t="s">
        <v>557</v>
      </c>
      <c r="C542" s="699" t="s">
        <v>574</v>
      </c>
      <c r="D542" s="720" t="s">
        <v>3570</v>
      </c>
      <c r="E542" s="699" t="s">
        <v>3571</v>
      </c>
      <c r="F542" s="720" t="s">
        <v>3572</v>
      </c>
      <c r="G542" s="699" t="s">
        <v>3194</v>
      </c>
      <c r="H542" s="699" t="s">
        <v>3195</v>
      </c>
      <c r="I542" s="711">
        <v>878.72</v>
      </c>
      <c r="J542" s="711">
        <v>5</v>
      </c>
      <c r="K542" s="712">
        <v>4393.6000000000004</v>
      </c>
    </row>
    <row r="543" spans="1:11" ht="14.4" customHeight="1" x14ac:dyDescent="0.3">
      <c r="A543" s="695" t="s">
        <v>556</v>
      </c>
      <c r="B543" s="696" t="s">
        <v>557</v>
      </c>
      <c r="C543" s="699" t="s">
        <v>574</v>
      </c>
      <c r="D543" s="720" t="s">
        <v>3570</v>
      </c>
      <c r="E543" s="699" t="s">
        <v>3571</v>
      </c>
      <c r="F543" s="720" t="s">
        <v>3572</v>
      </c>
      <c r="G543" s="699" t="s">
        <v>3196</v>
      </c>
      <c r="H543" s="699" t="s">
        <v>3197</v>
      </c>
      <c r="I543" s="711">
        <v>12520.1</v>
      </c>
      <c r="J543" s="711">
        <v>1</v>
      </c>
      <c r="K543" s="712">
        <v>12520.1</v>
      </c>
    </row>
    <row r="544" spans="1:11" ht="14.4" customHeight="1" x14ac:dyDescent="0.3">
      <c r="A544" s="695" t="s">
        <v>556</v>
      </c>
      <c r="B544" s="696" t="s">
        <v>557</v>
      </c>
      <c r="C544" s="699" t="s">
        <v>574</v>
      </c>
      <c r="D544" s="720" t="s">
        <v>3570</v>
      </c>
      <c r="E544" s="699" t="s">
        <v>3571</v>
      </c>
      <c r="F544" s="720" t="s">
        <v>3572</v>
      </c>
      <c r="G544" s="699" t="s">
        <v>3198</v>
      </c>
      <c r="H544" s="699" t="s">
        <v>3199</v>
      </c>
      <c r="I544" s="711">
        <v>9139.3799999999992</v>
      </c>
      <c r="J544" s="711">
        <v>1</v>
      </c>
      <c r="K544" s="712">
        <v>9139.3799999999992</v>
      </c>
    </row>
    <row r="545" spans="1:11" ht="14.4" customHeight="1" x14ac:dyDescent="0.3">
      <c r="A545" s="695" t="s">
        <v>556</v>
      </c>
      <c r="B545" s="696" t="s">
        <v>557</v>
      </c>
      <c r="C545" s="699" t="s">
        <v>574</v>
      </c>
      <c r="D545" s="720" t="s">
        <v>3570</v>
      </c>
      <c r="E545" s="699" t="s">
        <v>3571</v>
      </c>
      <c r="F545" s="720" t="s">
        <v>3572</v>
      </c>
      <c r="G545" s="699" t="s">
        <v>3200</v>
      </c>
      <c r="H545" s="699" t="s">
        <v>3201</v>
      </c>
      <c r="I545" s="711">
        <v>2865.96</v>
      </c>
      <c r="J545" s="711">
        <v>1</v>
      </c>
      <c r="K545" s="712">
        <v>2865.96</v>
      </c>
    </row>
    <row r="546" spans="1:11" ht="14.4" customHeight="1" x14ac:dyDescent="0.3">
      <c r="A546" s="695" t="s">
        <v>556</v>
      </c>
      <c r="B546" s="696" t="s">
        <v>557</v>
      </c>
      <c r="C546" s="699" t="s">
        <v>574</v>
      </c>
      <c r="D546" s="720" t="s">
        <v>3570</v>
      </c>
      <c r="E546" s="699" t="s">
        <v>3571</v>
      </c>
      <c r="F546" s="720" t="s">
        <v>3572</v>
      </c>
      <c r="G546" s="699" t="s">
        <v>3202</v>
      </c>
      <c r="H546" s="699" t="s">
        <v>3203</v>
      </c>
      <c r="I546" s="711">
        <v>875.52</v>
      </c>
      <c r="J546" s="711">
        <v>2</v>
      </c>
      <c r="K546" s="712">
        <v>1751.04</v>
      </c>
    </row>
    <row r="547" spans="1:11" ht="14.4" customHeight="1" x14ac:dyDescent="0.3">
      <c r="A547" s="695" t="s">
        <v>556</v>
      </c>
      <c r="B547" s="696" t="s">
        <v>557</v>
      </c>
      <c r="C547" s="699" t="s">
        <v>574</v>
      </c>
      <c r="D547" s="720" t="s">
        <v>3570</v>
      </c>
      <c r="E547" s="699" t="s">
        <v>3571</v>
      </c>
      <c r="F547" s="720" t="s">
        <v>3572</v>
      </c>
      <c r="G547" s="699" t="s">
        <v>3204</v>
      </c>
      <c r="H547" s="699" t="s">
        <v>3205</v>
      </c>
      <c r="I547" s="711">
        <v>1443.53</v>
      </c>
      <c r="J547" s="711">
        <v>2</v>
      </c>
      <c r="K547" s="712">
        <v>2887.06</v>
      </c>
    </row>
    <row r="548" spans="1:11" ht="14.4" customHeight="1" x14ac:dyDescent="0.3">
      <c r="A548" s="695" t="s">
        <v>556</v>
      </c>
      <c r="B548" s="696" t="s">
        <v>557</v>
      </c>
      <c r="C548" s="699" t="s">
        <v>574</v>
      </c>
      <c r="D548" s="720" t="s">
        <v>3570</v>
      </c>
      <c r="E548" s="699" t="s">
        <v>3571</v>
      </c>
      <c r="F548" s="720" t="s">
        <v>3572</v>
      </c>
      <c r="G548" s="699" t="s">
        <v>3206</v>
      </c>
      <c r="H548" s="699" t="s">
        <v>3207</v>
      </c>
      <c r="I548" s="711">
        <v>901.74333333333334</v>
      </c>
      <c r="J548" s="711">
        <v>3</v>
      </c>
      <c r="K548" s="712">
        <v>2705.23</v>
      </c>
    </row>
    <row r="549" spans="1:11" ht="14.4" customHeight="1" x14ac:dyDescent="0.3">
      <c r="A549" s="695" t="s">
        <v>556</v>
      </c>
      <c r="B549" s="696" t="s">
        <v>557</v>
      </c>
      <c r="C549" s="699" t="s">
        <v>574</v>
      </c>
      <c r="D549" s="720" t="s">
        <v>3570</v>
      </c>
      <c r="E549" s="699" t="s">
        <v>3571</v>
      </c>
      <c r="F549" s="720" t="s">
        <v>3572</v>
      </c>
      <c r="G549" s="699" t="s">
        <v>3208</v>
      </c>
      <c r="H549" s="699" t="s">
        <v>3209</v>
      </c>
      <c r="I549" s="711">
        <v>878.72</v>
      </c>
      <c r="J549" s="711">
        <v>5</v>
      </c>
      <c r="K549" s="712">
        <v>4393.59</v>
      </c>
    </row>
    <row r="550" spans="1:11" ht="14.4" customHeight="1" x14ac:dyDescent="0.3">
      <c r="A550" s="695" t="s">
        <v>556</v>
      </c>
      <c r="B550" s="696" t="s">
        <v>557</v>
      </c>
      <c r="C550" s="699" t="s">
        <v>574</v>
      </c>
      <c r="D550" s="720" t="s">
        <v>3570</v>
      </c>
      <c r="E550" s="699" t="s">
        <v>3571</v>
      </c>
      <c r="F550" s="720" t="s">
        <v>3572</v>
      </c>
      <c r="G550" s="699" t="s">
        <v>3210</v>
      </c>
      <c r="H550" s="699" t="s">
        <v>3211</v>
      </c>
      <c r="I550" s="711">
        <v>391</v>
      </c>
      <c r="J550" s="711">
        <v>1</v>
      </c>
      <c r="K550" s="712">
        <v>391</v>
      </c>
    </row>
    <row r="551" spans="1:11" ht="14.4" customHeight="1" x14ac:dyDescent="0.3">
      <c r="A551" s="695" t="s">
        <v>556</v>
      </c>
      <c r="B551" s="696" t="s">
        <v>557</v>
      </c>
      <c r="C551" s="699" t="s">
        <v>574</v>
      </c>
      <c r="D551" s="720" t="s">
        <v>3570</v>
      </c>
      <c r="E551" s="699" t="s">
        <v>3571</v>
      </c>
      <c r="F551" s="720" t="s">
        <v>3572</v>
      </c>
      <c r="G551" s="699" t="s">
        <v>3212</v>
      </c>
      <c r="H551" s="699" t="s">
        <v>3213</v>
      </c>
      <c r="I551" s="711">
        <v>875.5</v>
      </c>
      <c r="J551" s="711">
        <v>1</v>
      </c>
      <c r="K551" s="712">
        <v>875.5</v>
      </c>
    </row>
    <row r="552" spans="1:11" ht="14.4" customHeight="1" x14ac:dyDescent="0.3">
      <c r="A552" s="695" t="s">
        <v>556</v>
      </c>
      <c r="B552" s="696" t="s">
        <v>557</v>
      </c>
      <c r="C552" s="699" t="s">
        <v>574</v>
      </c>
      <c r="D552" s="720" t="s">
        <v>3570</v>
      </c>
      <c r="E552" s="699" t="s">
        <v>3571</v>
      </c>
      <c r="F552" s="720" t="s">
        <v>3572</v>
      </c>
      <c r="G552" s="699" t="s">
        <v>3214</v>
      </c>
      <c r="H552" s="699" t="s">
        <v>3215</v>
      </c>
      <c r="I552" s="711">
        <v>344.28</v>
      </c>
      <c r="J552" s="711">
        <v>1</v>
      </c>
      <c r="K552" s="712">
        <v>344.28</v>
      </c>
    </row>
    <row r="553" spans="1:11" ht="14.4" customHeight="1" x14ac:dyDescent="0.3">
      <c r="A553" s="695" t="s">
        <v>556</v>
      </c>
      <c r="B553" s="696" t="s">
        <v>557</v>
      </c>
      <c r="C553" s="699" t="s">
        <v>574</v>
      </c>
      <c r="D553" s="720" t="s">
        <v>3570</v>
      </c>
      <c r="E553" s="699" t="s">
        <v>3571</v>
      </c>
      <c r="F553" s="720" t="s">
        <v>3572</v>
      </c>
      <c r="G553" s="699" t="s">
        <v>3216</v>
      </c>
      <c r="H553" s="699" t="s">
        <v>3217</v>
      </c>
      <c r="I553" s="711">
        <v>8717</v>
      </c>
      <c r="J553" s="711">
        <v>1</v>
      </c>
      <c r="K553" s="712">
        <v>8717</v>
      </c>
    </row>
    <row r="554" spans="1:11" ht="14.4" customHeight="1" x14ac:dyDescent="0.3">
      <c r="A554" s="695" t="s">
        <v>556</v>
      </c>
      <c r="B554" s="696" t="s">
        <v>557</v>
      </c>
      <c r="C554" s="699" t="s">
        <v>574</v>
      </c>
      <c r="D554" s="720" t="s">
        <v>3570</v>
      </c>
      <c r="E554" s="699" t="s">
        <v>3571</v>
      </c>
      <c r="F554" s="720" t="s">
        <v>3572</v>
      </c>
      <c r="G554" s="699" t="s">
        <v>3218</v>
      </c>
      <c r="H554" s="699" t="s">
        <v>3219</v>
      </c>
      <c r="I554" s="711">
        <v>9656.2099999999991</v>
      </c>
      <c r="J554" s="711">
        <v>1</v>
      </c>
      <c r="K554" s="712">
        <v>9656.2099999999991</v>
      </c>
    </row>
    <row r="555" spans="1:11" ht="14.4" customHeight="1" x14ac:dyDescent="0.3">
      <c r="A555" s="695" t="s">
        <v>556</v>
      </c>
      <c r="B555" s="696" t="s">
        <v>557</v>
      </c>
      <c r="C555" s="699" t="s">
        <v>574</v>
      </c>
      <c r="D555" s="720" t="s">
        <v>3570</v>
      </c>
      <c r="E555" s="699" t="s">
        <v>3571</v>
      </c>
      <c r="F555" s="720" t="s">
        <v>3572</v>
      </c>
      <c r="G555" s="699" t="s">
        <v>3220</v>
      </c>
      <c r="H555" s="699" t="s">
        <v>3221</v>
      </c>
      <c r="I555" s="711">
        <v>712.51</v>
      </c>
      <c r="J555" s="711">
        <v>6</v>
      </c>
      <c r="K555" s="712">
        <v>4275.0600000000004</v>
      </c>
    </row>
    <row r="556" spans="1:11" ht="14.4" customHeight="1" x14ac:dyDescent="0.3">
      <c r="A556" s="695" t="s">
        <v>556</v>
      </c>
      <c r="B556" s="696" t="s">
        <v>557</v>
      </c>
      <c r="C556" s="699" t="s">
        <v>574</v>
      </c>
      <c r="D556" s="720" t="s">
        <v>3570</v>
      </c>
      <c r="E556" s="699" t="s">
        <v>3571</v>
      </c>
      <c r="F556" s="720" t="s">
        <v>3572</v>
      </c>
      <c r="G556" s="699" t="s">
        <v>3222</v>
      </c>
      <c r="H556" s="699" t="s">
        <v>3223</v>
      </c>
      <c r="I556" s="711">
        <v>4208.2</v>
      </c>
      <c r="J556" s="711">
        <v>1</v>
      </c>
      <c r="K556" s="712">
        <v>4208.2</v>
      </c>
    </row>
    <row r="557" spans="1:11" ht="14.4" customHeight="1" x14ac:dyDescent="0.3">
      <c r="A557" s="695" t="s">
        <v>556</v>
      </c>
      <c r="B557" s="696" t="s">
        <v>557</v>
      </c>
      <c r="C557" s="699" t="s">
        <v>574</v>
      </c>
      <c r="D557" s="720" t="s">
        <v>3570</v>
      </c>
      <c r="E557" s="699" t="s">
        <v>3571</v>
      </c>
      <c r="F557" s="720" t="s">
        <v>3572</v>
      </c>
      <c r="G557" s="699" t="s">
        <v>3224</v>
      </c>
      <c r="H557" s="699" t="s">
        <v>3225</v>
      </c>
      <c r="I557" s="711">
        <v>10549.53</v>
      </c>
      <c r="J557" s="711">
        <v>1</v>
      </c>
      <c r="K557" s="712">
        <v>10549.53</v>
      </c>
    </row>
    <row r="558" spans="1:11" ht="14.4" customHeight="1" x14ac:dyDescent="0.3">
      <c r="A558" s="695" t="s">
        <v>556</v>
      </c>
      <c r="B558" s="696" t="s">
        <v>557</v>
      </c>
      <c r="C558" s="699" t="s">
        <v>574</v>
      </c>
      <c r="D558" s="720" t="s">
        <v>3570</v>
      </c>
      <c r="E558" s="699" t="s">
        <v>3571</v>
      </c>
      <c r="F558" s="720" t="s">
        <v>3572</v>
      </c>
      <c r="G558" s="699" t="s">
        <v>3226</v>
      </c>
      <c r="H558" s="699" t="s">
        <v>3227</v>
      </c>
      <c r="I558" s="711">
        <v>901.74</v>
      </c>
      <c r="J558" s="711">
        <v>1</v>
      </c>
      <c r="K558" s="712">
        <v>901.74</v>
      </c>
    </row>
    <row r="559" spans="1:11" ht="14.4" customHeight="1" x14ac:dyDescent="0.3">
      <c r="A559" s="695" t="s">
        <v>556</v>
      </c>
      <c r="B559" s="696" t="s">
        <v>557</v>
      </c>
      <c r="C559" s="699" t="s">
        <v>574</v>
      </c>
      <c r="D559" s="720" t="s">
        <v>3570</v>
      </c>
      <c r="E559" s="699" t="s">
        <v>3571</v>
      </c>
      <c r="F559" s="720" t="s">
        <v>3572</v>
      </c>
      <c r="G559" s="699" t="s">
        <v>3228</v>
      </c>
      <c r="H559" s="699" t="s">
        <v>3229</v>
      </c>
      <c r="I559" s="711">
        <v>344.28</v>
      </c>
      <c r="J559" s="711">
        <v>1</v>
      </c>
      <c r="K559" s="712">
        <v>344.28</v>
      </c>
    </row>
    <row r="560" spans="1:11" ht="14.4" customHeight="1" x14ac:dyDescent="0.3">
      <c r="A560" s="695" t="s">
        <v>556</v>
      </c>
      <c r="B560" s="696" t="s">
        <v>557</v>
      </c>
      <c r="C560" s="699" t="s">
        <v>574</v>
      </c>
      <c r="D560" s="720" t="s">
        <v>3570</v>
      </c>
      <c r="E560" s="699" t="s">
        <v>3571</v>
      </c>
      <c r="F560" s="720" t="s">
        <v>3572</v>
      </c>
      <c r="G560" s="699" t="s">
        <v>3230</v>
      </c>
      <c r="H560" s="699" t="s">
        <v>3231</v>
      </c>
      <c r="I560" s="711">
        <v>1419.3</v>
      </c>
      <c r="J560" s="711">
        <v>1</v>
      </c>
      <c r="K560" s="712">
        <v>1419.3</v>
      </c>
    </row>
    <row r="561" spans="1:11" ht="14.4" customHeight="1" x14ac:dyDescent="0.3">
      <c r="A561" s="695" t="s">
        <v>556</v>
      </c>
      <c r="B561" s="696" t="s">
        <v>557</v>
      </c>
      <c r="C561" s="699" t="s">
        <v>574</v>
      </c>
      <c r="D561" s="720" t="s">
        <v>3570</v>
      </c>
      <c r="E561" s="699" t="s">
        <v>3571</v>
      </c>
      <c r="F561" s="720" t="s">
        <v>3572</v>
      </c>
      <c r="G561" s="699" t="s">
        <v>3232</v>
      </c>
      <c r="H561" s="699" t="s">
        <v>3233</v>
      </c>
      <c r="I561" s="711">
        <v>1033.8499999999999</v>
      </c>
      <c r="J561" s="711">
        <v>2</v>
      </c>
      <c r="K561" s="712">
        <v>2067.6999999999998</v>
      </c>
    </row>
    <row r="562" spans="1:11" ht="14.4" customHeight="1" x14ac:dyDescent="0.3">
      <c r="A562" s="695" t="s">
        <v>556</v>
      </c>
      <c r="B562" s="696" t="s">
        <v>557</v>
      </c>
      <c r="C562" s="699" t="s">
        <v>574</v>
      </c>
      <c r="D562" s="720" t="s">
        <v>3570</v>
      </c>
      <c r="E562" s="699" t="s">
        <v>3571</v>
      </c>
      <c r="F562" s="720" t="s">
        <v>3572</v>
      </c>
      <c r="G562" s="699" t="s">
        <v>3234</v>
      </c>
      <c r="H562" s="699" t="s">
        <v>3235</v>
      </c>
      <c r="I562" s="711">
        <v>9735.6</v>
      </c>
      <c r="J562" s="711">
        <v>1</v>
      </c>
      <c r="K562" s="712">
        <v>9735.6</v>
      </c>
    </row>
    <row r="563" spans="1:11" ht="14.4" customHeight="1" x14ac:dyDescent="0.3">
      <c r="A563" s="695" t="s">
        <v>556</v>
      </c>
      <c r="B563" s="696" t="s">
        <v>557</v>
      </c>
      <c r="C563" s="699" t="s">
        <v>574</v>
      </c>
      <c r="D563" s="720" t="s">
        <v>3570</v>
      </c>
      <c r="E563" s="699" t="s">
        <v>3571</v>
      </c>
      <c r="F563" s="720" t="s">
        <v>3572</v>
      </c>
      <c r="G563" s="699" t="s">
        <v>3236</v>
      </c>
      <c r="H563" s="699" t="s">
        <v>3237</v>
      </c>
      <c r="I563" s="711">
        <v>1419.3</v>
      </c>
      <c r="J563" s="711">
        <v>2</v>
      </c>
      <c r="K563" s="712">
        <v>2838.59</v>
      </c>
    </row>
    <row r="564" spans="1:11" ht="14.4" customHeight="1" x14ac:dyDescent="0.3">
      <c r="A564" s="695" t="s">
        <v>556</v>
      </c>
      <c r="B564" s="696" t="s">
        <v>557</v>
      </c>
      <c r="C564" s="699" t="s">
        <v>574</v>
      </c>
      <c r="D564" s="720" t="s">
        <v>3570</v>
      </c>
      <c r="E564" s="699" t="s">
        <v>3571</v>
      </c>
      <c r="F564" s="720" t="s">
        <v>3572</v>
      </c>
      <c r="G564" s="699" t="s">
        <v>3238</v>
      </c>
      <c r="H564" s="699" t="s">
        <v>3239</v>
      </c>
      <c r="I564" s="711">
        <v>9504.18</v>
      </c>
      <c r="J564" s="711">
        <v>1</v>
      </c>
      <c r="K564" s="712">
        <v>9504.18</v>
      </c>
    </row>
    <row r="565" spans="1:11" ht="14.4" customHeight="1" x14ac:dyDescent="0.3">
      <c r="A565" s="695" t="s">
        <v>556</v>
      </c>
      <c r="B565" s="696" t="s">
        <v>557</v>
      </c>
      <c r="C565" s="699" t="s">
        <v>574</v>
      </c>
      <c r="D565" s="720" t="s">
        <v>3570</v>
      </c>
      <c r="E565" s="699" t="s">
        <v>3571</v>
      </c>
      <c r="F565" s="720" t="s">
        <v>3572</v>
      </c>
      <c r="G565" s="699" t="s">
        <v>3240</v>
      </c>
      <c r="H565" s="699" t="s">
        <v>3241</v>
      </c>
      <c r="I565" s="711">
        <v>584.82000000000005</v>
      </c>
      <c r="J565" s="711">
        <v>1</v>
      </c>
      <c r="K565" s="712">
        <v>584.82000000000005</v>
      </c>
    </row>
    <row r="566" spans="1:11" ht="14.4" customHeight="1" x14ac:dyDescent="0.3">
      <c r="A566" s="695" t="s">
        <v>556</v>
      </c>
      <c r="B566" s="696" t="s">
        <v>557</v>
      </c>
      <c r="C566" s="699" t="s">
        <v>574</v>
      </c>
      <c r="D566" s="720" t="s">
        <v>3570</v>
      </c>
      <c r="E566" s="699" t="s">
        <v>3571</v>
      </c>
      <c r="F566" s="720" t="s">
        <v>3572</v>
      </c>
      <c r="G566" s="699" t="s">
        <v>3242</v>
      </c>
      <c r="H566" s="699" t="s">
        <v>3243</v>
      </c>
      <c r="I566" s="711">
        <v>1098.9633333333334</v>
      </c>
      <c r="J566" s="711">
        <v>11</v>
      </c>
      <c r="K566" s="712">
        <v>12088.599999999999</v>
      </c>
    </row>
    <row r="567" spans="1:11" ht="14.4" customHeight="1" x14ac:dyDescent="0.3">
      <c r="A567" s="695" t="s">
        <v>556</v>
      </c>
      <c r="B567" s="696" t="s">
        <v>557</v>
      </c>
      <c r="C567" s="699" t="s">
        <v>574</v>
      </c>
      <c r="D567" s="720" t="s">
        <v>3570</v>
      </c>
      <c r="E567" s="699" t="s">
        <v>3571</v>
      </c>
      <c r="F567" s="720" t="s">
        <v>3572</v>
      </c>
      <c r="G567" s="699" t="s">
        <v>3244</v>
      </c>
      <c r="H567" s="699" t="s">
        <v>3245</v>
      </c>
      <c r="I567" s="711">
        <v>2073.66</v>
      </c>
      <c r="J567" s="711">
        <v>1</v>
      </c>
      <c r="K567" s="712">
        <v>2073.66</v>
      </c>
    </row>
    <row r="568" spans="1:11" ht="14.4" customHeight="1" x14ac:dyDescent="0.3">
      <c r="A568" s="695" t="s">
        <v>556</v>
      </c>
      <c r="B568" s="696" t="s">
        <v>557</v>
      </c>
      <c r="C568" s="699" t="s">
        <v>574</v>
      </c>
      <c r="D568" s="720" t="s">
        <v>3570</v>
      </c>
      <c r="E568" s="699" t="s">
        <v>3571</v>
      </c>
      <c r="F568" s="720" t="s">
        <v>3572</v>
      </c>
      <c r="G568" s="699" t="s">
        <v>3246</v>
      </c>
      <c r="H568" s="699" t="s">
        <v>3247</v>
      </c>
      <c r="I568" s="711">
        <v>1274.5550000000001</v>
      </c>
      <c r="J568" s="711">
        <v>6</v>
      </c>
      <c r="K568" s="712">
        <v>7647.4000000000005</v>
      </c>
    </row>
    <row r="569" spans="1:11" ht="14.4" customHeight="1" x14ac:dyDescent="0.3">
      <c r="A569" s="695" t="s">
        <v>556</v>
      </c>
      <c r="B569" s="696" t="s">
        <v>557</v>
      </c>
      <c r="C569" s="699" t="s">
        <v>574</v>
      </c>
      <c r="D569" s="720" t="s">
        <v>3570</v>
      </c>
      <c r="E569" s="699" t="s">
        <v>3571</v>
      </c>
      <c r="F569" s="720" t="s">
        <v>3572</v>
      </c>
      <c r="G569" s="699" t="s">
        <v>3248</v>
      </c>
      <c r="H569" s="699" t="s">
        <v>3249</v>
      </c>
      <c r="I569" s="711">
        <v>1105.8049999999998</v>
      </c>
      <c r="J569" s="711">
        <v>2</v>
      </c>
      <c r="K569" s="712">
        <v>2211.6099999999997</v>
      </c>
    </row>
    <row r="570" spans="1:11" ht="14.4" customHeight="1" x14ac:dyDescent="0.3">
      <c r="A570" s="695" t="s">
        <v>556</v>
      </c>
      <c r="B570" s="696" t="s">
        <v>557</v>
      </c>
      <c r="C570" s="699" t="s">
        <v>574</v>
      </c>
      <c r="D570" s="720" t="s">
        <v>3570</v>
      </c>
      <c r="E570" s="699" t="s">
        <v>3571</v>
      </c>
      <c r="F570" s="720" t="s">
        <v>3572</v>
      </c>
      <c r="G570" s="699" t="s">
        <v>3250</v>
      </c>
      <c r="H570" s="699" t="s">
        <v>3251</v>
      </c>
      <c r="I570" s="711">
        <v>1375.4</v>
      </c>
      <c r="J570" s="711">
        <v>1</v>
      </c>
      <c r="K570" s="712">
        <v>1375.4</v>
      </c>
    </row>
    <row r="571" spans="1:11" ht="14.4" customHeight="1" x14ac:dyDescent="0.3">
      <c r="A571" s="695" t="s">
        <v>556</v>
      </c>
      <c r="B571" s="696" t="s">
        <v>557</v>
      </c>
      <c r="C571" s="699" t="s">
        <v>574</v>
      </c>
      <c r="D571" s="720" t="s">
        <v>3570</v>
      </c>
      <c r="E571" s="699" t="s">
        <v>3571</v>
      </c>
      <c r="F571" s="720" t="s">
        <v>3572</v>
      </c>
      <c r="G571" s="699" t="s">
        <v>3252</v>
      </c>
      <c r="H571" s="699" t="s">
        <v>3253</v>
      </c>
      <c r="I571" s="711">
        <v>1135.44</v>
      </c>
      <c r="J571" s="711">
        <v>7</v>
      </c>
      <c r="K571" s="712">
        <v>7948.0800000000017</v>
      </c>
    </row>
    <row r="572" spans="1:11" ht="14.4" customHeight="1" x14ac:dyDescent="0.3">
      <c r="A572" s="695" t="s">
        <v>556</v>
      </c>
      <c r="B572" s="696" t="s">
        <v>557</v>
      </c>
      <c r="C572" s="699" t="s">
        <v>574</v>
      </c>
      <c r="D572" s="720" t="s">
        <v>3570</v>
      </c>
      <c r="E572" s="699" t="s">
        <v>3571</v>
      </c>
      <c r="F572" s="720" t="s">
        <v>3572</v>
      </c>
      <c r="G572" s="699" t="s">
        <v>3254</v>
      </c>
      <c r="H572" s="699" t="s">
        <v>3255</v>
      </c>
      <c r="I572" s="711">
        <v>1764.1</v>
      </c>
      <c r="J572" s="711">
        <v>6</v>
      </c>
      <c r="K572" s="712">
        <v>10584.599999999999</v>
      </c>
    </row>
    <row r="573" spans="1:11" ht="14.4" customHeight="1" x14ac:dyDescent="0.3">
      <c r="A573" s="695" t="s">
        <v>556</v>
      </c>
      <c r="B573" s="696" t="s">
        <v>557</v>
      </c>
      <c r="C573" s="699" t="s">
        <v>574</v>
      </c>
      <c r="D573" s="720" t="s">
        <v>3570</v>
      </c>
      <c r="E573" s="699" t="s">
        <v>3571</v>
      </c>
      <c r="F573" s="720" t="s">
        <v>3572</v>
      </c>
      <c r="G573" s="699" t="s">
        <v>3256</v>
      </c>
      <c r="H573" s="699" t="s">
        <v>3257</v>
      </c>
      <c r="I573" s="711">
        <v>229.11250000000001</v>
      </c>
      <c r="J573" s="711">
        <v>5</v>
      </c>
      <c r="K573" s="712">
        <v>1145.56</v>
      </c>
    </row>
    <row r="574" spans="1:11" ht="14.4" customHeight="1" x14ac:dyDescent="0.3">
      <c r="A574" s="695" t="s">
        <v>556</v>
      </c>
      <c r="B574" s="696" t="s">
        <v>557</v>
      </c>
      <c r="C574" s="699" t="s">
        <v>574</v>
      </c>
      <c r="D574" s="720" t="s">
        <v>3570</v>
      </c>
      <c r="E574" s="699" t="s">
        <v>3571</v>
      </c>
      <c r="F574" s="720" t="s">
        <v>3572</v>
      </c>
      <c r="G574" s="699" t="s">
        <v>3258</v>
      </c>
      <c r="H574" s="699" t="s">
        <v>3259</v>
      </c>
      <c r="I574" s="711">
        <v>10994</v>
      </c>
      <c r="J574" s="711">
        <v>1</v>
      </c>
      <c r="K574" s="712">
        <v>10994</v>
      </c>
    </row>
    <row r="575" spans="1:11" ht="14.4" customHeight="1" x14ac:dyDescent="0.3">
      <c r="A575" s="695" t="s">
        <v>556</v>
      </c>
      <c r="B575" s="696" t="s">
        <v>557</v>
      </c>
      <c r="C575" s="699" t="s">
        <v>574</v>
      </c>
      <c r="D575" s="720" t="s">
        <v>3570</v>
      </c>
      <c r="E575" s="699" t="s">
        <v>3571</v>
      </c>
      <c r="F575" s="720" t="s">
        <v>3572</v>
      </c>
      <c r="G575" s="699" t="s">
        <v>3260</v>
      </c>
      <c r="H575" s="699" t="s">
        <v>3261</v>
      </c>
      <c r="I575" s="711">
        <v>528</v>
      </c>
      <c r="J575" s="711">
        <v>1</v>
      </c>
      <c r="K575" s="712">
        <v>528</v>
      </c>
    </row>
    <row r="576" spans="1:11" ht="14.4" customHeight="1" x14ac:dyDescent="0.3">
      <c r="A576" s="695" t="s">
        <v>556</v>
      </c>
      <c r="B576" s="696" t="s">
        <v>557</v>
      </c>
      <c r="C576" s="699" t="s">
        <v>574</v>
      </c>
      <c r="D576" s="720" t="s">
        <v>3570</v>
      </c>
      <c r="E576" s="699" t="s">
        <v>3571</v>
      </c>
      <c r="F576" s="720" t="s">
        <v>3572</v>
      </c>
      <c r="G576" s="699" t="s">
        <v>3262</v>
      </c>
      <c r="H576" s="699" t="s">
        <v>3263</v>
      </c>
      <c r="I576" s="711">
        <v>1839.1</v>
      </c>
      <c r="J576" s="711">
        <v>1</v>
      </c>
      <c r="K576" s="712">
        <v>1839.1</v>
      </c>
    </row>
    <row r="577" spans="1:11" ht="14.4" customHeight="1" x14ac:dyDescent="0.3">
      <c r="A577" s="695" t="s">
        <v>556</v>
      </c>
      <c r="B577" s="696" t="s">
        <v>557</v>
      </c>
      <c r="C577" s="699" t="s">
        <v>574</v>
      </c>
      <c r="D577" s="720" t="s">
        <v>3570</v>
      </c>
      <c r="E577" s="699" t="s">
        <v>3571</v>
      </c>
      <c r="F577" s="720" t="s">
        <v>3572</v>
      </c>
      <c r="G577" s="699" t="s">
        <v>3264</v>
      </c>
      <c r="H577" s="699" t="s">
        <v>3265</v>
      </c>
      <c r="I577" s="711">
        <v>4208.2</v>
      </c>
      <c r="J577" s="711">
        <v>1</v>
      </c>
      <c r="K577" s="712">
        <v>4208.2</v>
      </c>
    </row>
    <row r="578" spans="1:11" ht="14.4" customHeight="1" x14ac:dyDescent="0.3">
      <c r="A578" s="695" t="s">
        <v>556</v>
      </c>
      <c r="B578" s="696" t="s">
        <v>557</v>
      </c>
      <c r="C578" s="699" t="s">
        <v>574</v>
      </c>
      <c r="D578" s="720" t="s">
        <v>3570</v>
      </c>
      <c r="E578" s="699" t="s">
        <v>3571</v>
      </c>
      <c r="F578" s="720" t="s">
        <v>3572</v>
      </c>
      <c r="G578" s="699" t="s">
        <v>3266</v>
      </c>
      <c r="H578" s="699" t="s">
        <v>3267</v>
      </c>
      <c r="I578" s="711">
        <v>943</v>
      </c>
      <c r="J578" s="711">
        <v>2</v>
      </c>
      <c r="K578" s="712">
        <v>1886</v>
      </c>
    </row>
    <row r="579" spans="1:11" ht="14.4" customHeight="1" x14ac:dyDescent="0.3">
      <c r="A579" s="695" t="s">
        <v>556</v>
      </c>
      <c r="B579" s="696" t="s">
        <v>557</v>
      </c>
      <c r="C579" s="699" t="s">
        <v>574</v>
      </c>
      <c r="D579" s="720" t="s">
        <v>3570</v>
      </c>
      <c r="E579" s="699" t="s">
        <v>3571</v>
      </c>
      <c r="F579" s="720" t="s">
        <v>3572</v>
      </c>
      <c r="G579" s="699" t="s">
        <v>3268</v>
      </c>
      <c r="H579" s="699" t="s">
        <v>3269</v>
      </c>
      <c r="I579" s="711">
        <v>943</v>
      </c>
      <c r="J579" s="711">
        <v>6</v>
      </c>
      <c r="K579" s="712">
        <v>5658</v>
      </c>
    </row>
    <row r="580" spans="1:11" ht="14.4" customHeight="1" x14ac:dyDescent="0.3">
      <c r="A580" s="695" t="s">
        <v>556</v>
      </c>
      <c r="B580" s="696" t="s">
        <v>557</v>
      </c>
      <c r="C580" s="699" t="s">
        <v>574</v>
      </c>
      <c r="D580" s="720" t="s">
        <v>3570</v>
      </c>
      <c r="E580" s="699" t="s">
        <v>3571</v>
      </c>
      <c r="F580" s="720" t="s">
        <v>3572</v>
      </c>
      <c r="G580" s="699" t="s">
        <v>3270</v>
      </c>
      <c r="H580" s="699" t="s">
        <v>3271</v>
      </c>
      <c r="I580" s="711">
        <v>8221.6850000000013</v>
      </c>
      <c r="J580" s="711">
        <v>2</v>
      </c>
      <c r="K580" s="712">
        <v>16443.370000000003</v>
      </c>
    </row>
    <row r="581" spans="1:11" ht="14.4" customHeight="1" x14ac:dyDescent="0.3">
      <c r="A581" s="695" t="s">
        <v>556</v>
      </c>
      <c r="B581" s="696" t="s">
        <v>557</v>
      </c>
      <c r="C581" s="699" t="s">
        <v>574</v>
      </c>
      <c r="D581" s="720" t="s">
        <v>3570</v>
      </c>
      <c r="E581" s="699" t="s">
        <v>3571</v>
      </c>
      <c r="F581" s="720" t="s">
        <v>3572</v>
      </c>
      <c r="G581" s="699" t="s">
        <v>3272</v>
      </c>
      <c r="H581" s="699" t="s">
        <v>3273</v>
      </c>
      <c r="I581" s="711">
        <v>9154</v>
      </c>
      <c r="J581" s="711">
        <v>1</v>
      </c>
      <c r="K581" s="712">
        <v>9154</v>
      </c>
    </row>
    <row r="582" spans="1:11" ht="14.4" customHeight="1" x14ac:dyDescent="0.3">
      <c r="A582" s="695" t="s">
        <v>556</v>
      </c>
      <c r="B582" s="696" t="s">
        <v>557</v>
      </c>
      <c r="C582" s="699" t="s">
        <v>574</v>
      </c>
      <c r="D582" s="720" t="s">
        <v>3570</v>
      </c>
      <c r="E582" s="699" t="s">
        <v>3571</v>
      </c>
      <c r="F582" s="720" t="s">
        <v>3572</v>
      </c>
      <c r="G582" s="699" t="s">
        <v>3274</v>
      </c>
      <c r="H582" s="699" t="s">
        <v>3275</v>
      </c>
      <c r="I582" s="711">
        <v>1375.4</v>
      </c>
      <c r="J582" s="711">
        <v>1</v>
      </c>
      <c r="K582" s="712">
        <v>1375.4</v>
      </c>
    </row>
    <row r="583" spans="1:11" ht="14.4" customHeight="1" x14ac:dyDescent="0.3">
      <c r="A583" s="695" t="s">
        <v>556</v>
      </c>
      <c r="B583" s="696" t="s">
        <v>557</v>
      </c>
      <c r="C583" s="699" t="s">
        <v>574</v>
      </c>
      <c r="D583" s="720" t="s">
        <v>3570</v>
      </c>
      <c r="E583" s="699" t="s">
        <v>3571</v>
      </c>
      <c r="F583" s="720" t="s">
        <v>3572</v>
      </c>
      <c r="G583" s="699" t="s">
        <v>3276</v>
      </c>
      <c r="H583" s="699" t="s">
        <v>3277</v>
      </c>
      <c r="I583" s="711">
        <v>990.15</v>
      </c>
      <c r="J583" s="711">
        <v>2</v>
      </c>
      <c r="K583" s="712">
        <v>1980.3</v>
      </c>
    </row>
    <row r="584" spans="1:11" ht="14.4" customHeight="1" x14ac:dyDescent="0.3">
      <c r="A584" s="695" t="s">
        <v>556</v>
      </c>
      <c r="B584" s="696" t="s">
        <v>557</v>
      </c>
      <c r="C584" s="699" t="s">
        <v>574</v>
      </c>
      <c r="D584" s="720" t="s">
        <v>3570</v>
      </c>
      <c r="E584" s="699" t="s">
        <v>3571</v>
      </c>
      <c r="F584" s="720" t="s">
        <v>3572</v>
      </c>
      <c r="G584" s="699" t="s">
        <v>3278</v>
      </c>
      <c r="H584" s="699" t="s">
        <v>3279</v>
      </c>
      <c r="I584" s="711">
        <v>527.9</v>
      </c>
      <c r="J584" s="711">
        <v>3</v>
      </c>
      <c r="K584" s="712">
        <v>1583.6999999999998</v>
      </c>
    </row>
    <row r="585" spans="1:11" ht="14.4" customHeight="1" x14ac:dyDescent="0.3">
      <c r="A585" s="695" t="s">
        <v>556</v>
      </c>
      <c r="B585" s="696" t="s">
        <v>557</v>
      </c>
      <c r="C585" s="699" t="s">
        <v>574</v>
      </c>
      <c r="D585" s="720" t="s">
        <v>3570</v>
      </c>
      <c r="E585" s="699" t="s">
        <v>3571</v>
      </c>
      <c r="F585" s="720" t="s">
        <v>3572</v>
      </c>
      <c r="G585" s="699" t="s">
        <v>3280</v>
      </c>
      <c r="H585" s="699" t="s">
        <v>3281</v>
      </c>
      <c r="I585" s="711">
        <v>527.85</v>
      </c>
      <c r="J585" s="711">
        <v>2</v>
      </c>
      <c r="K585" s="712">
        <v>1055.7</v>
      </c>
    </row>
    <row r="586" spans="1:11" ht="14.4" customHeight="1" x14ac:dyDescent="0.3">
      <c r="A586" s="695" t="s">
        <v>556</v>
      </c>
      <c r="B586" s="696" t="s">
        <v>557</v>
      </c>
      <c r="C586" s="699" t="s">
        <v>574</v>
      </c>
      <c r="D586" s="720" t="s">
        <v>3570</v>
      </c>
      <c r="E586" s="699" t="s">
        <v>3571</v>
      </c>
      <c r="F586" s="720" t="s">
        <v>3572</v>
      </c>
      <c r="G586" s="699" t="s">
        <v>3282</v>
      </c>
      <c r="H586" s="699" t="s">
        <v>3283</v>
      </c>
      <c r="I586" s="711">
        <v>3510.3</v>
      </c>
      <c r="J586" s="711">
        <v>1</v>
      </c>
      <c r="K586" s="712">
        <v>3510.3</v>
      </c>
    </row>
    <row r="587" spans="1:11" ht="14.4" customHeight="1" x14ac:dyDescent="0.3">
      <c r="A587" s="695" t="s">
        <v>556</v>
      </c>
      <c r="B587" s="696" t="s">
        <v>557</v>
      </c>
      <c r="C587" s="699" t="s">
        <v>574</v>
      </c>
      <c r="D587" s="720" t="s">
        <v>3570</v>
      </c>
      <c r="E587" s="699" t="s">
        <v>3571</v>
      </c>
      <c r="F587" s="720" t="s">
        <v>3572</v>
      </c>
      <c r="G587" s="699" t="s">
        <v>3284</v>
      </c>
      <c r="H587" s="699" t="s">
        <v>3285</v>
      </c>
      <c r="I587" s="711">
        <v>1247.1500000000001</v>
      </c>
      <c r="J587" s="711">
        <v>5</v>
      </c>
      <c r="K587" s="712">
        <v>6235.75</v>
      </c>
    </row>
    <row r="588" spans="1:11" ht="14.4" customHeight="1" x14ac:dyDescent="0.3">
      <c r="A588" s="695" t="s">
        <v>556</v>
      </c>
      <c r="B588" s="696" t="s">
        <v>557</v>
      </c>
      <c r="C588" s="699" t="s">
        <v>574</v>
      </c>
      <c r="D588" s="720" t="s">
        <v>3570</v>
      </c>
      <c r="E588" s="699" t="s">
        <v>3571</v>
      </c>
      <c r="F588" s="720" t="s">
        <v>3572</v>
      </c>
      <c r="G588" s="699" t="s">
        <v>3286</v>
      </c>
      <c r="H588" s="699" t="s">
        <v>3287</v>
      </c>
      <c r="I588" s="711">
        <v>5175</v>
      </c>
      <c r="J588" s="711">
        <v>1</v>
      </c>
      <c r="K588" s="712">
        <v>5175</v>
      </c>
    </row>
    <row r="589" spans="1:11" ht="14.4" customHeight="1" x14ac:dyDescent="0.3">
      <c r="A589" s="695" t="s">
        <v>556</v>
      </c>
      <c r="B589" s="696" t="s">
        <v>557</v>
      </c>
      <c r="C589" s="699" t="s">
        <v>574</v>
      </c>
      <c r="D589" s="720" t="s">
        <v>3570</v>
      </c>
      <c r="E589" s="699" t="s">
        <v>3571</v>
      </c>
      <c r="F589" s="720" t="s">
        <v>3572</v>
      </c>
      <c r="G589" s="699" t="s">
        <v>3288</v>
      </c>
      <c r="H589" s="699" t="s">
        <v>3289</v>
      </c>
      <c r="I589" s="711">
        <v>5774.1</v>
      </c>
      <c r="J589" s="711">
        <v>2</v>
      </c>
      <c r="K589" s="712">
        <v>11548.2</v>
      </c>
    </row>
    <row r="590" spans="1:11" ht="14.4" customHeight="1" x14ac:dyDescent="0.3">
      <c r="A590" s="695" t="s">
        <v>556</v>
      </c>
      <c r="B590" s="696" t="s">
        <v>557</v>
      </c>
      <c r="C590" s="699" t="s">
        <v>574</v>
      </c>
      <c r="D590" s="720" t="s">
        <v>3570</v>
      </c>
      <c r="E590" s="699" t="s">
        <v>3571</v>
      </c>
      <c r="F590" s="720" t="s">
        <v>3572</v>
      </c>
      <c r="G590" s="699" t="s">
        <v>3290</v>
      </c>
      <c r="H590" s="699" t="s">
        <v>3291</v>
      </c>
      <c r="I590" s="711">
        <v>8572.7999999999993</v>
      </c>
      <c r="J590" s="711">
        <v>1</v>
      </c>
      <c r="K590" s="712">
        <v>8572.7999999999993</v>
      </c>
    </row>
    <row r="591" spans="1:11" ht="14.4" customHeight="1" x14ac:dyDescent="0.3">
      <c r="A591" s="695" t="s">
        <v>556</v>
      </c>
      <c r="B591" s="696" t="s">
        <v>557</v>
      </c>
      <c r="C591" s="699" t="s">
        <v>574</v>
      </c>
      <c r="D591" s="720" t="s">
        <v>3570</v>
      </c>
      <c r="E591" s="699" t="s">
        <v>3571</v>
      </c>
      <c r="F591" s="720" t="s">
        <v>3572</v>
      </c>
      <c r="G591" s="699" t="s">
        <v>3292</v>
      </c>
      <c r="H591" s="699" t="s">
        <v>3293</v>
      </c>
      <c r="I591" s="711">
        <v>1856.1</v>
      </c>
      <c r="J591" s="711">
        <v>3</v>
      </c>
      <c r="K591" s="712">
        <v>5568.2999999999993</v>
      </c>
    </row>
    <row r="592" spans="1:11" ht="14.4" customHeight="1" x14ac:dyDescent="0.3">
      <c r="A592" s="695" t="s">
        <v>556</v>
      </c>
      <c r="B592" s="696" t="s">
        <v>557</v>
      </c>
      <c r="C592" s="699" t="s">
        <v>574</v>
      </c>
      <c r="D592" s="720" t="s">
        <v>3570</v>
      </c>
      <c r="E592" s="699" t="s">
        <v>3571</v>
      </c>
      <c r="F592" s="720" t="s">
        <v>3572</v>
      </c>
      <c r="G592" s="699" t="s">
        <v>3294</v>
      </c>
      <c r="H592" s="699" t="s">
        <v>3295</v>
      </c>
      <c r="I592" s="711">
        <v>901.72</v>
      </c>
      <c r="J592" s="711">
        <v>1</v>
      </c>
      <c r="K592" s="712">
        <v>901.72</v>
      </c>
    </row>
    <row r="593" spans="1:11" ht="14.4" customHeight="1" x14ac:dyDescent="0.3">
      <c r="A593" s="695" t="s">
        <v>556</v>
      </c>
      <c r="B593" s="696" t="s">
        <v>557</v>
      </c>
      <c r="C593" s="699" t="s">
        <v>574</v>
      </c>
      <c r="D593" s="720" t="s">
        <v>3570</v>
      </c>
      <c r="E593" s="699" t="s">
        <v>3571</v>
      </c>
      <c r="F593" s="720" t="s">
        <v>3572</v>
      </c>
      <c r="G593" s="699" t="s">
        <v>3296</v>
      </c>
      <c r="H593" s="699" t="s">
        <v>3297</v>
      </c>
      <c r="I593" s="711">
        <v>3510.3</v>
      </c>
      <c r="J593" s="711">
        <v>1</v>
      </c>
      <c r="K593" s="712">
        <v>3510.3</v>
      </c>
    </row>
    <row r="594" spans="1:11" ht="14.4" customHeight="1" x14ac:dyDescent="0.3">
      <c r="A594" s="695" t="s">
        <v>556</v>
      </c>
      <c r="B594" s="696" t="s">
        <v>557</v>
      </c>
      <c r="C594" s="699" t="s">
        <v>574</v>
      </c>
      <c r="D594" s="720" t="s">
        <v>3570</v>
      </c>
      <c r="E594" s="699" t="s">
        <v>3571</v>
      </c>
      <c r="F594" s="720" t="s">
        <v>3572</v>
      </c>
      <c r="G594" s="699" t="s">
        <v>3298</v>
      </c>
      <c r="H594" s="699" t="s">
        <v>3299</v>
      </c>
      <c r="I594" s="711">
        <v>499.34</v>
      </c>
      <c r="J594" s="711">
        <v>1</v>
      </c>
      <c r="K594" s="712">
        <v>499.34</v>
      </c>
    </row>
    <row r="595" spans="1:11" ht="14.4" customHeight="1" x14ac:dyDescent="0.3">
      <c r="A595" s="695" t="s">
        <v>556</v>
      </c>
      <c r="B595" s="696" t="s">
        <v>557</v>
      </c>
      <c r="C595" s="699" t="s">
        <v>574</v>
      </c>
      <c r="D595" s="720" t="s">
        <v>3570</v>
      </c>
      <c r="E595" s="699" t="s">
        <v>3571</v>
      </c>
      <c r="F595" s="720" t="s">
        <v>3572</v>
      </c>
      <c r="G595" s="699" t="s">
        <v>3300</v>
      </c>
      <c r="H595" s="699" t="s">
        <v>3301</v>
      </c>
      <c r="I595" s="711">
        <v>8703.9</v>
      </c>
      <c r="J595" s="711">
        <v>1</v>
      </c>
      <c r="K595" s="712">
        <v>8703.9</v>
      </c>
    </row>
    <row r="596" spans="1:11" ht="14.4" customHeight="1" x14ac:dyDescent="0.3">
      <c r="A596" s="695" t="s">
        <v>556</v>
      </c>
      <c r="B596" s="696" t="s">
        <v>557</v>
      </c>
      <c r="C596" s="699" t="s">
        <v>574</v>
      </c>
      <c r="D596" s="720" t="s">
        <v>3570</v>
      </c>
      <c r="E596" s="699" t="s">
        <v>3571</v>
      </c>
      <c r="F596" s="720" t="s">
        <v>3572</v>
      </c>
      <c r="G596" s="699" t="s">
        <v>3302</v>
      </c>
      <c r="H596" s="699" t="s">
        <v>3303</v>
      </c>
      <c r="I596" s="711">
        <v>499.32</v>
      </c>
      <c r="J596" s="711">
        <v>2</v>
      </c>
      <c r="K596" s="712">
        <v>998.64</v>
      </c>
    </row>
    <row r="597" spans="1:11" ht="14.4" customHeight="1" x14ac:dyDescent="0.3">
      <c r="A597" s="695" t="s">
        <v>556</v>
      </c>
      <c r="B597" s="696" t="s">
        <v>557</v>
      </c>
      <c r="C597" s="699" t="s">
        <v>574</v>
      </c>
      <c r="D597" s="720" t="s">
        <v>3570</v>
      </c>
      <c r="E597" s="699" t="s">
        <v>3571</v>
      </c>
      <c r="F597" s="720" t="s">
        <v>3572</v>
      </c>
      <c r="G597" s="699" t="s">
        <v>3304</v>
      </c>
      <c r="H597" s="699" t="s">
        <v>3305</v>
      </c>
      <c r="I597" s="711">
        <v>344.25333333333333</v>
      </c>
      <c r="J597" s="711">
        <v>3</v>
      </c>
      <c r="K597" s="712">
        <v>1032.76</v>
      </c>
    </row>
    <row r="598" spans="1:11" ht="14.4" customHeight="1" x14ac:dyDescent="0.3">
      <c r="A598" s="695" t="s">
        <v>556</v>
      </c>
      <c r="B598" s="696" t="s">
        <v>557</v>
      </c>
      <c r="C598" s="699" t="s">
        <v>574</v>
      </c>
      <c r="D598" s="720" t="s">
        <v>3570</v>
      </c>
      <c r="E598" s="699" t="s">
        <v>3571</v>
      </c>
      <c r="F598" s="720" t="s">
        <v>3572</v>
      </c>
      <c r="G598" s="699" t="s">
        <v>3306</v>
      </c>
      <c r="H598" s="699" t="s">
        <v>3307</v>
      </c>
      <c r="I598" s="711">
        <v>1591.44</v>
      </c>
      <c r="J598" s="711">
        <v>2</v>
      </c>
      <c r="K598" s="712">
        <v>3182.88</v>
      </c>
    </row>
    <row r="599" spans="1:11" ht="14.4" customHeight="1" x14ac:dyDescent="0.3">
      <c r="A599" s="695" t="s">
        <v>556</v>
      </c>
      <c r="B599" s="696" t="s">
        <v>557</v>
      </c>
      <c r="C599" s="699" t="s">
        <v>574</v>
      </c>
      <c r="D599" s="720" t="s">
        <v>3570</v>
      </c>
      <c r="E599" s="699" t="s">
        <v>3571</v>
      </c>
      <c r="F599" s="720" t="s">
        <v>3572</v>
      </c>
      <c r="G599" s="699" t="s">
        <v>3308</v>
      </c>
      <c r="H599" s="699" t="s">
        <v>3309</v>
      </c>
      <c r="I599" s="711">
        <v>1839.1</v>
      </c>
      <c r="J599" s="711">
        <v>2</v>
      </c>
      <c r="K599" s="712">
        <v>3678.2</v>
      </c>
    </row>
    <row r="600" spans="1:11" ht="14.4" customHeight="1" x14ac:dyDescent="0.3">
      <c r="A600" s="695" t="s">
        <v>556</v>
      </c>
      <c r="B600" s="696" t="s">
        <v>557</v>
      </c>
      <c r="C600" s="699" t="s">
        <v>574</v>
      </c>
      <c r="D600" s="720" t="s">
        <v>3570</v>
      </c>
      <c r="E600" s="699" t="s">
        <v>3571</v>
      </c>
      <c r="F600" s="720" t="s">
        <v>3572</v>
      </c>
      <c r="G600" s="699" t="s">
        <v>3310</v>
      </c>
      <c r="H600" s="699" t="s">
        <v>3311</v>
      </c>
      <c r="I600" s="711">
        <v>1105.905</v>
      </c>
      <c r="J600" s="711">
        <v>2</v>
      </c>
      <c r="K600" s="712">
        <v>2211.81</v>
      </c>
    </row>
    <row r="601" spans="1:11" ht="14.4" customHeight="1" x14ac:dyDescent="0.3">
      <c r="A601" s="695" t="s">
        <v>556</v>
      </c>
      <c r="B601" s="696" t="s">
        <v>557</v>
      </c>
      <c r="C601" s="699" t="s">
        <v>574</v>
      </c>
      <c r="D601" s="720" t="s">
        <v>3570</v>
      </c>
      <c r="E601" s="699" t="s">
        <v>3571</v>
      </c>
      <c r="F601" s="720" t="s">
        <v>3572</v>
      </c>
      <c r="G601" s="699" t="s">
        <v>3312</v>
      </c>
      <c r="H601" s="699" t="s">
        <v>3313</v>
      </c>
      <c r="I601" s="711">
        <v>6262.99</v>
      </c>
      <c r="J601" s="711">
        <v>1</v>
      </c>
      <c r="K601" s="712">
        <v>6262.99</v>
      </c>
    </row>
    <row r="602" spans="1:11" ht="14.4" customHeight="1" x14ac:dyDescent="0.3">
      <c r="A602" s="695" t="s">
        <v>556</v>
      </c>
      <c r="B602" s="696" t="s">
        <v>557</v>
      </c>
      <c r="C602" s="699" t="s">
        <v>574</v>
      </c>
      <c r="D602" s="720" t="s">
        <v>3570</v>
      </c>
      <c r="E602" s="699" t="s">
        <v>3571</v>
      </c>
      <c r="F602" s="720" t="s">
        <v>3572</v>
      </c>
      <c r="G602" s="699" t="s">
        <v>3314</v>
      </c>
      <c r="H602" s="699" t="s">
        <v>3315</v>
      </c>
      <c r="I602" s="711">
        <v>1375.4</v>
      </c>
      <c r="J602" s="711">
        <v>1</v>
      </c>
      <c r="K602" s="712">
        <v>1375.4</v>
      </c>
    </row>
    <row r="603" spans="1:11" ht="14.4" customHeight="1" x14ac:dyDescent="0.3">
      <c r="A603" s="695" t="s">
        <v>556</v>
      </c>
      <c r="B603" s="696" t="s">
        <v>557</v>
      </c>
      <c r="C603" s="699" t="s">
        <v>574</v>
      </c>
      <c r="D603" s="720" t="s">
        <v>3570</v>
      </c>
      <c r="E603" s="699" t="s">
        <v>3571</v>
      </c>
      <c r="F603" s="720" t="s">
        <v>3572</v>
      </c>
      <c r="G603" s="699" t="s">
        <v>3316</v>
      </c>
      <c r="H603" s="699" t="s">
        <v>3317</v>
      </c>
      <c r="I603" s="711">
        <v>1546.98</v>
      </c>
      <c r="J603" s="711">
        <v>1</v>
      </c>
      <c r="K603" s="712">
        <v>1546.98</v>
      </c>
    </row>
    <row r="604" spans="1:11" ht="14.4" customHeight="1" x14ac:dyDescent="0.3">
      <c r="A604" s="695" t="s">
        <v>556</v>
      </c>
      <c r="B604" s="696" t="s">
        <v>557</v>
      </c>
      <c r="C604" s="699" t="s">
        <v>574</v>
      </c>
      <c r="D604" s="720" t="s">
        <v>3570</v>
      </c>
      <c r="E604" s="699" t="s">
        <v>3571</v>
      </c>
      <c r="F604" s="720" t="s">
        <v>3572</v>
      </c>
      <c r="G604" s="699" t="s">
        <v>3318</v>
      </c>
      <c r="H604" s="699" t="s">
        <v>3319</v>
      </c>
      <c r="I604" s="711">
        <v>12872.89</v>
      </c>
      <c r="J604" s="711">
        <v>1</v>
      </c>
      <c r="K604" s="712">
        <v>12872.89</v>
      </c>
    </row>
    <row r="605" spans="1:11" ht="14.4" customHeight="1" x14ac:dyDescent="0.3">
      <c r="A605" s="695" t="s">
        <v>556</v>
      </c>
      <c r="B605" s="696" t="s">
        <v>557</v>
      </c>
      <c r="C605" s="699" t="s">
        <v>574</v>
      </c>
      <c r="D605" s="720" t="s">
        <v>3570</v>
      </c>
      <c r="E605" s="699" t="s">
        <v>3571</v>
      </c>
      <c r="F605" s="720" t="s">
        <v>3572</v>
      </c>
      <c r="G605" s="699" t="s">
        <v>3320</v>
      </c>
      <c r="H605" s="699" t="s">
        <v>3321</v>
      </c>
      <c r="I605" s="711">
        <v>9660</v>
      </c>
      <c r="J605" s="711">
        <v>1</v>
      </c>
      <c r="K605" s="712">
        <v>9660</v>
      </c>
    </row>
    <row r="606" spans="1:11" ht="14.4" customHeight="1" x14ac:dyDescent="0.3">
      <c r="A606" s="695" t="s">
        <v>556</v>
      </c>
      <c r="B606" s="696" t="s">
        <v>557</v>
      </c>
      <c r="C606" s="699" t="s">
        <v>574</v>
      </c>
      <c r="D606" s="720" t="s">
        <v>3570</v>
      </c>
      <c r="E606" s="699" t="s">
        <v>3571</v>
      </c>
      <c r="F606" s="720" t="s">
        <v>3572</v>
      </c>
      <c r="G606" s="699" t="s">
        <v>3322</v>
      </c>
      <c r="H606" s="699" t="s">
        <v>3323</v>
      </c>
      <c r="I606" s="711">
        <v>1274.5666666666668</v>
      </c>
      <c r="J606" s="711">
        <v>7</v>
      </c>
      <c r="K606" s="712">
        <v>8922.07</v>
      </c>
    </row>
    <row r="607" spans="1:11" ht="14.4" customHeight="1" x14ac:dyDescent="0.3">
      <c r="A607" s="695" t="s">
        <v>556</v>
      </c>
      <c r="B607" s="696" t="s">
        <v>557</v>
      </c>
      <c r="C607" s="699" t="s">
        <v>574</v>
      </c>
      <c r="D607" s="720" t="s">
        <v>3570</v>
      </c>
      <c r="E607" s="699" t="s">
        <v>3571</v>
      </c>
      <c r="F607" s="720" t="s">
        <v>3572</v>
      </c>
      <c r="G607" s="699" t="s">
        <v>3324</v>
      </c>
      <c r="H607" s="699" t="s">
        <v>3325</v>
      </c>
      <c r="I607" s="711">
        <v>1435.2550000000001</v>
      </c>
      <c r="J607" s="711">
        <v>6</v>
      </c>
      <c r="K607" s="712">
        <v>8611.5300000000007</v>
      </c>
    </row>
    <row r="608" spans="1:11" ht="14.4" customHeight="1" x14ac:dyDescent="0.3">
      <c r="A608" s="695" t="s">
        <v>556</v>
      </c>
      <c r="B608" s="696" t="s">
        <v>557</v>
      </c>
      <c r="C608" s="699" t="s">
        <v>574</v>
      </c>
      <c r="D608" s="720" t="s">
        <v>3570</v>
      </c>
      <c r="E608" s="699" t="s">
        <v>3571</v>
      </c>
      <c r="F608" s="720" t="s">
        <v>3572</v>
      </c>
      <c r="G608" s="699" t="s">
        <v>3326</v>
      </c>
      <c r="H608" s="699" t="s">
        <v>3327</v>
      </c>
      <c r="I608" s="711">
        <v>7512.95</v>
      </c>
      <c r="J608" s="711">
        <v>5</v>
      </c>
      <c r="K608" s="712">
        <v>37564.75</v>
      </c>
    </row>
    <row r="609" spans="1:11" ht="14.4" customHeight="1" x14ac:dyDescent="0.3">
      <c r="A609" s="695" t="s">
        <v>556</v>
      </c>
      <c r="B609" s="696" t="s">
        <v>557</v>
      </c>
      <c r="C609" s="699" t="s">
        <v>574</v>
      </c>
      <c r="D609" s="720" t="s">
        <v>3570</v>
      </c>
      <c r="E609" s="699" t="s">
        <v>3571</v>
      </c>
      <c r="F609" s="720" t="s">
        <v>3572</v>
      </c>
      <c r="G609" s="699" t="s">
        <v>3328</v>
      </c>
      <c r="H609" s="699" t="s">
        <v>3329</v>
      </c>
      <c r="I609" s="711">
        <v>5146.25</v>
      </c>
      <c r="J609" s="711">
        <v>1</v>
      </c>
      <c r="K609" s="712">
        <v>5146.25</v>
      </c>
    </row>
    <row r="610" spans="1:11" ht="14.4" customHeight="1" x14ac:dyDescent="0.3">
      <c r="A610" s="695" t="s">
        <v>556</v>
      </c>
      <c r="B610" s="696" t="s">
        <v>557</v>
      </c>
      <c r="C610" s="699" t="s">
        <v>574</v>
      </c>
      <c r="D610" s="720" t="s">
        <v>3570</v>
      </c>
      <c r="E610" s="699" t="s">
        <v>3571</v>
      </c>
      <c r="F610" s="720" t="s">
        <v>3572</v>
      </c>
      <c r="G610" s="699" t="s">
        <v>3330</v>
      </c>
      <c r="H610" s="699" t="s">
        <v>3331</v>
      </c>
      <c r="I610" s="711">
        <v>8572.7999999999993</v>
      </c>
      <c r="J610" s="711">
        <v>1</v>
      </c>
      <c r="K610" s="712">
        <v>8572.7999999999993</v>
      </c>
    </row>
    <row r="611" spans="1:11" ht="14.4" customHeight="1" x14ac:dyDescent="0.3">
      <c r="A611" s="695" t="s">
        <v>556</v>
      </c>
      <c r="B611" s="696" t="s">
        <v>557</v>
      </c>
      <c r="C611" s="699" t="s">
        <v>574</v>
      </c>
      <c r="D611" s="720" t="s">
        <v>3570</v>
      </c>
      <c r="E611" s="699" t="s">
        <v>3571</v>
      </c>
      <c r="F611" s="720" t="s">
        <v>3572</v>
      </c>
      <c r="G611" s="699" t="s">
        <v>3332</v>
      </c>
      <c r="H611" s="699" t="s">
        <v>3333</v>
      </c>
      <c r="I611" s="711">
        <v>1247.75</v>
      </c>
      <c r="J611" s="711">
        <v>2</v>
      </c>
      <c r="K611" s="712">
        <v>2495.5</v>
      </c>
    </row>
    <row r="612" spans="1:11" ht="14.4" customHeight="1" x14ac:dyDescent="0.3">
      <c r="A612" s="695" t="s">
        <v>556</v>
      </c>
      <c r="B612" s="696" t="s">
        <v>557</v>
      </c>
      <c r="C612" s="699" t="s">
        <v>574</v>
      </c>
      <c r="D612" s="720" t="s">
        <v>3570</v>
      </c>
      <c r="E612" s="699" t="s">
        <v>3571</v>
      </c>
      <c r="F612" s="720" t="s">
        <v>3572</v>
      </c>
      <c r="G612" s="699" t="s">
        <v>3334</v>
      </c>
      <c r="H612" s="699" t="s">
        <v>3335</v>
      </c>
      <c r="I612" s="711">
        <v>5330.25</v>
      </c>
      <c r="J612" s="711">
        <v>1</v>
      </c>
      <c r="K612" s="712">
        <v>5330.25</v>
      </c>
    </row>
    <row r="613" spans="1:11" ht="14.4" customHeight="1" x14ac:dyDescent="0.3">
      <c r="A613" s="695" t="s">
        <v>556</v>
      </c>
      <c r="B613" s="696" t="s">
        <v>557</v>
      </c>
      <c r="C613" s="699" t="s">
        <v>574</v>
      </c>
      <c r="D613" s="720" t="s">
        <v>3570</v>
      </c>
      <c r="E613" s="699" t="s">
        <v>3571</v>
      </c>
      <c r="F613" s="720" t="s">
        <v>3572</v>
      </c>
      <c r="G613" s="699" t="s">
        <v>3336</v>
      </c>
      <c r="H613" s="699" t="s">
        <v>3337</v>
      </c>
      <c r="I613" s="711">
        <v>527.85</v>
      </c>
      <c r="J613" s="711">
        <v>8</v>
      </c>
      <c r="K613" s="712">
        <v>4222.8</v>
      </c>
    </row>
    <row r="614" spans="1:11" ht="14.4" customHeight="1" x14ac:dyDescent="0.3">
      <c r="A614" s="695" t="s">
        <v>556</v>
      </c>
      <c r="B614" s="696" t="s">
        <v>557</v>
      </c>
      <c r="C614" s="699" t="s">
        <v>574</v>
      </c>
      <c r="D614" s="720" t="s">
        <v>3570</v>
      </c>
      <c r="E614" s="699" t="s">
        <v>3571</v>
      </c>
      <c r="F614" s="720" t="s">
        <v>3572</v>
      </c>
      <c r="G614" s="699" t="s">
        <v>3338</v>
      </c>
      <c r="H614" s="699" t="s">
        <v>3339</v>
      </c>
      <c r="I614" s="711">
        <v>3795</v>
      </c>
      <c r="J614" s="711">
        <v>1</v>
      </c>
      <c r="K614" s="712">
        <v>3795</v>
      </c>
    </row>
    <row r="615" spans="1:11" ht="14.4" customHeight="1" x14ac:dyDescent="0.3">
      <c r="A615" s="695" t="s">
        <v>556</v>
      </c>
      <c r="B615" s="696" t="s">
        <v>557</v>
      </c>
      <c r="C615" s="699" t="s">
        <v>574</v>
      </c>
      <c r="D615" s="720" t="s">
        <v>3570</v>
      </c>
      <c r="E615" s="699" t="s">
        <v>3571</v>
      </c>
      <c r="F615" s="720" t="s">
        <v>3572</v>
      </c>
      <c r="G615" s="699" t="s">
        <v>3340</v>
      </c>
      <c r="H615" s="699" t="s">
        <v>3341</v>
      </c>
      <c r="I615" s="711">
        <v>329.46250000000003</v>
      </c>
      <c r="J615" s="711">
        <v>4</v>
      </c>
      <c r="K615" s="712">
        <v>1317.8500000000001</v>
      </c>
    </row>
    <row r="616" spans="1:11" ht="14.4" customHeight="1" x14ac:dyDescent="0.3">
      <c r="A616" s="695" t="s">
        <v>556</v>
      </c>
      <c r="B616" s="696" t="s">
        <v>557</v>
      </c>
      <c r="C616" s="699" t="s">
        <v>574</v>
      </c>
      <c r="D616" s="720" t="s">
        <v>3570</v>
      </c>
      <c r="E616" s="699" t="s">
        <v>3571</v>
      </c>
      <c r="F616" s="720" t="s">
        <v>3572</v>
      </c>
      <c r="G616" s="699" t="s">
        <v>3342</v>
      </c>
      <c r="H616" s="699" t="s">
        <v>3343</v>
      </c>
      <c r="I616" s="711">
        <v>901.74</v>
      </c>
      <c r="J616" s="711">
        <v>1</v>
      </c>
      <c r="K616" s="712">
        <v>901.74</v>
      </c>
    </row>
    <row r="617" spans="1:11" ht="14.4" customHeight="1" x14ac:dyDescent="0.3">
      <c r="A617" s="695" t="s">
        <v>556</v>
      </c>
      <c r="B617" s="696" t="s">
        <v>557</v>
      </c>
      <c r="C617" s="699" t="s">
        <v>574</v>
      </c>
      <c r="D617" s="720" t="s">
        <v>3570</v>
      </c>
      <c r="E617" s="699" t="s">
        <v>3571</v>
      </c>
      <c r="F617" s="720" t="s">
        <v>3572</v>
      </c>
      <c r="G617" s="699" t="s">
        <v>3344</v>
      </c>
      <c r="H617" s="699" t="s">
        <v>3345</v>
      </c>
      <c r="I617" s="711">
        <v>1232.3399999999999</v>
      </c>
      <c r="J617" s="711">
        <v>1</v>
      </c>
      <c r="K617" s="712">
        <v>1232.3399999999999</v>
      </c>
    </row>
    <row r="618" spans="1:11" ht="14.4" customHeight="1" x14ac:dyDescent="0.3">
      <c r="A618" s="695" t="s">
        <v>556</v>
      </c>
      <c r="B618" s="696" t="s">
        <v>557</v>
      </c>
      <c r="C618" s="699" t="s">
        <v>574</v>
      </c>
      <c r="D618" s="720" t="s">
        <v>3570</v>
      </c>
      <c r="E618" s="699" t="s">
        <v>3571</v>
      </c>
      <c r="F618" s="720" t="s">
        <v>3572</v>
      </c>
      <c r="G618" s="699" t="s">
        <v>3346</v>
      </c>
      <c r="H618" s="699" t="s">
        <v>3347</v>
      </c>
      <c r="I618" s="711">
        <v>750.14</v>
      </c>
      <c r="J618" s="711">
        <v>1</v>
      </c>
      <c r="K618" s="712">
        <v>750.14</v>
      </c>
    </row>
    <row r="619" spans="1:11" ht="14.4" customHeight="1" x14ac:dyDescent="0.3">
      <c r="A619" s="695" t="s">
        <v>556</v>
      </c>
      <c r="B619" s="696" t="s">
        <v>557</v>
      </c>
      <c r="C619" s="699" t="s">
        <v>574</v>
      </c>
      <c r="D619" s="720" t="s">
        <v>3570</v>
      </c>
      <c r="E619" s="699" t="s">
        <v>3571</v>
      </c>
      <c r="F619" s="720" t="s">
        <v>3572</v>
      </c>
      <c r="G619" s="699" t="s">
        <v>3348</v>
      </c>
      <c r="H619" s="699" t="s">
        <v>3349</v>
      </c>
      <c r="I619" s="711">
        <v>9275</v>
      </c>
      <c r="J619" s="711">
        <v>1</v>
      </c>
      <c r="K619" s="712">
        <v>9275</v>
      </c>
    </row>
    <row r="620" spans="1:11" ht="14.4" customHeight="1" x14ac:dyDescent="0.3">
      <c r="A620" s="695" t="s">
        <v>556</v>
      </c>
      <c r="B620" s="696" t="s">
        <v>557</v>
      </c>
      <c r="C620" s="699" t="s">
        <v>574</v>
      </c>
      <c r="D620" s="720" t="s">
        <v>3570</v>
      </c>
      <c r="E620" s="699" t="s">
        <v>3571</v>
      </c>
      <c r="F620" s="720" t="s">
        <v>3572</v>
      </c>
      <c r="G620" s="699" t="s">
        <v>3350</v>
      </c>
      <c r="H620" s="699" t="s">
        <v>3351</v>
      </c>
      <c r="I620" s="711">
        <v>1232.32</v>
      </c>
      <c r="J620" s="711">
        <v>2</v>
      </c>
      <c r="K620" s="712">
        <v>2464.64</v>
      </c>
    </row>
    <row r="621" spans="1:11" ht="14.4" customHeight="1" x14ac:dyDescent="0.3">
      <c r="A621" s="695" t="s">
        <v>556</v>
      </c>
      <c r="B621" s="696" t="s">
        <v>557</v>
      </c>
      <c r="C621" s="699" t="s">
        <v>574</v>
      </c>
      <c r="D621" s="720" t="s">
        <v>3570</v>
      </c>
      <c r="E621" s="699" t="s">
        <v>3571</v>
      </c>
      <c r="F621" s="720" t="s">
        <v>3572</v>
      </c>
      <c r="G621" s="699" t="s">
        <v>3352</v>
      </c>
      <c r="H621" s="699" t="s">
        <v>3353</v>
      </c>
      <c r="I621" s="711">
        <v>1094.4000000000001</v>
      </c>
      <c r="J621" s="711">
        <v>1</v>
      </c>
      <c r="K621" s="712">
        <v>1094.4000000000001</v>
      </c>
    </row>
    <row r="622" spans="1:11" ht="14.4" customHeight="1" x14ac:dyDescent="0.3">
      <c r="A622" s="695" t="s">
        <v>556</v>
      </c>
      <c r="B622" s="696" t="s">
        <v>557</v>
      </c>
      <c r="C622" s="699" t="s">
        <v>574</v>
      </c>
      <c r="D622" s="720" t="s">
        <v>3570</v>
      </c>
      <c r="E622" s="699" t="s">
        <v>3571</v>
      </c>
      <c r="F622" s="720" t="s">
        <v>3572</v>
      </c>
      <c r="G622" s="699" t="s">
        <v>3354</v>
      </c>
      <c r="H622" s="699" t="s">
        <v>3355</v>
      </c>
      <c r="I622" s="711">
        <v>1098.9650000000001</v>
      </c>
      <c r="J622" s="711">
        <v>2</v>
      </c>
      <c r="K622" s="712">
        <v>2197.9300000000003</v>
      </c>
    </row>
    <row r="623" spans="1:11" ht="14.4" customHeight="1" x14ac:dyDescent="0.3">
      <c r="A623" s="695" t="s">
        <v>556</v>
      </c>
      <c r="B623" s="696" t="s">
        <v>557</v>
      </c>
      <c r="C623" s="699" t="s">
        <v>574</v>
      </c>
      <c r="D623" s="720" t="s">
        <v>3570</v>
      </c>
      <c r="E623" s="699" t="s">
        <v>3571</v>
      </c>
      <c r="F623" s="720" t="s">
        <v>3572</v>
      </c>
      <c r="G623" s="699" t="s">
        <v>3356</v>
      </c>
      <c r="H623" s="699" t="s">
        <v>3357</v>
      </c>
      <c r="I623" s="711">
        <v>1247.18</v>
      </c>
      <c r="J623" s="711">
        <v>8</v>
      </c>
      <c r="K623" s="712">
        <v>9977.44</v>
      </c>
    </row>
    <row r="624" spans="1:11" ht="14.4" customHeight="1" x14ac:dyDescent="0.3">
      <c r="A624" s="695" t="s">
        <v>556</v>
      </c>
      <c r="B624" s="696" t="s">
        <v>557</v>
      </c>
      <c r="C624" s="699" t="s">
        <v>574</v>
      </c>
      <c r="D624" s="720" t="s">
        <v>3570</v>
      </c>
      <c r="E624" s="699" t="s">
        <v>3571</v>
      </c>
      <c r="F624" s="720" t="s">
        <v>3572</v>
      </c>
      <c r="G624" s="699" t="s">
        <v>3358</v>
      </c>
      <c r="H624" s="699" t="s">
        <v>3359</v>
      </c>
      <c r="I624" s="711">
        <v>1029.45</v>
      </c>
      <c r="J624" s="711">
        <v>1</v>
      </c>
      <c r="K624" s="712">
        <v>1029.45</v>
      </c>
    </row>
    <row r="625" spans="1:11" ht="14.4" customHeight="1" x14ac:dyDescent="0.3">
      <c r="A625" s="695" t="s">
        <v>556</v>
      </c>
      <c r="B625" s="696" t="s">
        <v>557</v>
      </c>
      <c r="C625" s="699" t="s">
        <v>574</v>
      </c>
      <c r="D625" s="720" t="s">
        <v>3570</v>
      </c>
      <c r="E625" s="699" t="s">
        <v>3571</v>
      </c>
      <c r="F625" s="720" t="s">
        <v>3572</v>
      </c>
      <c r="G625" s="699" t="s">
        <v>3360</v>
      </c>
      <c r="H625" s="699" t="s">
        <v>3361</v>
      </c>
      <c r="I625" s="711">
        <v>582</v>
      </c>
      <c r="J625" s="711">
        <v>2</v>
      </c>
      <c r="K625" s="712">
        <v>1164</v>
      </c>
    </row>
    <row r="626" spans="1:11" ht="14.4" customHeight="1" x14ac:dyDescent="0.3">
      <c r="A626" s="695" t="s">
        <v>556</v>
      </c>
      <c r="B626" s="696" t="s">
        <v>557</v>
      </c>
      <c r="C626" s="699" t="s">
        <v>574</v>
      </c>
      <c r="D626" s="720" t="s">
        <v>3570</v>
      </c>
      <c r="E626" s="699" t="s">
        <v>3571</v>
      </c>
      <c r="F626" s="720" t="s">
        <v>3572</v>
      </c>
      <c r="G626" s="699" t="s">
        <v>3362</v>
      </c>
      <c r="H626" s="699" t="s">
        <v>3363</v>
      </c>
      <c r="I626" s="711">
        <v>863.39</v>
      </c>
      <c r="J626" s="711">
        <v>2</v>
      </c>
      <c r="K626" s="712">
        <v>1726.78</v>
      </c>
    </row>
    <row r="627" spans="1:11" ht="14.4" customHeight="1" x14ac:dyDescent="0.3">
      <c r="A627" s="695" t="s">
        <v>556</v>
      </c>
      <c r="B627" s="696" t="s">
        <v>557</v>
      </c>
      <c r="C627" s="699" t="s">
        <v>574</v>
      </c>
      <c r="D627" s="720" t="s">
        <v>3570</v>
      </c>
      <c r="E627" s="699" t="s">
        <v>3571</v>
      </c>
      <c r="F627" s="720" t="s">
        <v>3572</v>
      </c>
      <c r="G627" s="699" t="s">
        <v>3364</v>
      </c>
      <c r="H627" s="699" t="s">
        <v>3365</v>
      </c>
      <c r="I627" s="711">
        <v>216.61</v>
      </c>
      <c r="J627" s="711">
        <v>2</v>
      </c>
      <c r="K627" s="712">
        <v>433.22</v>
      </c>
    </row>
    <row r="628" spans="1:11" ht="14.4" customHeight="1" x14ac:dyDescent="0.3">
      <c r="A628" s="695" t="s">
        <v>556</v>
      </c>
      <c r="B628" s="696" t="s">
        <v>557</v>
      </c>
      <c r="C628" s="699" t="s">
        <v>574</v>
      </c>
      <c r="D628" s="720" t="s">
        <v>3570</v>
      </c>
      <c r="E628" s="699" t="s">
        <v>3571</v>
      </c>
      <c r="F628" s="720" t="s">
        <v>3572</v>
      </c>
      <c r="G628" s="699" t="s">
        <v>3366</v>
      </c>
      <c r="H628" s="699" t="s">
        <v>3367</v>
      </c>
      <c r="I628" s="711">
        <v>6716.5</v>
      </c>
      <c r="J628" s="711">
        <v>1</v>
      </c>
      <c r="K628" s="712">
        <v>6716.5</v>
      </c>
    </row>
    <row r="629" spans="1:11" ht="14.4" customHeight="1" x14ac:dyDescent="0.3">
      <c r="A629" s="695" t="s">
        <v>556</v>
      </c>
      <c r="B629" s="696" t="s">
        <v>557</v>
      </c>
      <c r="C629" s="699" t="s">
        <v>574</v>
      </c>
      <c r="D629" s="720" t="s">
        <v>3570</v>
      </c>
      <c r="E629" s="699" t="s">
        <v>3571</v>
      </c>
      <c r="F629" s="720" t="s">
        <v>3572</v>
      </c>
      <c r="G629" s="699" t="s">
        <v>3368</v>
      </c>
      <c r="H629" s="699" t="s">
        <v>3369</v>
      </c>
      <c r="I629" s="711">
        <v>2129.4749999999999</v>
      </c>
      <c r="J629" s="711">
        <v>2</v>
      </c>
      <c r="K629" s="712">
        <v>4258.95</v>
      </c>
    </row>
    <row r="630" spans="1:11" ht="14.4" customHeight="1" x14ac:dyDescent="0.3">
      <c r="A630" s="695" t="s">
        <v>556</v>
      </c>
      <c r="B630" s="696" t="s">
        <v>557</v>
      </c>
      <c r="C630" s="699" t="s">
        <v>574</v>
      </c>
      <c r="D630" s="720" t="s">
        <v>3570</v>
      </c>
      <c r="E630" s="699" t="s">
        <v>3571</v>
      </c>
      <c r="F630" s="720" t="s">
        <v>3572</v>
      </c>
      <c r="G630" s="699" t="s">
        <v>3370</v>
      </c>
      <c r="H630" s="699" t="s">
        <v>3371</v>
      </c>
      <c r="I630" s="711">
        <v>466.25</v>
      </c>
      <c r="J630" s="711">
        <v>2</v>
      </c>
      <c r="K630" s="712">
        <v>932.5</v>
      </c>
    </row>
    <row r="631" spans="1:11" ht="14.4" customHeight="1" x14ac:dyDescent="0.3">
      <c r="A631" s="695" t="s">
        <v>556</v>
      </c>
      <c r="B631" s="696" t="s">
        <v>557</v>
      </c>
      <c r="C631" s="699" t="s">
        <v>574</v>
      </c>
      <c r="D631" s="720" t="s">
        <v>3570</v>
      </c>
      <c r="E631" s="699" t="s">
        <v>3571</v>
      </c>
      <c r="F631" s="720" t="s">
        <v>3572</v>
      </c>
      <c r="G631" s="699" t="s">
        <v>3372</v>
      </c>
      <c r="H631" s="699" t="s">
        <v>3373</v>
      </c>
      <c r="I631" s="711">
        <v>248.4</v>
      </c>
      <c r="J631" s="711">
        <v>7</v>
      </c>
      <c r="K631" s="712">
        <v>1738.8</v>
      </c>
    </row>
    <row r="632" spans="1:11" ht="14.4" customHeight="1" x14ac:dyDescent="0.3">
      <c r="A632" s="695" t="s">
        <v>556</v>
      </c>
      <c r="B632" s="696" t="s">
        <v>557</v>
      </c>
      <c r="C632" s="699" t="s">
        <v>574</v>
      </c>
      <c r="D632" s="720" t="s">
        <v>3570</v>
      </c>
      <c r="E632" s="699" t="s">
        <v>3571</v>
      </c>
      <c r="F632" s="720" t="s">
        <v>3572</v>
      </c>
      <c r="G632" s="699" t="s">
        <v>3374</v>
      </c>
      <c r="H632" s="699" t="s">
        <v>3375</v>
      </c>
      <c r="I632" s="711">
        <v>3859.2</v>
      </c>
      <c r="J632" s="711">
        <v>1</v>
      </c>
      <c r="K632" s="712">
        <v>3859.2</v>
      </c>
    </row>
    <row r="633" spans="1:11" ht="14.4" customHeight="1" x14ac:dyDescent="0.3">
      <c r="A633" s="695" t="s">
        <v>556</v>
      </c>
      <c r="B633" s="696" t="s">
        <v>557</v>
      </c>
      <c r="C633" s="699" t="s">
        <v>574</v>
      </c>
      <c r="D633" s="720" t="s">
        <v>3570</v>
      </c>
      <c r="E633" s="699" t="s">
        <v>3571</v>
      </c>
      <c r="F633" s="720" t="s">
        <v>3572</v>
      </c>
      <c r="G633" s="699" t="s">
        <v>3376</v>
      </c>
      <c r="H633" s="699" t="s">
        <v>3377</v>
      </c>
      <c r="I633" s="711">
        <v>5018.26</v>
      </c>
      <c r="J633" s="711">
        <v>1</v>
      </c>
      <c r="K633" s="712">
        <v>5018.26</v>
      </c>
    </row>
    <row r="634" spans="1:11" ht="14.4" customHeight="1" x14ac:dyDescent="0.3">
      <c r="A634" s="695" t="s">
        <v>556</v>
      </c>
      <c r="B634" s="696" t="s">
        <v>557</v>
      </c>
      <c r="C634" s="699" t="s">
        <v>574</v>
      </c>
      <c r="D634" s="720" t="s">
        <v>3570</v>
      </c>
      <c r="E634" s="699" t="s">
        <v>3571</v>
      </c>
      <c r="F634" s="720" t="s">
        <v>3572</v>
      </c>
      <c r="G634" s="699" t="s">
        <v>3378</v>
      </c>
      <c r="H634" s="699" t="s">
        <v>3379</v>
      </c>
      <c r="I634" s="711">
        <v>625</v>
      </c>
      <c r="J634" s="711">
        <v>1</v>
      </c>
      <c r="K634" s="712">
        <v>625</v>
      </c>
    </row>
    <row r="635" spans="1:11" ht="14.4" customHeight="1" x14ac:dyDescent="0.3">
      <c r="A635" s="695" t="s">
        <v>556</v>
      </c>
      <c r="B635" s="696" t="s">
        <v>557</v>
      </c>
      <c r="C635" s="699" t="s">
        <v>574</v>
      </c>
      <c r="D635" s="720" t="s">
        <v>3570</v>
      </c>
      <c r="E635" s="699" t="s">
        <v>3571</v>
      </c>
      <c r="F635" s="720" t="s">
        <v>3572</v>
      </c>
      <c r="G635" s="699" t="s">
        <v>3380</v>
      </c>
      <c r="H635" s="699" t="s">
        <v>3381</v>
      </c>
      <c r="I635" s="711">
        <v>640.36</v>
      </c>
      <c r="J635" s="711">
        <v>1</v>
      </c>
      <c r="K635" s="712">
        <v>640.36</v>
      </c>
    </row>
    <row r="636" spans="1:11" ht="14.4" customHeight="1" x14ac:dyDescent="0.3">
      <c r="A636" s="695" t="s">
        <v>556</v>
      </c>
      <c r="B636" s="696" t="s">
        <v>557</v>
      </c>
      <c r="C636" s="699" t="s">
        <v>574</v>
      </c>
      <c r="D636" s="720" t="s">
        <v>3570</v>
      </c>
      <c r="E636" s="699" t="s">
        <v>3571</v>
      </c>
      <c r="F636" s="720" t="s">
        <v>3572</v>
      </c>
      <c r="G636" s="699" t="s">
        <v>3382</v>
      </c>
      <c r="H636" s="699" t="s">
        <v>3383</v>
      </c>
      <c r="I636" s="711">
        <v>1253.99</v>
      </c>
      <c r="J636" s="711">
        <v>2</v>
      </c>
      <c r="K636" s="712">
        <v>2507.9899999999998</v>
      </c>
    </row>
    <row r="637" spans="1:11" ht="14.4" customHeight="1" x14ac:dyDescent="0.3">
      <c r="A637" s="695" t="s">
        <v>556</v>
      </c>
      <c r="B637" s="696" t="s">
        <v>557</v>
      </c>
      <c r="C637" s="699" t="s">
        <v>574</v>
      </c>
      <c r="D637" s="720" t="s">
        <v>3570</v>
      </c>
      <c r="E637" s="699" t="s">
        <v>3571</v>
      </c>
      <c r="F637" s="720" t="s">
        <v>3572</v>
      </c>
      <c r="G637" s="699" t="s">
        <v>3384</v>
      </c>
      <c r="H637" s="699" t="s">
        <v>3385</v>
      </c>
      <c r="I637" s="711">
        <v>2453.2800000000002</v>
      </c>
      <c r="J637" s="711">
        <v>4</v>
      </c>
      <c r="K637" s="712">
        <v>9813.130000000001</v>
      </c>
    </row>
    <row r="638" spans="1:11" ht="14.4" customHeight="1" x14ac:dyDescent="0.3">
      <c r="A638" s="695" t="s">
        <v>556</v>
      </c>
      <c r="B638" s="696" t="s">
        <v>557</v>
      </c>
      <c r="C638" s="699" t="s">
        <v>574</v>
      </c>
      <c r="D638" s="720" t="s">
        <v>3570</v>
      </c>
      <c r="E638" s="699" t="s">
        <v>3571</v>
      </c>
      <c r="F638" s="720" t="s">
        <v>3572</v>
      </c>
      <c r="G638" s="699" t="s">
        <v>3386</v>
      </c>
      <c r="H638" s="699" t="s">
        <v>3387</v>
      </c>
      <c r="I638" s="711">
        <v>722.76</v>
      </c>
      <c r="J638" s="711">
        <v>2</v>
      </c>
      <c r="K638" s="712">
        <v>1445.53</v>
      </c>
    </row>
    <row r="639" spans="1:11" ht="14.4" customHeight="1" x14ac:dyDescent="0.3">
      <c r="A639" s="695" t="s">
        <v>556</v>
      </c>
      <c r="B639" s="696" t="s">
        <v>557</v>
      </c>
      <c r="C639" s="699" t="s">
        <v>574</v>
      </c>
      <c r="D639" s="720" t="s">
        <v>3570</v>
      </c>
      <c r="E639" s="699" t="s">
        <v>3571</v>
      </c>
      <c r="F639" s="720" t="s">
        <v>3572</v>
      </c>
      <c r="G639" s="699" t="s">
        <v>3388</v>
      </c>
      <c r="H639" s="699" t="s">
        <v>3389</v>
      </c>
      <c r="I639" s="711">
        <v>1247.1550000000002</v>
      </c>
      <c r="J639" s="711">
        <v>2</v>
      </c>
      <c r="K639" s="712">
        <v>2494.3100000000004</v>
      </c>
    </row>
    <row r="640" spans="1:11" ht="14.4" customHeight="1" x14ac:dyDescent="0.3">
      <c r="A640" s="695" t="s">
        <v>556</v>
      </c>
      <c r="B640" s="696" t="s">
        <v>557</v>
      </c>
      <c r="C640" s="699" t="s">
        <v>574</v>
      </c>
      <c r="D640" s="720" t="s">
        <v>3570</v>
      </c>
      <c r="E640" s="699" t="s">
        <v>3571</v>
      </c>
      <c r="F640" s="720" t="s">
        <v>3572</v>
      </c>
      <c r="G640" s="699" t="s">
        <v>3390</v>
      </c>
      <c r="H640" s="699" t="s">
        <v>3391</v>
      </c>
      <c r="I640" s="711">
        <v>1421.59</v>
      </c>
      <c r="J640" s="711">
        <v>4</v>
      </c>
      <c r="K640" s="712">
        <v>5686.34</v>
      </c>
    </row>
    <row r="641" spans="1:11" ht="14.4" customHeight="1" x14ac:dyDescent="0.3">
      <c r="A641" s="695" t="s">
        <v>556</v>
      </c>
      <c r="B641" s="696" t="s">
        <v>557</v>
      </c>
      <c r="C641" s="699" t="s">
        <v>574</v>
      </c>
      <c r="D641" s="720" t="s">
        <v>3570</v>
      </c>
      <c r="E641" s="699" t="s">
        <v>3571</v>
      </c>
      <c r="F641" s="720" t="s">
        <v>3572</v>
      </c>
      <c r="G641" s="699" t="s">
        <v>3392</v>
      </c>
      <c r="H641" s="699" t="s">
        <v>3393</v>
      </c>
      <c r="I641" s="711">
        <v>433.21</v>
      </c>
      <c r="J641" s="711">
        <v>2</v>
      </c>
      <c r="K641" s="712">
        <v>866.42</v>
      </c>
    </row>
    <row r="642" spans="1:11" ht="14.4" customHeight="1" x14ac:dyDescent="0.3">
      <c r="A642" s="695" t="s">
        <v>556</v>
      </c>
      <c r="B642" s="696" t="s">
        <v>557</v>
      </c>
      <c r="C642" s="699" t="s">
        <v>574</v>
      </c>
      <c r="D642" s="720" t="s">
        <v>3570</v>
      </c>
      <c r="E642" s="699" t="s">
        <v>3571</v>
      </c>
      <c r="F642" s="720" t="s">
        <v>3572</v>
      </c>
      <c r="G642" s="699" t="s">
        <v>3394</v>
      </c>
      <c r="H642" s="699" t="s">
        <v>3395</v>
      </c>
      <c r="I642" s="711">
        <v>3859.2</v>
      </c>
      <c r="J642" s="711">
        <v>1</v>
      </c>
      <c r="K642" s="712">
        <v>3859.2</v>
      </c>
    </row>
    <row r="643" spans="1:11" ht="14.4" customHeight="1" x14ac:dyDescent="0.3">
      <c r="A643" s="695" t="s">
        <v>556</v>
      </c>
      <c r="B643" s="696" t="s">
        <v>557</v>
      </c>
      <c r="C643" s="699" t="s">
        <v>574</v>
      </c>
      <c r="D643" s="720" t="s">
        <v>3570</v>
      </c>
      <c r="E643" s="699" t="s">
        <v>3571</v>
      </c>
      <c r="F643" s="720" t="s">
        <v>3572</v>
      </c>
      <c r="G643" s="699" t="s">
        <v>3396</v>
      </c>
      <c r="H643" s="699" t="s">
        <v>3397</v>
      </c>
      <c r="I643" s="711">
        <v>9275</v>
      </c>
      <c r="J643" s="711">
        <v>1</v>
      </c>
      <c r="K643" s="712">
        <v>9275</v>
      </c>
    </row>
    <row r="644" spans="1:11" ht="14.4" customHeight="1" x14ac:dyDescent="0.3">
      <c r="A644" s="695" t="s">
        <v>556</v>
      </c>
      <c r="B644" s="696" t="s">
        <v>557</v>
      </c>
      <c r="C644" s="699" t="s">
        <v>574</v>
      </c>
      <c r="D644" s="720" t="s">
        <v>3570</v>
      </c>
      <c r="E644" s="699" t="s">
        <v>3571</v>
      </c>
      <c r="F644" s="720" t="s">
        <v>3572</v>
      </c>
      <c r="G644" s="699" t="s">
        <v>3398</v>
      </c>
      <c r="H644" s="699" t="s">
        <v>3399</v>
      </c>
      <c r="I644" s="711">
        <v>1856.0999999999997</v>
      </c>
      <c r="J644" s="711">
        <v>4</v>
      </c>
      <c r="K644" s="712">
        <v>7424.4</v>
      </c>
    </row>
    <row r="645" spans="1:11" ht="14.4" customHeight="1" x14ac:dyDescent="0.3">
      <c r="A645" s="695" t="s">
        <v>556</v>
      </c>
      <c r="B645" s="696" t="s">
        <v>557</v>
      </c>
      <c r="C645" s="699" t="s">
        <v>574</v>
      </c>
      <c r="D645" s="720" t="s">
        <v>3570</v>
      </c>
      <c r="E645" s="699" t="s">
        <v>3571</v>
      </c>
      <c r="F645" s="720" t="s">
        <v>3572</v>
      </c>
      <c r="G645" s="699" t="s">
        <v>3400</v>
      </c>
      <c r="H645" s="699" t="s">
        <v>3401</v>
      </c>
      <c r="I645" s="711">
        <v>3510.3</v>
      </c>
      <c r="J645" s="711">
        <v>1</v>
      </c>
      <c r="K645" s="712">
        <v>3510.3</v>
      </c>
    </row>
    <row r="646" spans="1:11" ht="14.4" customHeight="1" x14ac:dyDescent="0.3">
      <c r="A646" s="695" t="s">
        <v>556</v>
      </c>
      <c r="B646" s="696" t="s">
        <v>557</v>
      </c>
      <c r="C646" s="699" t="s">
        <v>574</v>
      </c>
      <c r="D646" s="720" t="s">
        <v>3570</v>
      </c>
      <c r="E646" s="699" t="s">
        <v>3571</v>
      </c>
      <c r="F646" s="720" t="s">
        <v>3572</v>
      </c>
      <c r="G646" s="699" t="s">
        <v>3402</v>
      </c>
      <c r="H646" s="699" t="s">
        <v>3403</v>
      </c>
      <c r="I646" s="711">
        <v>3050.95</v>
      </c>
      <c r="J646" s="711">
        <v>1</v>
      </c>
      <c r="K646" s="712">
        <v>3050.95</v>
      </c>
    </row>
    <row r="647" spans="1:11" ht="14.4" customHeight="1" x14ac:dyDescent="0.3">
      <c r="A647" s="695" t="s">
        <v>556</v>
      </c>
      <c r="B647" s="696" t="s">
        <v>557</v>
      </c>
      <c r="C647" s="699" t="s">
        <v>574</v>
      </c>
      <c r="D647" s="720" t="s">
        <v>3570</v>
      </c>
      <c r="E647" s="699" t="s">
        <v>3571</v>
      </c>
      <c r="F647" s="720" t="s">
        <v>3572</v>
      </c>
      <c r="G647" s="699" t="s">
        <v>3404</v>
      </c>
      <c r="H647" s="699" t="s">
        <v>3405</v>
      </c>
      <c r="I647" s="711">
        <v>875.51</v>
      </c>
      <c r="J647" s="711">
        <v>2</v>
      </c>
      <c r="K647" s="712">
        <v>1751.02</v>
      </c>
    </row>
    <row r="648" spans="1:11" ht="14.4" customHeight="1" x14ac:dyDescent="0.3">
      <c r="A648" s="695" t="s">
        <v>556</v>
      </c>
      <c r="B648" s="696" t="s">
        <v>557</v>
      </c>
      <c r="C648" s="699" t="s">
        <v>574</v>
      </c>
      <c r="D648" s="720" t="s">
        <v>3570</v>
      </c>
      <c r="E648" s="699" t="s">
        <v>3571</v>
      </c>
      <c r="F648" s="720" t="s">
        <v>3572</v>
      </c>
      <c r="G648" s="699" t="s">
        <v>3406</v>
      </c>
      <c r="H648" s="699" t="s">
        <v>3407</v>
      </c>
      <c r="I648" s="711">
        <v>9169.36</v>
      </c>
      <c r="J648" s="711">
        <v>1</v>
      </c>
      <c r="K648" s="712">
        <v>9169.36</v>
      </c>
    </row>
    <row r="649" spans="1:11" ht="14.4" customHeight="1" x14ac:dyDescent="0.3">
      <c r="A649" s="695" t="s">
        <v>556</v>
      </c>
      <c r="B649" s="696" t="s">
        <v>557</v>
      </c>
      <c r="C649" s="699" t="s">
        <v>574</v>
      </c>
      <c r="D649" s="720" t="s">
        <v>3570</v>
      </c>
      <c r="E649" s="699" t="s">
        <v>3571</v>
      </c>
      <c r="F649" s="720" t="s">
        <v>3572</v>
      </c>
      <c r="G649" s="699" t="s">
        <v>3408</v>
      </c>
      <c r="H649" s="699" t="s">
        <v>3409</v>
      </c>
      <c r="I649" s="711">
        <v>8920.0400000000009</v>
      </c>
      <c r="J649" s="711">
        <v>2</v>
      </c>
      <c r="K649" s="712">
        <v>17840.080000000002</v>
      </c>
    </row>
    <row r="650" spans="1:11" ht="14.4" customHeight="1" x14ac:dyDescent="0.3">
      <c r="A650" s="695" t="s">
        <v>556</v>
      </c>
      <c r="B650" s="696" t="s">
        <v>557</v>
      </c>
      <c r="C650" s="699" t="s">
        <v>574</v>
      </c>
      <c r="D650" s="720" t="s">
        <v>3570</v>
      </c>
      <c r="E650" s="699" t="s">
        <v>3571</v>
      </c>
      <c r="F650" s="720" t="s">
        <v>3572</v>
      </c>
      <c r="G650" s="699" t="s">
        <v>3410</v>
      </c>
      <c r="H650" s="699" t="s">
        <v>3411</v>
      </c>
      <c r="I650" s="711">
        <v>1655.28</v>
      </c>
      <c r="J650" s="711">
        <v>3</v>
      </c>
      <c r="K650" s="712">
        <v>4965.84</v>
      </c>
    </row>
    <row r="651" spans="1:11" ht="14.4" customHeight="1" x14ac:dyDescent="0.3">
      <c r="A651" s="695" t="s">
        <v>556</v>
      </c>
      <c r="B651" s="696" t="s">
        <v>557</v>
      </c>
      <c r="C651" s="699" t="s">
        <v>574</v>
      </c>
      <c r="D651" s="720" t="s">
        <v>3570</v>
      </c>
      <c r="E651" s="699" t="s">
        <v>3571</v>
      </c>
      <c r="F651" s="720" t="s">
        <v>3572</v>
      </c>
      <c r="G651" s="699" t="s">
        <v>3412</v>
      </c>
      <c r="H651" s="699" t="s">
        <v>3413</v>
      </c>
      <c r="I651" s="711">
        <v>560.88</v>
      </c>
      <c r="J651" s="711">
        <v>1</v>
      </c>
      <c r="K651" s="712">
        <v>560.88</v>
      </c>
    </row>
    <row r="652" spans="1:11" ht="14.4" customHeight="1" x14ac:dyDescent="0.3">
      <c r="A652" s="695" t="s">
        <v>556</v>
      </c>
      <c r="B652" s="696" t="s">
        <v>557</v>
      </c>
      <c r="C652" s="699" t="s">
        <v>574</v>
      </c>
      <c r="D652" s="720" t="s">
        <v>3570</v>
      </c>
      <c r="E652" s="699" t="s">
        <v>3571</v>
      </c>
      <c r="F652" s="720" t="s">
        <v>3572</v>
      </c>
      <c r="G652" s="699" t="s">
        <v>3414</v>
      </c>
      <c r="H652" s="699" t="s">
        <v>3415</v>
      </c>
      <c r="I652" s="711">
        <v>6900.43</v>
      </c>
      <c r="J652" s="711">
        <v>1</v>
      </c>
      <c r="K652" s="712">
        <v>6900.43</v>
      </c>
    </row>
    <row r="653" spans="1:11" ht="14.4" customHeight="1" x14ac:dyDescent="0.3">
      <c r="A653" s="695" t="s">
        <v>556</v>
      </c>
      <c r="B653" s="696" t="s">
        <v>557</v>
      </c>
      <c r="C653" s="699" t="s">
        <v>574</v>
      </c>
      <c r="D653" s="720" t="s">
        <v>3570</v>
      </c>
      <c r="E653" s="699" t="s">
        <v>3571</v>
      </c>
      <c r="F653" s="720" t="s">
        <v>3572</v>
      </c>
      <c r="G653" s="699" t="s">
        <v>3416</v>
      </c>
      <c r="H653" s="699" t="s">
        <v>3417</v>
      </c>
      <c r="I653" s="711">
        <v>344.28</v>
      </c>
      <c r="J653" s="711">
        <v>1</v>
      </c>
      <c r="K653" s="712">
        <v>344.28</v>
      </c>
    </row>
    <row r="654" spans="1:11" ht="14.4" customHeight="1" x14ac:dyDescent="0.3">
      <c r="A654" s="695" t="s">
        <v>556</v>
      </c>
      <c r="B654" s="696" t="s">
        <v>557</v>
      </c>
      <c r="C654" s="699" t="s">
        <v>574</v>
      </c>
      <c r="D654" s="720" t="s">
        <v>3570</v>
      </c>
      <c r="E654" s="699" t="s">
        <v>3571</v>
      </c>
      <c r="F654" s="720" t="s">
        <v>3572</v>
      </c>
      <c r="G654" s="699" t="s">
        <v>3418</v>
      </c>
      <c r="H654" s="699" t="s">
        <v>3419</v>
      </c>
      <c r="I654" s="711">
        <v>10624.814999999999</v>
      </c>
      <c r="J654" s="711">
        <v>2</v>
      </c>
      <c r="K654" s="712">
        <v>21249.629999999997</v>
      </c>
    </row>
    <row r="655" spans="1:11" ht="14.4" customHeight="1" x14ac:dyDescent="0.3">
      <c r="A655" s="695" t="s">
        <v>556</v>
      </c>
      <c r="B655" s="696" t="s">
        <v>557</v>
      </c>
      <c r="C655" s="699" t="s">
        <v>574</v>
      </c>
      <c r="D655" s="720" t="s">
        <v>3570</v>
      </c>
      <c r="E655" s="699" t="s">
        <v>3571</v>
      </c>
      <c r="F655" s="720" t="s">
        <v>3572</v>
      </c>
      <c r="G655" s="699" t="s">
        <v>3420</v>
      </c>
      <c r="H655" s="699" t="s">
        <v>3421</v>
      </c>
      <c r="I655" s="711">
        <v>5531.95</v>
      </c>
      <c r="J655" s="711">
        <v>1</v>
      </c>
      <c r="K655" s="712">
        <v>5531.95</v>
      </c>
    </row>
    <row r="656" spans="1:11" ht="14.4" customHeight="1" x14ac:dyDescent="0.3">
      <c r="A656" s="695" t="s">
        <v>556</v>
      </c>
      <c r="B656" s="696" t="s">
        <v>557</v>
      </c>
      <c r="C656" s="699" t="s">
        <v>574</v>
      </c>
      <c r="D656" s="720" t="s">
        <v>3570</v>
      </c>
      <c r="E656" s="699" t="s">
        <v>3571</v>
      </c>
      <c r="F656" s="720" t="s">
        <v>3572</v>
      </c>
      <c r="G656" s="699" t="s">
        <v>3422</v>
      </c>
      <c r="H656" s="699" t="s">
        <v>3423</v>
      </c>
      <c r="I656" s="711">
        <v>1098.9524999999999</v>
      </c>
      <c r="J656" s="711">
        <v>6</v>
      </c>
      <c r="K656" s="712">
        <v>6593.7199999999993</v>
      </c>
    </row>
    <row r="657" spans="1:11" ht="14.4" customHeight="1" x14ac:dyDescent="0.3">
      <c r="A657" s="695" t="s">
        <v>556</v>
      </c>
      <c r="B657" s="696" t="s">
        <v>557</v>
      </c>
      <c r="C657" s="699" t="s">
        <v>574</v>
      </c>
      <c r="D657" s="720" t="s">
        <v>3570</v>
      </c>
      <c r="E657" s="699" t="s">
        <v>3571</v>
      </c>
      <c r="F657" s="720" t="s">
        <v>3572</v>
      </c>
      <c r="G657" s="699" t="s">
        <v>3424</v>
      </c>
      <c r="H657" s="699" t="s">
        <v>3425</v>
      </c>
      <c r="I657" s="711">
        <v>4208.2</v>
      </c>
      <c r="J657" s="711">
        <v>1</v>
      </c>
      <c r="K657" s="712">
        <v>4208.2</v>
      </c>
    </row>
    <row r="658" spans="1:11" ht="14.4" customHeight="1" x14ac:dyDescent="0.3">
      <c r="A658" s="695" t="s">
        <v>556</v>
      </c>
      <c r="B658" s="696" t="s">
        <v>557</v>
      </c>
      <c r="C658" s="699" t="s">
        <v>574</v>
      </c>
      <c r="D658" s="720" t="s">
        <v>3570</v>
      </c>
      <c r="E658" s="699" t="s">
        <v>3571</v>
      </c>
      <c r="F658" s="720" t="s">
        <v>3572</v>
      </c>
      <c r="G658" s="699" t="s">
        <v>3426</v>
      </c>
      <c r="H658" s="699" t="s">
        <v>3427</v>
      </c>
      <c r="I658" s="711">
        <v>11408</v>
      </c>
      <c r="J658" s="711">
        <v>1</v>
      </c>
      <c r="K658" s="712">
        <v>11408</v>
      </c>
    </row>
    <row r="659" spans="1:11" ht="14.4" customHeight="1" x14ac:dyDescent="0.3">
      <c r="A659" s="695" t="s">
        <v>556</v>
      </c>
      <c r="B659" s="696" t="s">
        <v>557</v>
      </c>
      <c r="C659" s="699" t="s">
        <v>574</v>
      </c>
      <c r="D659" s="720" t="s">
        <v>3570</v>
      </c>
      <c r="E659" s="699" t="s">
        <v>3571</v>
      </c>
      <c r="F659" s="720" t="s">
        <v>3572</v>
      </c>
      <c r="G659" s="699" t="s">
        <v>3428</v>
      </c>
      <c r="H659" s="699" t="s">
        <v>3429</v>
      </c>
      <c r="I659" s="711">
        <v>1856.1</v>
      </c>
      <c r="J659" s="711">
        <v>2</v>
      </c>
      <c r="K659" s="712">
        <v>3712.2</v>
      </c>
    </row>
    <row r="660" spans="1:11" ht="14.4" customHeight="1" x14ac:dyDescent="0.3">
      <c r="A660" s="695" t="s">
        <v>556</v>
      </c>
      <c r="B660" s="696" t="s">
        <v>557</v>
      </c>
      <c r="C660" s="699" t="s">
        <v>574</v>
      </c>
      <c r="D660" s="720" t="s">
        <v>3570</v>
      </c>
      <c r="E660" s="699" t="s">
        <v>3571</v>
      </c>
      <c r="F660" s="720" t="s">
        <v>3572</v>
      </c>
      <c r="G660" s="699" t="s">
        <v>3430</v>
      </c>
      <c r="H660" s="699" t="s">
        <v>3431</v>
      </c>
      <c r="I660" s="711">
        <v>4311.4399999999996</v>
      </c>
      <c r="J660" s="711">
        <v>1</v>
      </c>
      <c r="K660" s="712">
        <v>4311.4399999999996</v>
      </c>
    </row>
    <row r="661" spans="1:11" ht="14.4" customHeight="1" x14ac:dyDescent="0.3">
      <c r="A661" s="695" t="s">
        <v>556</v>
      </c>
      <c r="B661" s="696" t="s">
        <v>557</v>
      </c>
      <c r="C661" s="699" t="s">
        <v>574</v>
      </c>
      <c r="D661" s="720" t="s">
        <v>3570</v>
      </c>
      <c r="E661" s="699" t="s">
        <v>3571</v>
      </c>
      <c r="F661" s="720" t="s">
        <v>3572</v>
      </c>
      <c r="G661" s="699" t="s">
        <v>3432</v>
      </c>
      <c r="H661" s="699" t="s">
        <v>3433</v>
      </c>
      <c r="I661" s="711">
        <v>499.32</v>
      </c>
      <c r="J661" s="711">
        <v>1</v>
      </c>
      <c r="K661" s="712">
        <v>499.32</v>
      </c>
    </row>
    <row r="662" spans="1:11" ht="14.4" customHeight="1" x14ac:dyDescent="0.3">
      <c r="A662" s="695" t="s">
        <v>556</v>
      </c>
      <c r="B662" s="696" t="s">
        <v>557</v>
      </c>
      <c r="C662" s="699" t="s">
        <v>574</v>
      </c>
      <c r="D662" s="720" t="s">
        <v>3570</v>
      </c>
      <c r="E662" s="699" t="s">
        <v>3571</v>
      </c>
      <c r="F662" s="720" t="s">
        <v>3572</v>
      </c>
      <c r="G662" s="699" t="s">
        <v>3434</v>
      </c>
      <c r="H662" s="699" t="s">
        <v>3435</v>
      </c>
      <c r="I662" s="711">
        <v>1385.75</v>
      </c>
      <c r="J662" s="711">
        <v>1</v>
      </c>
      <c r="K662" s="712">
        <v>1385.75</v>
      </c>
    </row>
    <row r="663" spans="1:11" ht="14.4" customHeight="1" x14ac:dyDescent="0.3">
      <c r="A663" s="695" t="s">
        <v>556</v>
      </c>
      <c r="B663" s="696" t="s">
        <v>557</v>
      </c>
      <c r="C663" s="699" t="s">
        <v>574</v>
      </c>
      <c r="D663" s="720" t="s">
        <v>3570</v>
      </c>
      <c r="E663" s="699" t="s">
        <v>3571</v>
      </c>
      <c r="F663" s="720" t="s">
        <v>3572</v>
      </c>
      <c r="G663" s="699" t="s">
        <v>3436</v>
      </c>
      <c r="H663" s="699" t="s">
        <v>3437</v>
      </c>
      <c r="I663" s="711">
        <v>1839.1</v>
      </c>
      <c r="J663" s="711">
        <v>2</v>
      </c>
      <c r="K663" s="712">
        <v>3678.2</v>
      </c>
    </row>
    <row r="664" spans="1:11" ht="14.4" customHeight="1" x14ac:dyDescent="0.3">
      <c r="A664" s="695" t="s">
        <v>556</v>
      </c>
      <c r="B664" s="696" t="s">
        <v>557</v>
      </c>
      <c r="C664" s="699" t="s">
        <v>574</v>
      </c>
      <c r="D664" s="720" t="s">
        <v>3570</v>
      </c>
      <c r="E664" s="699" t="s">
        <v>3571</v>
      </c>
      <c r="F664" s="720" t="s">
        <v>3572</v>
      </c>
      <c r="G664" s="699" t="s">
        <v>3438</v>
      </c>
      <c r="H664" s="699" t="s">
        <v>3439</v>
      </c>
      <c r="I664" s="711">
        <v>128.93</v>
      </c>
      <c r="J664" s="711">
        <v>20</v>
      </c>
      <c r="K664" s="712">
        <v>2578.69</v>
      </c>
    </row>
    <row r="665" spans="1:11" ht="14.4" customHeight="1" x14ac:dyDescent="0.3">
      <c r="A665" s="695" t="s">
        <v>556</v>
      </c>
      <c r="B665" s="696" t="s">
        <v>557</v>
      </c>
      <c r="C665" s="699" t="s">
        <v>574</v>
      </c>
      <c r="D665" s="720" t="s">
        <v>3570</v>
      </c>
      <c r="E665" s="699" t="s">
        <v>3571</v>
      </c>
      <c r="F665" s="720" t="s">
        <v>3572</v>
      </c>
      <c r="G665" s="699" t="s">
        <v>3440</v>
      </c>
      <c r="H665" s="699" t="s">
        <v>3441</v>
      </c>
      <c r="I665" s="711">
        <v>3859.2</v>
      </c>
      <c r="J665" s="711">
        <v>1</v>
      </c>
      <c r="K665" s="712">
        <v>3859.2</v>
      </c>
    </row>
    <row r="666" spans="1:11" ht="14.4" customHeight="1" x14ac:dyDescent="0.3">
      <c r="A666" s="695" t="s">
        <v>556</v>
      </c>
      <c r="B666" s="696" t="s">
        <v>557</v>
      </c>
      <c r="C666" s="699" t="s">
        <v>574</v>
      </c>
      <c r="D666" s="720" t="s">
        <v>3570</v>
      </c>
      <c r="E666" s="699" t="s">
        <v>3571</v>
      </c>
      <c r="F666" s="720" t="s">
        <v>3572</v>
      </c>
      <c r="G666" s="699" t="s">
        <v>3442</v>
      </c>
      <c r="H666" s="699" t="s">
        <v>3443</v>
      </c>
      <c r="I666" s="711">
        <v>499.3</v>
      </c>
      <c r="J666" s="711">
        <v>1</v>
      </c>
      <c r="K666" s="712">
        <v>499.3</v>
      </c>
    </row>
    <row r="667" spans="1:11" ht="14.4" customHeight="1" x14ac:dyDescent="0.3">
      <c r="A667" s="695" t="s">
        <v>556</v>
      </c>
      <c r="B667" s="696" t="s">
        <v>557</v>
      </c>
      <c r="C667" s="699" t="s">
        <v>574</v>
      </c>
      <c r="D667" s="720" t="s">
        <v>3570</v>
      </c>
      <c r="E667" s="699" t="s">
        <v>3571</v>
      </c>
      <c r="F667" s="720" t="s">
        <v>3572</v>
      </c>
      <c r="G667" s="699" t="s">
        <v>3444</v>
      </c>
      <c r="H667" s="699" t="s">
        <v>3445</v>
      </c>
      <c r="I667" s="711">
        <v>1839.12</v>
      </c>
      <c r="J667" s="711">
        <v>1</v>
      </c>
      <c r="K667" s="712">
        <v>1839.12</v>
      </c>
    </row>
    <row r="668" spans="1:11" ht="14.4" customHeight="1" x14ac:dyDescent="0.3">
      <c r="A668" s="695" t="s">
        <v>556</v>
      </c>
      <c r="B668" s="696" t="s">
        <v>557</v>
      </c>
      <c r="C668" s="699" t="s">
        <v>574</v>
      </c>
      <c r="D668" s="720" t="s">
        <v>3570</v>
      </c>
      <c r="E668" s="699" t="s">
        <v>3571</v>
      </c>
      <c r="F668" s="720" t="s">
        <v>3572</v>
      </c>
      <c r="G668" s="699" t="s">
        <v>3446</v>
      </c>
      <c r="H668" s="699" t="s">
        <v>3447</v>
      </c>
      <c r="I668" s="711">
        <v>454.17</v>
      </c>
      <c r="J668" s="711">
        <v>10</v>
      </c>
      <c r="K668" s="712">
        <v>4541.7</v>
      </c>
    </row>
    <row r="669" spans="1:11" ht="14.4" customHeight="1" x14ac:dyDescent="0.3">
      <c r="A669" s="695" t="s">
        <v>556</v>
      </c>
      <c r="B669" s="696" t="s">
        <v>557</v>
      </c>
      <c r="C669" s="699" t="s">
        <v>574</v>
      </c>
      <c r="D669" s="720" t="s">
        <v>3570</v>
      </c>
      <c r="E669" s="699" t="s">
        <v>3571</v>
      </c>
      <c r="F669" s="720" t="s">
        <v>3572</v>
      </c>
      <c r="G669" s="699" t="s">
        <v>3448</v>
      </c>
      <c r="H669" s="699" t="s">
        <v>3449</v>
      </c>
      <c r="I669" s="711">
        <v>473.1</v>
      </c>
      <c r="J669" s="711">
        <v>1</v>
      </c>
      <c r="K669" s="712">
        <v>473.1</v>
      </c>
    </row>
    <row r="670" spans="1:11" ht="14.4" customHeight="1" x14ac:dyDescent="0.3">
      <c r="A670" s="695" t="s">
        <v>556</v>
      </c>
      <c r="B670" s="696" t="s">
        <v>557</v>
      </c>
      <c r="C670" s="699" t="s">
        <v>574</v>
      </c>
      <c r="D670" s="720" t="s">
        <v>3570</v>
      </c>
      <c r="E670" s="699" t="s">
        <v>3571</v>
      </c>
      <c r="F670" s="720" t="s">
        <v>3572</v>
      </c>
      <c r="G670" s="699" t="s">
        <v>3450</v>
      </c>
      <c r="H670" s="699" t="s">
        <v>3451</v>
      </c>
      <c r="I670" s="711">
        <v>692.22</v>
      </c>
      <c r="J670" s="711">
        <v>3</v>
      </c>
      <c r="K670" s="712">
        <v>2076.66</v>
      </c>
    </row>
    <row r="671" spans="1:11" ht="14.4" customHeight="1" x14ac:dyDescent="0.3">
      <c r="A671" s="695" t="s">
        <v>556</v>
      </c>
      <c r="B671" s="696" t="s">
        <v>557</v>
      </c>
      <c r="C671" s="699" t="s">
        <v>574</v>
      </c>
      <c r="D671" s="720" t="s">
        <v>3570</v>
      </c>
      <c r="E671" s="699" t="s">
        <v>3571</v>
      </c>
      <c r="F671" s="720" t="s">
        <v>3572</v>
      </c>
      <c r="G671" s="699" t="s">
        <v>3452</v>
      </c>
      <c r="H671" s="699" t="s">
        <v>3453</v>
      </c>
      <c r="I671" s="711">
        <v>730.72500000000002</v>
      </c>
      <c r="J671" s="711">
        <v>6</v>
      </c>
      <c r="K671" s="712">
        <v>4384.43</v>
      </c>
    </row>
    <row r="672" spans="1:11" ht="14.4" customHeight="1" x14ac:dyDescent="0.3">
      <c r="A672" s="695" t="s">
        <v>556</v>
      </c>
      <c r="B672" s="696" t="s">
        <v>557</v>
      </c>
      <c r="C672" s="699" t="s">
        <v>574</v>
      </c>
      <c r="D672" s="720" t="s">
        <v>3570</v>
      </c>
      <c r="E672" s="699" t="s">
        <v>3571</v>
      </c>
      <c r="F672" s="720" t="s">
        <v>3572</v>
      </c>
      <c r="G672" s="699" t="s">
        <v>3454</v>
      </c>
      <c r="H672" s="699" t="s">
        <v>3455</v>
      </c>
      <c r="I672" s="711">
        <v>1247.1600000000001</v>
      </c>
      <c r="J672" s="711">
        <v>1</v>
      </c>
      <c r="K672" s="712">
        <v>1247.1600000000001</v>
      </c>
    </row>
    <row r="673" spans="1:11" ht="14.4" customHeight="1" x14ac:dyDescent="0.3">
      <c r="A673" s="695" t="s">
        <v>556</v>
      </c>
      <c r="B673" s="696" t="s">
        <v>557</v>
      </c>
      <c r="C673" s="699" t="s">
        <v>574</v>
      </c>
      <c r="D673" s="720" t="s">
        <v>3570</v>
      </c>
      <c r="E673" s="699" t="s">
        <v>3571</v>
      </c>
      <c r="F673" s="720" t="s">
        <v>3572</v>
      </c>
      <c r="G673" s="699" t="s">
        <v>3456</v>
      </c>
      <c r="H673" s="699" t="s">
        <v>3457</v>
      </c>
      <c r="I673" s="711">
        <v>1253.99</v>
      </c>
      <c r="J673" s="711">
        <v>1</v>
      </c>
      <c r="K673" s="712">
        <v>1253.99</v>
      </c>
    </row>
    <row r="674" spans="1:11" ht="14.4" customHeight="1" x14ac:dyDescent="0.3">
      <c r="A674" s="695" t="s">
        <v>556</v>
      </c>
      <c r="B674" s="696" t="s">
        <v>557</v>
      </c>
      <c r="C674" s="699" t="s">
        <v>574</v>
      </c>
      <c r="D674" s="720" t="s">
        <v>3570</v>
      </c>
      <c r="E674" s="699" t="s">
        <v>3571</v>
      </c>
      <c r="F674" s="720" t="s">
        <v>3572</v>
      </c>
      <c r="G674" s="699" t="s">
        <v>3458</v>
      </c>
      <c r="H674" s="699" t="s">
        <v>3459</v>
      </c>
      <c r="I674" s="711">
        <v>527.85</v>
      </c>
      <c r="J674" s="711">
        <v>1</v>
      </c>
      <c r="K674" s="712">
        <v>527.85</v>
      </c>
    </row>
    <row r="675" spans="1:11" ht="14.4" customHeight="1" x14ac:dyDescent="0.3">
      <c r="A675" s="695" t="s">
        <v>556</v>
      </c>
      <c r="B675" s="696" t="s">
        <v>557</v>
      </c>
      <c r="C675" s="699" t="s">
        <v>574</v>
      </c>
      <c r="D675" s="720" t="s">
        <v>3570</v>
      </c>
      <c r="E675" s="699" t="s">
        <v>3571</v>
      </c>
      <c r="F675" s="720" t="s">
        <v>3572</v>
      </c>
      <c r="G675" s="699" t="s">
        <v>3460</v>
      </c>
      <c r="H675" s="699" t="s">
        <v>3461</v>
      </c>
      <c r="I675" s="711">
        <v>2162</v>
      </c>
      <c r="J675" s="711">
        <v>1</v>
      </c>
      <c r="K675" s="712">
        <v>2162</v>
      </c>
    </row>
    <row r="676" spans="1:11" ht="14.4" customHeight="1" x14ac:dyDescent="0.3">
      <c r="A676" s="695" t="s">
        <v>556</v>
      </c>
      <c r="B676" s="696" t="s">
        <v>557</v>
      </c>
      <c r="C676" s="699" t="s">
        <v>574</v>
      </c>
      <c r="D676" s="720" t="s">
        <v>3570</v>
      </c>
      <c r="E676" s="699" t="s">
        <v>3571</v>
      </c>
      <c r="F676" s="720" t="s">
        <v>3572</v>
      </c>
      <c r="G676" s="699" t="s">
        <v>3462</v>
      </c>
      <c r="H676" s="699" t="s">
        <v>3463</v>
      </c>
      <c r="I676" s="711">
        <v>1029.43</v>
      </c>
      <c r="J676" s="711">
        <v>1</v>
      </c>
      <c r="K676" s="712">
        <v>1029.43</v>
      </c>
    </row>
    <row r="677" spans="1:11" ht="14.4" customHeight="1" x14ac:dyDescent="0.3">
      <c r="A677" s="695" t="s">
        <v>556</v>
      </c>
      <c r="B677" s="696" t="s">
        <v>557</v>
      </c>
      <c r="C677" s="699" t="s">
        <v>574</v>
      </c>
      <c r="D677" s="720" t="s">
        <v>3570</v>
      </c>
      <c r="E677" s="699" t="s">
        <v>3571</v>
      </c>
      <c r="F677" s="720" t="s">
        <v>3572</v>
      </c>
      <c r="G677" s="699" t="s">
        <v>3464</v>
      </c>
      <c r="H677" s="699" t="s">
        <v>3465</v>
      </c>
      <c r="I677" s="711">
        <v>561.1</v>
      </c>
      <c r="J677" s="711">
        <v>1</v>
      </c>
      <c r="K677" s="712">
        <v>561.1</v>
      </c>
    </row>
    <row r="678" spans="1:11" ht="14.4" customHeight="1" x14ac:dyDescent="0.3">
      <c r="A678" s="695" t="s">
        <v>556</v>
      </c>
      <c r="B678" s="696" t="s">
        <v>557</v>
      </c>
      <c r="C678" s="699" t="s">
        <v>574</v>
      </c>
      <c r="D678" s="720" t="s">
        <v>3570</v>
      </c>
      <c r="E678" s="699" t="s">
        <v>3571</v>
      </c>
      <c r="F678" s="720" t="s">
        <v>3572</v>
      </c>
      <c r="G678" s="699" t="s">
        <v>3466</v>
      </c>
      <c r="H678" s="699" t="s">
        <v>3467</v>
      </c>
      <c r="I678" s="711">
        <v>621.29999999999995</v>
      </c>
      <c r="J678" s="711">
        <v>1</v>
      </c>
      <c r="K678" s="712">
        <v>621.29999999999995</v>
      </c>
    </row>
    <row r="679" spans="1:11" ht="14.4" customHeight="1" x14ac:dyDescent="0.3">
      <c r="A679" s="695" t="s">
        <v>556</v>
      </c>
      <c r="B679" s="696" t="s">
        <v>557</v>
      </c>
      <c r="C679" s="699" t="s">
        <v>574</v>
      </c>
      <c r="D679" s="720" t="s">
        <v>3570</v>
      </c>
      <c r="E679" s="699" t="s">
        <v>3571</v>
      </c>
      <c r="F679" s="720" t="s">
        <v>3572</v>
      </c>
      <c r="G679" s="699" t="s">
        <v>3468</v>
      </c>
      <c r="H679" s="699" t="s">
        <v>3469</v>
      </c>
      <c r="I679" s="711">
        <v>1000.5</v>
      </c>
      <c r="J679" s="711">
        <v>1</v>
      </c>
      <c r="K679" s="712">
        <v>1000.5</v>
      </c>
    </row>
    <row r="680" spans="1:11" ht="14.4" customHeight="1" x14ac:dyDescent="0.3">
      <c r="A680" s="695" t="s">
        <v>556</v>
      </c>
      <c r="B680" s="696" t="s">
        <v>557</v>
      </c>
      <c r="C680" s="699" t="s">
        <v>574</v>
      </c>
      <c r="D680" s="720" t="s">
        <v>3570</v>
      </c>
      <c r="E680" s="699" t="s">
        <v>3571</v>
      </c>
      <c r="F680" s="720" t="s">
        <v>3572</v>
      </c>
      <c r="G680" s="699" t="s">
        <v>3470</v>
      </c>
      <c r="H680" s="699" t="s">
        <v>3471</v>
      </c>
      <c r="I680" s="711">
        <v>943</v>
      </c>
      <c r="J680" s="711">
        <v>3</v>
      </c>
      <c r="K680" s="712">
        <v>2829</v>
      </c>
    </row>
    <row r="681" spans="1:11" ht="14.4" customHeight="1" x14ac:dyDescent="0.3">
      <c r="A681" s="695" t="s">
        <v>556</v>
      </c>
      <c r="B681" s="696" t="s">
        <v>557</v>
      </c>
      <c r="C681" s="699" t="s">
        <v>574</v>
      </c>
      <c r="D681" s="720" t="s">
        <v>3570</v>
      </c>
      <c r="E681" s="699" t="s">
        <v>3571</v>
      </c>
      <c r="F681" s="720" t="s">
        <v>3572</v>
      </c>
      <c r="G681" s="699" t="s">
        <v>3472</v>
      </c>
      <c r="H681" s="699" t="s">
        <v>3473</v>
      </c>
      <c r="I681" s="711">
        <v>1552.5</v>
      </c>
      <c r="J681" s="711">
        <v>1</v>
      </c>
      <c r="K681" s="712">
        <v>1552.5</v>
      </c>
    </row>
    <row r="682" spans="1:11" ht="14.4" customHeight="1" x14ac:dyDescent="0.3">
      <c r="A682" s="695" t="s">
        <v>556</v>
      </c>
      <c r="B682" s="696" t="s">
        <v>557</v>
      </c>
      <c r="C682" s="699" t="s">
        <v>574</v>
      </c>
      <c r="D682" s="720" t="s">
        <v>3570</v>
      </c>
      <c r="E682" s="699" t="s">
        <v>3571</v>
      </c>
      <c r="F682" s="720" t="s">
        <v>3572</v>
      </c>
      <c r="G682" s="699" t="s">
        <v>3474</v>
      </c>
      <c r="H682" s="699" t="s">
        <v>3475</v>
      </c>
      <c r="I682" s="711">
        <v>9139.4</v>
      </c>
      <c r="J682" s="711">
        <v>1</v>
      </c>
      <c r="K682" s="712">
        <v>9139.4</v>
      </c>
    </row>
    <row r="683" spans="1:11" ht="14.4" customHeight="1" x14ac:dyDescent="0.3">
      <c r="A683" s="695" t="s">
        <v>556</v>
      </c>
      <c r="B683" s="696" t="s">
        <v>557</v>
      </c>
      <c r="C683" s="699" t="s">
        <v>574</v>
      </c>
      <c r="D683" s="720" t="s">
        <v>3570</v>
      </c>
      <c r="E683" s="699" t="s">
        <v>3571</v>
      </c>
      <c r="F683" s="720" t="s">
        <v>3572</v>
      </c>
      <c r="G683" s="699" t="s">
        <v>3476</v>
      </c>
      <c r="H683" s="699" t="s">
        <v>3477</v>
      </c>
      <c r="I683" s="711">
        <v>851.6</v>
      </c>
      <c r="J683" s="711">
        <v>1</v>
      </c>
      <c r="K683" s="712">
        <v>851.6</v>
      </c>
    </row>
    <row r="684" spans="1:11" ht="14.4" customHeight="1" x14ac:dyDescent="0.3">
      <c r="A684" s="695" t="s">
        <v>556</v>
      </c>
      <c r="B684" s="696" t="s">
        <v>557</v>
      </c>
      <c r="C684" s="699" t="s">
        <v>574</v>
      </c>
      <c r="D684" s="720" t="s">
        <v>3570</v>
      </c>
      <c r="E684" s="699" t="s">
        <v>3571</v>
      </c>
      <c r="F684" s="720" t="s">
        <v>3572</v>
      </c>
      <c r="G684" s="699" t="s">
        <v>3478</v>
      </c>
      <c r="H684" s="699" t="s">
        <v>3479</v>
      </c>
      <c r="I684" s="711">
        <v>248.4</v>
      </c>
      <c r="J684" s="711">
        <v>3</v>
      </c>
      <c r="K684" s="712">
        <v>745.2</v>
      </c>
    </row>
    <row r="685" spans="1:11" ht="14.4" customHeight="1" x14ac:dyDescent="0.3">
      <c r="A685" s="695" t="s">
        <v>556</v>
      </c>
      <c r="B685" s="696" t="s">
        <v>557</v>
      </c>
      <c r="C685" s="699" t="s">
        <v>574</v>
      </c>
      <c r="D685" s="720" t="s">
        <v>3570</v>
      </c>
      <c r="E685" s="699" t="s">
        <v>3571</v>
      </c>
      <c r="F685" s="720" t="s">
        <v>3572</v>
      </c>
      <c r="G685" s="699" t="s">
        <v>3480</v>
      </c>
      <c r="H685" s="699" t="s">
        <v>3481</v>
      </c>
      <c r="I685" s="711">
        <v>8683.4</v>
      </c>
      <c r="J685" s="711">
        <v>1</v>
      </c>
      <c r="K685" s="712">
        <v>8683.4</v>
      </c>
    </row>
    <row r="686" spans="1:11" ht="14.4" customHeight="1" x14ac:dyDescent="0.3">
      <c r="A686" s="695" t="s">
        <v>556</v>
      </c>
      <c r="B686" s="696" t="s">
        <v>557</v>
      </c>
      <c r="C686" s="699" t="s">
        <v>574</v>
      </c>
      <c r="D686" s="720" t="s">
        <v>3570</v>
      </c>
      <c r="E686" s="699" t="s">
        <v>3571</v>
      </c>
      <c r="F686" s="720" t="s">
        <v>3572</v>
      </c>
      <c r="G686" s="699" t="s">
        <v>3482</v>
      </c>
      <c r="H686" s="699" t="s">
        <v>3483</v>
      </c>
      <c r="I686" s="711">
        <v>9660</v>
      </c>
      <c r="J686" s="711">
        <v>1</v>
      </c>
      <c r="K686" s="712">
        <v>9660</v>
      </c>
    </row>
    <row r="687" spans="1:11" ht="14.4" customHeight="1" x14ac:dyDescent="0.3">
      <c r="A687" s="695" t="s">
        <v>556</v>
      </c>
      <c r="B687" s="696" t="s">
        <v>557</v>
      </c>
      <c r="C687" s="699" t="s">
        <v>574</v>
      </c>
      <c r="D687" s="720" t="s">
        <v>3570</v>
      </c>
      <c r="E687" s="699" t="s">
        <v>3571</v>
      </c>
      <c r="F687" s="720" t="s">
        <v>3572</v>
      </c>
      <c r="G687" s="699" t="s">
        <v>3484</v>
      </c>
      <c r="H687" s="699" t="s">
        <v>3485</v>
      </c>
      <c r="I687" s="711">
        <v>7357.6</v>
      </c>
      <c r="J687" s="711">
        <v>1</v>
      </c>
      <c r="K687" s="712">
        <v>7357.6</v>
      </c>
    </row>
    <row r="688" spans="1:11" ht="14.4" customHeight="1" x14ac:dyDescent="0.3">
      <c r="A688" s="695" t="s">
        <v>556</v>
      </c>
      <c r="B688" s="696" t="s">
        <v>557</v>
      </c>
      <c r="C688" s="699" t="s">
        <v>574</v>
      </c>
      <c r="D688" s="720" t="s">
        <v>3570</v>
      </c>
      <c r="E688" s="699" t="s">
        <v>3571</v>
      </c>
      <c r="F688" s="720" t="s">
        <v>3572</v>
      </c>
      <c r="G688" s="699" t="s">
        <v>3486</v>
      </c>
      <c r="H688" s="699" t="s">
        <v>3487</v>
      </c>
      <c r="I688" s="711">
        <v>9656.9</v>
      </c>
      <c r="J688" s="711">
        <v>1</v>
      </c>
      <c r="K688" s="712">
        <v>9656.9</v>
      </c>
    </row>
    <row r="689" spans="1:11" ht="14.4" customHeight="1" x14ac:dyDescent="0.3">
      <c r="A689" s="695" t="s">
        <v>556</v>
      </c>
      <c r="B689" s="696" t="s">
        <v>557</v>
      </c>
      <c r="C689" s="699" t="s">
        <v>574</v>
      </c>
      <c r="D689" s="720" t="s">
        <v>3570</v>
      </c>
      <c r="E689" s="699" t="s">
        <v>3571</v>
      </c>
      <c r="F689" s="720" t="s">
        <v>3572</v>
      </c>
      <c r="G689" s="699" t="s">
        <v>3488</v>
      </c>
      <c r="H689" s="699" t="s">
        <v>3489</v>
      </c>
      <c r="I689" s="711">
        <v>3795</v>
      </c>
      <c r="J689" s="711">
        <v>1</v>
      </c>
      <c r="K689" s="712">
        <v>3795</v>
      </c>
    </row>
    <row r="690" spans="1:11" ht="14.4" customHeight="1" x14ac:dyDescent="0.3">
      <c r="A690" s="695" t="s">
        <v>556</v>
      </c>
      <c r="B690" s="696" t="s">
        <v>557</v>
      </c>
      <c r="C690" s="699" t="s">
        <v>574</v>
      </c>
      <c r="D690" s="720" t="s">
        <v>3570</v>
      </c>
      <c r="E690" s="699" t="s">
        <v>3571</v>
      </c>
      <c r="F690" s="720" t="s">
        <v>3572</v>
      </c>
      <c r="G690" s="699" t="s">
        <v>3490</v>
      </c>
      <c r="H690" s="699" t="s">
        <v>3491</v>
      </c>
      <c r="I690" s="711">
        <v>527.85</v>
      </c>
      <c r="J690" s="711">
        <v>1</v>
      </c>
      <c r="K690" s="712">
        <v>527.85</v>
      </c>
    </row>
    <row r="691" spans="1:11" ht="14.4" customHeight="1" x14ac:dyDescent="0.3">
      <c r="A691" s="695" t="s">
        <v>556</v>
      </c>
      <c r="B691" s="696" t="s">
        <v>557</v>
      </c>
      <c r="C691" s="699" t="s">
        <v>574</v>
      </c>
      <c r="D691" s="720" t="s">
        <v>3570</v>
      </c>
      <c r="E691" s="699" t="s">
        <v>3571</v>
      </c>
      <c r="F691" s="720" t="s">
        <v>3572</v>
      </c>
      <c r="G691" s="699" t="s">
        <v>3492</v>
      </c>
      <c r="H691" s="699" t="s">
        <v>3493</v>
      </c>
      <c r="I691" s="711">
        <v>3816.7</v>
      </c>
      <c r="J691" s="711">
        <v>1</v>
      </c>
      <c r="K691" s="712">
        <v>3816.7</v>
      </c>
    </row>
    <row r="692" spans="1:11" ht="14.4" customHeight="1" x14ac:dyDescent="0.3">
      <c r="A692" s="695" t="s">
        <v>556</v>
      </c>
      <c r="B692" s="696" t="s">
        <v>557</v>
      </c>
      <c r="C692" s="699" t="s">
        <v>574</v>
      </c>
      <c r="D692" s="720" t="s">
        <v>3570</v>
      </c>
      <c r="E692" s="699" t="s">
        <v>3571</v>
      </c>
      <c r="F692" s="720" t="s">
        <v>3572</v>
      </c>
      <c r="G692" s="699" t="s">
        <v>3494</v>
      </c>
      <c r="H692" s="699" t="s">
        <v>3495</v>
      </c>
      <c r="I692" s="711">
        <v>3795</v>
      </c>
      <c r="J692" s="711">
        <v>1</v>
      </c>
      <c r="K692" s="712">
        <v>3795</v>
      </c>
    </row>
    <row r="693" spans="1:11" ht="14.4" customHeight="1" x14ac:dyDescent="0.3">
      <c r="A693" s="695" t="s">
        <v>556</v>
      </c>
      <c r="B693" s="696" t="s">
        <v>557</v>
      </c>
      <c r="C693" s="699" t="s">
        <v>574</v>
      </c>
      <c r="D693" s="720" t="s">
        <v>3570</v>
      </c>
      <c r="E693" s="699" t="s">
        <v>3571</v>
      </c>
      <c r="F693" s="720" t="s">
        <v>3572</v>
      </c>
      <c r="G693" s="699" t="s">
        <v>3496</v>
      </c>
      <c r="H693" s="699" t="s">
        <v>3497</v>
      </c>
      <c r="I693" s="711">
        <v>10084.450000000001</v>
      </c>
      <c r="J693" s="711">
        <v>1</v>
      </c>
      <c r="K693" s="712">
        <v>10084.450000000001</v>
      </c>
    </row>
    <row r="694" spans="1:11" ht="14.4" customHeight="1" x14ac:dyDescent="0.3">
      <c r="A694" s="695" t="s">
        <v>556</v>
      </c>
      <c r="B694" s="696" t="s">
        <v>557</v>
      </c>
      <c r="C694" s="699" t="s">
        <v>574</v>
      </c>
      <c r="D694" s="720" t="s">
        <v>3570</v>
      </c>
      <c r="E694" s="699" t="s">
        <v>3571</v>
      </c>
      <c r="F694" s="720" t="s">
        <v>3572</v>
      </c>
      <c r="G694" s="699" t="s">
        <v>3498</v>
      </c>
      <c r="H694" s="699" t="s">
        <v>3499</v>
      </c>
      <c r="I694" s="711">
        <v>8717</v>
      </c>
      <c r="J694" s="711">
        <v>1</v>
      </c>
      <c r="K694" s="712">
        <v>8717</v>
      </c>
    </row>
    <row r="695" spans="1:11" ht="14.4" customHeight="1" x14ac:dyDescent="0.3">
      <c r="A695" s="695" t="s">
        <v>556</v>
      </c>
      <c r="B695" s="696" t="s">
        <v>557</v>
      </c>
      <c r="C695" s="699" t="s">
        <v>574</v>
      </c>
      <c r="D695" s="720" t="s">
        <v>3570</v>
      </c>
      <c r="E695" s="699" t="s">
        <v>3573</v>
      </c>
      <c r="F695" s="720" t="s">
        <v>3574</v>
      </c>
      <c r="G695" s="699" t="s">
        <v>3500</v>
      </c>
      <c r="H695" s="699" t="s">
        <v>3501</v>
      </c>
      <c r="I695" s="711">
        <v>9635.85</v>
      </c>
      <c r="J695" s="711">
        <v>3</v>
      </c>
      <c r="K695" s="712">
        <v>28907.550000000003</v>
      </c>
    </row>
    <row r="696" spans="1:11" ht="14.4" customHeight="1" x14ac:dyDescent="0.3">
      <c r="A696" s="695" t="s">
        <v>556</v>
      </c>
      <c r="B696" s="696" t="s">
        <v>557</v>
      </c>
      <c r="C696" s="699" t="s">
        <v>574</v>
      </c>
      <c r="D696" s="720" t="s">
        <v>3570</v>
      </c>
      <c r="E696" s="699" t="s">
        <v>3573</v>
      </c>
      <c r="F696" s="720" t="s">
        <v>3574</v>
      </c>
      <c r="G696" s="699" t="s">
        <v>3502</v>
      </c>
      <c r="H696" s="699" t="s">
        <v>3503</v>
      </c>
      <c r="I696" s="711">
        <v>28702.85</v>
      </c>
      <c r="J696" s="711">
        <v>1</v>
      </c>
      <c r="K696" s="712">
        <v>28702.85</v>
      </c>
    </row>
    <row r="697" spans="1:11" ht="14.4" customHeight="1" x14ac:dyDescent="0.3">
      <c r="A697" s="695" t="s">
        <v>556</v>
      </c>
      <c r="B697" s="696" t="s">
        <v>557</v>
      </c>
      <c r="C697" s="699" t="s">
        <v>574</v>
      </c>
      <c r="D697" s="720" t="s">
        <v>3570</v>
      </c>
      <c r="E697" s="699" t="s">
        <v>3573</v>
      </c>
      <c r="F697" s="720" t="s">
        <v>3574</v>
      </c>
      <c r="G697" s="699" t="s">
        <v>3504</v>
      </c>
      <c r="H697" s="699" t="s">
        <v>3505</v>
      </c>
      <c r="I697" s="711">
        <v>12254.4</v>
      </c>
      <c r="J697" s="711">
        <v>2</v>
      </c>
      <c r="K697" s="712">
        <v>24508.799999999999</v>
      </c>
    </row>
    <row r="698" spans="1:11" ht="14.4" customHeight="1" x14ac:dyDescent="0.3">
      <c r="A698" s="695" t="s">
        <v>556</v>
      </c>
      <c r="B698" s="696" t="s">
        <v>557</v>
      </c>
      <c r="C698" s="699" t="s">
        <v>574</v>
      </c>
      <c r="D698" s="720" t="s">
        <v>3570</v>
      </c>
      <c r="E698" s="699" t="s">
        <v>3573</v>
      </c>
      <c r="F698" s="720" t="s">
        <v>3574</v>
      </c>
      <c r="G698" s="699" t="s">
        <v>3506</v>
      </c>
      <c r="H698" s="699" t="s">
        <v>3507</v>
      </c>
      <c r="I698" s="711">
        <v>4191.75</v>
      </c>
      <c r="J698" s="711">
        <v>1</v>
      </c>
      <c r="K698" s="712">
        <v>4191.75</v>
      </c>
    </row>
    <row r="699" spans="1:11" ht="14.4" customHeight="1" x14ac:dyDescent="0.3">
      <c r="A699" s="695" t="s">
        <v>556</v>
      </c>
      <c r="B699" s="696" t="s">
        <v>557</v>
      </c>
      <c r="C699" s="699" t="s">
        <v>574</v>
      </c>
      <c r="D699" s="720" t="s">
        <v>3570</v>
      </c>
      <c r="E699" s="699" t="s">
        <v>3573</v>
      </c>
      <c r="F699" s="720" t="s">
        <v>3574</v>
      </c>
      <c r="G699" s="699" t="s">
        <v>3508</v>
      </c>
      <c r="H699" s="699" t="s">
        <v>3509</v>
      </c>
      <c r="I699" s="711">
        <v>12254.4</v>
      </c>
      <c r="J699" s="711">
        <v>1</v>
      </c>
      <c r="K699" s="712">
        <v>12254.4</v>
      </c>
    </row>
    <row r="700" spans="1:11" ht="14.4" customHeight="1" x14ac:dyDescent="0.3">
      <c r="A700" s="695" t="s">
        <v>556</v>
      </c>
      <c r="B700" s="696" t="s">
        <v>557</v>
      </c>
      <c r="C700" s="699" t="s">
        <v>574</v>
      </c>
      <c r="D700" s="720" t="s">
        <v>3570</v>
      </c>
      <c r="E700" s="699" t="s">
        <v>3573</v>
      </c>
      <c r="F700" s="720" t="s">
        <v>3574</v>
      </c>
      <c r="G700" s="699" t="s">
        <v>3510</v>
      </c>
      <c r="H700" s="699" t="s">
        <v>3511</v>
      </c>
      <c r="I700" s="711">
        <v>28702.85</v>
      </c>
      <c r="J700" s="711">
        <v>2</v>
      </c>
      <c r="K700" s="712">
        <v>57405.7</v>
      </c>
    </row>
    <row r="701" spans="1:11" ht="14.4" customHeight="1" x14ac:dyDescent="0.3">
      <c r="A701" s="695" t="s">
        <v>556</v>
      </c>
      <c r="B701" s="696" t="s">
        <v>557</v>
      </c>
      <c r="C701" s="699" t="s">
        <v>574</v>
      </c>
      <c r="D701" s="720" t="s">
        <v>3570</v>
      </c>
      <c r="E701" s="699" t="s">
        <v>3573</v>
      </c>
      <c r="F701" s="720" t="s">
        <v>3574</v>
      </c>
      <c r="G701" s="699" t="s">
        <v>3512</v>
      </c>
      <c r="H701" s="699" t="s">
        <v>3513</v>
      </c>
      <c r="I701" s="711">
        <v>2264.35</v>
      </c>
      <c r="J701" s="711">
        <v>1</v>
      </c>
      <c r="K701" s="712">
        <v>2264.35</v>
      </c>
    </row>
    <row r="702" spans="1:11" ht="14.4" customHeight="1" x14ac:dyDescent="0.3">
      <c r="A702" s="695" t="s">
        <v>556</v>
      </c>
      <c r="B702" s="696" t="s">
        <v>557</v>
      </c>
      <c r="C702" s="699" t="s">
        <v>574</v>
      </c>
      <c r="D702" s="720" t="s">
        <v>3570</v>
      </c>
      <c r="E702" s="699" t="s">
        <v>3573</v>
      </c>
      <c r="F702" s="720" t="s">
        <v>3574</v>
      </c>
      <c r="G702" s="699" t="s">
        <v>3514</v>
      </c>
      <c r="H702" s="699" t="s">
        <v>3515</v>
      </c>
      <c r="I702" s="711">
        <v>2264.35</v>
      </c>
      <c r="J702" s="711">
        <v>1</v>
      </c>
      <c r="K702" s="712">
        <v>2264.35</v>
      </c>
    </row>
    <row r="703" spans="1:11" ht="14.4" customHeight="1" x14ac:dyDescent="0.3">
      <c r="A703" s="695" t="s">
        <v>556</v>
      </c>
      <c r="B703" s="696" t="s">
        <v>557</v>
      </c>
      <c r="C703" s="699" t="s">
        <v>574</v>
      </c>
      <c r="D703" s="720" t="s">
        <v>3570</v>
      </c>
      <c r="E703" s="699" t="s">
        <v>3575</v>
      </c>
      <c r="F703" s="720" t="s">
        <v>3576</v>
      </c>
      <c r="G703" s="699" t="s">
        <v>3516</v>
      </c>
      <c r="H703" s="699" t="s">
        <v>3517</v>
      </c>
      <c r="I703" s="711">
        <v>39930</v>
      </c>
      <c r="J703" s="711">
        <v>1</v>
      </c>
      <c r="K703" s="712">
        <v>39930</v>
      </c>
    </row>
    <row r="704" spans="1:11" ht="14.4" customHeight="1" x14ac:dyDescent="0.3">
      <c r="A704" s="695" t="s">
        <v>556</v>
      </c>
      <c r="B704" s="696" t="s">
        <v>557</v>
      </c>
      <c r="C704" s="699" t="s">
        <v>574</v>
      </c>
      <c r="D704" s="720" t="s">
        <v>3570</v>
      </c>
      <c r="E704" s="699" t="s">
        <v>3575</v>
      </c>
      <c r="F704" s="720" t="s">
        <v>3576</v>
      </c>
      <c r="G704" s="699" t="s">
        <v>3518</v>
      </c>
      <c r="H704" s="699" t="s">
        <v>3519</v>
      </c>
      <c r="I704" s="711">
        <v>479.86999999999995</v>
      </c>
      <c r="J704" s="711">
        <v>24</v>
      </c>
      <c r="K704" s="712">
        <v>11278.82</v>
      </c>
    </row>
    <row r="705" spans="1:11" ht="14.4" customHeight="1" x14ac:dyDescent="0.3">
      <c r="A705" s="695" t="s">
        <v>556</v>
      </c>
      <c r="B705" s="696" t="s">
        <v>557</v>
      </c>
      <c r="C705" s="699" t="s">
        <v>574</v>
      </c>
      <c r="D705" s="720" t="s">
        <v>3570</v>
      </c>
      <c r="E705" s="699" t="s">
        <v>3575</v>
      </c>
      <c r="F705" s="720" t="s">
        <v>3576</v>
      </c>
      <c r="G705" s="699" t="s">
        <v>3520</v>
      </c>
      <c r="H705" s="699" t="s">
        <v>3521</v>
      </c>
      <c r="I705" s="711">
        <v>469.95499999999998</v>
      </c>
      <c r="J705" s="711">
        <v>18</v>
      </c>
      <c r="K705" s="712">
        <v>8280.61</v>
      </c>
    </row>
    <row r="706" spans="1:11" ht="14.4" customHeight="1" x14ac:dyDescent="0.3">
      <c r="A706" s="695" t="s">
        <v>556</v>
      </c>
      <c r="B706" s="696" t="s">
        <v>557</v>
      </c>
      <c r="C706" s="699" t="s">
        <v>574</v>
      </c>
      <c r="D706" s="720" t="s">
        <v>3570</v>
      </c>
      <c r="E706" s="699" t="s">
        <v>3556</v>
      </c>
      <c r="F706" s="720" t="s">
        <v>3557</v>
      </c>
      <c r="G706" s="699" t="s">
        <v>3522</v>
      </c>
      <c r="H706" s="699" t="s">
        <v>3523</v>
      </c>
      <c r="I706" s="711">
        <v>2286.9</v>
      </c>
      <c r="J706" s="711">
        <v>1</v>
      </c>
      <c r="K706" s="712">
        <v>2286.9</v>
      </c>
    </row>
    <row r="707" spans="1:11" ht="14.4" customHeight="1" x14ac:dyDescent="0.3">
      <c r="A707" s="695" t="s">
        <v>556</v>
      </c>
      <c r="B707" s="696" t="s">
        <v>557</v>
      </c>
      <c r="C707" s="699" t="s">
        <v>574</v>
      </c>
      <c r="D707" s="720" t="s">
        <v>3570</v>
      </c>
      <c r="E707" s="699" t="s">
        <v>3562</v>
      </c>
      <c r="F707" s="720" t="s">
        <v>3563</v>
      </c>
      <c r="G707" s="699" t="s">
        <v>3524</v>
      </c>
      <c r="H707" s="699" t="s">
        <v>3525</v>
      </c>
      <c r="I707" s="711">
        <v>59.77</v>
      </c>
      <c r="J707" s="711">
        <v>144</v>
      </c>
      <c r="K707" s="712">
        <v>8607.52</v>
      </c>
    </row>
    <row r="708" spans="1:11" ht="14.4" customHeight="1" x14ac:dyDescent="0.3">
      <c r="A708" s="695" t="s">
        <v>556</v>
      </c>
      <c r="B708" s="696" t="s">
        <v>557</v>
      </c>
      <c r="C708" s="699" t="s">
        <v>574</v>
      </c>
      <c r="D708" s="720" t="s">
        <v>3570</v>
      </c>
      <c r="E708" s="699" t="s">
        <v>3562</v>
      </c>
      <c r="F708" s="720" t="s">
        <v>3563</v>
      </c>
      <c r="G708" s="699" t="s">
        <v>3526</v>
      </c>
      <c r="H708" s="699" t="s">
        <v>3527</v>
      </c>
      <c r="I708" s="711">
        <v>113.85</v>
      </c>
      <c r="J708" s="711">
        <v>36</v>
      </c>
      <c r="K708" s="712">
        <v>4098.6000000000004</v>
      </c>
    </row>
    <row r="709" spans="1:11" ht="14.4" customHeight="1" x14ac:dyDescent="0.3">
      <c r="A709" s="695" t="s">
        <v>556</v>
      </c>
      <c r="B709" s="696" t="s">
        <v>557</v>
      </c>
      <c r="C709" s="699" t="s">
        <v>574</v>
      </c>
      <c r="D709" s="720" t="s">
        <v>3570</v>
      </c>
      <c r="E709" s="699" t="s">
        <v>3562</v>
      </c>
      <c r="F709" s="720" t="s">
        <v>3563</v>
      </c>
      <c r="G709" s="699" t="s">
        <v>3528</v>
      </c>
      <c r="H709" s="699" t="s">
        <v>3529</v>
      </c>
      <c r="I709" s="711">
        <v>457.6</v>
      </c>
      <c r="J709" s="711">
        <v>24</v>
      </c>
      <c r="K709" s="712">
        <v>10982.5</v>
      </c>
    </row>
    <row r="710" spans="1:11" ht="14.4" customHeight="1" x14ac:dyDescent="0.3">
      <c r="A710" s="695" t="s">
        <v>556</v>
      </c>
      <c r="B710" s="696" t="s">
        <v>557</v>
      </c>
      <c r="C710" s="699" t="s">
        <v>574</v>
      </c>
      <c r="D710" s="720" t="s">
        <v>3570</v>
      </c>
      <c r="E710" s="699" t="s">
        <v>3562</v>
      </c>
      <c r="F710" s="720" t="s">
        <v>3563</v>
      </c>
      <c r="G710" s="699" t="s">
        <v>3530</v>
      </c>
      <c r="H710" s="699" t="s">
        <v>3531</v>
      </c>
      <c r="I710" s="711">
        <v>46.97</v>
      </c>
      <c r="J710" s="711">
        <v>36</v>
      </c>
      <c r="K710" s="712">
        <v>1691</v>
      </c>
    </row>
    <row r="711" spans="1:11" ht="14.4" customHeight="1" x14ac:dyDescent="0.3">
      <c r="A711" s="695" t="s">
        <v>556</v>
      </c>
      <c r="B711" s="696" t="s">
        <v>557</v>
      </c>
      <c r="C711" s="699" t="s">
        <v>574</v>
      </c>
      <c r="D711" s="720" t="s">
        <v>3570</v>
      </c>
      <c r="E711" s="699" t="s">
        <v>3558</v>
      </c>
      <c r="F711" s="720" t="s">
        <v>3559</v>
      </c>
      <c r="G711" s="699" t="s">
        <v>3532</v>
      </c>
      <c r="H711" s="699" t="s">
        <v>3533</v>
      </c>
      <c r="I711" s="711">
        <v>7260</v>
      </c>
      <c r="J711" s="711">
        <v>1</v>
      </c>
      <c r="K711" s="712">
        <v>7260</v>
      </c>
    </row>
    <row r="712" spans="1:11" ht="14.4" customHeight="1" x14ac:dyDescent="0.3">
      <c r="A712" s="695" t="s">
        <v>556</v>
      </c>
      <c r="B712" s="696" t="s">
        <v>557</v>
      </c>
      <c r="C712" s="699" t="s">
        <v>574</v>
      </c>
      <c r="D712" s="720" t="s">
        <v>3570</v>
      </c>
      <c r="E712" s="699" t="s">
        <v>3577</v>
      </c>
      <c r="F712" s="720" t="s">
        <v>3578</v>
      </c>
      <c r="G712" s="699" t="s">
        <v>3534</v>
      </c>
      <c r="H712" s="699" t="s">
        <v>3535</v>
      </c>
      <c r="I712" s="711">
        <v>3392.5</v>
      </c>
      <c r="J712" s="711">
        <v>2</v>
      </c>
      <c r="K712" s="712">
        <v>6785</v>
      </c>
    </row>
    <row r="713" spans="1:11" ht="14.4" customHeight="1" x14ac:dyDescent="0.3">
      <c r="A713" s="695" t="s">
        <v>556</v>
      </c>
      <c r="B713" s="696" t="s">
        <v>557</v>
      </c>
      <c r="C713" s="699" t="s">
        <v>574</v>
      </c>
      <c r="D713" s="720" t="s">
        <v>3570</v>
      </c>
      <c r="E713" s="699" t="s">
        <v>3577</v>
      </c>
      <c r="F713" s="720" t="s">
        <v>3578</v>
      </c>
      <c r="G713" s="699" t="s">
        <v>3536</v>
      </c>
      <c r="H713" s="699" t="s">
        <v>3537</v>
      </c>
      <c r="I713" s="711">
        <v>5523.3</v>
      </c>
      <c r="J713" s="711">
        <v>2</v>
      </c>
      <c r="K713" s="712">
        <v>11046.6</v>
      </c>
    </row>
    <row r="714" spans="1:11" ht="14.4" customHeight="1" x14ac:dyDescent="0.3">
      <c r="A714" s="695" t="s">
        <v>556</v>
      </c>
      <c r="B714" s="696" t="s">
        <v>557</v>
      </c>
      <c r="C714" s="699" t="s">
        <v>574</v>
      </c>
      <c r="D714" s="720" t="s">
        <v>3570</v>
      </c>
      <c r="E714" s="699" t="s">
        <v>3577</v>
      </c>
      <c r="F714" s="720" t="s">
        <v>3578</v>
      </c>
      <c r="G714" s="699" t="s">
        <v>3538</v>
      </c>
      <c r="H714" s="699" t="s">
        <v>3539</v>
      </c>
      <c r="I714" s="711">
        <v>11235.884999999998</v>
      </c>
      <c r="J714" s="711">
        <v>5</v>
      </c>
      <c r="K714" s="712">
        <v>56179.39</v>
      </c>
    </row>
    <row r="715" spans="1:11" ht="14.4" customHeight="1" x14ac:dyDescent="0.3">
      <c r="A715" s="695" t="s">
        <v>556</v>
      </c>
      <c r="B715" s="696" t="s">
        <v>557</v>
      </c>
      <c r="C715" s="699" t="s">
        <v>574</v>
      </c>
      <c r="D715" s="720" t="s">
        <v>3570</v>
      </c>
      <c r="E715" s="699" t="s">
        <v>3577</v>
      </c>
      <c r="F715" s="720" t="s">
        <v>3578</v>
      </c>
      <c r="G715" s="699" t="s">
        <v>3540</v>
      </c>
      <c r="H715" s="699" t="s">
        <v>3541</v>
      </c>
      <c r="I715" s="711">
        <v>2035.4</v>
      </c>
      <c r="J715" s="711">
        <v>1</v>
      </c>
      <c r="K715" s="712">
        <v>2035.4</v>
      </c>
    </row>
    <row r="716" spans="1:11" ht="14.4" customHeight="1" x14ac:dyDescent="0.3">
      <c r="A716" s="695" t="s">
        <v>556</v>
      </c>
      <c r="B716" s="696" t="s">
        <v>557</v>
      </c>
      <c r="C716" s="699" t="s">
        <v>574</v>
      </c>
      <c r="D716" s="720" t="s">
        <v>3570</v>
      </c>
      <c r="E716" s="699" t="s">
        <v>3577</v>
      </c>
      <c r="F716" s="720" t="s">
        <v>3578</v>
      </c>
      <c r="G716" s="699" t="s">
        <v>3542</v>
      </c>
      <c r="H716" s="699" t="s">
        <v>3543</v>
      </c>
      <c r="I716" s="711">
        <v>3455.2</v>
      </c>
      <c r="J716" s="711">
        <v>1</v>
      </c>
      <c r="K716" s="712">
        <v>3455.2</v>
      </c>
    </row>
    <row r="717" spans="1:11" ht="14.4" customHeight="1" x14ac:dyDescent="0.3">
      <c r="A717" s="695" t="s">
        <v>556</v>
      </c>
      <c r="B717" s="696" t="s">
        <v>557</v>
      </c>
      <c r="C717" s="699" t="s">
        <v>574</v>
      </c>
      <c r="D717" s="720" t="s">
        <v>3570</v>
      </c>
      <c r="E717" s="699" t="s">
        <v>3577</v>
      </c>
      <c r="F717" s="720" t="s">
        <v>3578</v>
      </c>
      <c r="G717" s="699" t="s">
        <v>3544</v>
      </c>
      <c r="H717" s="699" t="s">
        <v>3545</v>
      </c>
      <c r="I717" s="711">
        <v>3550.6</v>
      </c>
      <c r="J717" s="711">
        <v>1</v>
      </c>
      <c r="K717" s="712">
        <v>3550.6</v>
      </c>
    </row>
    <row r="718" spans="1:11" ht="14.4" customHeight="1" x14ac:dyDescent="0.3">
      <c r="A718" s="695" t="s">
        <v>556</v>
      </c>
      <c r="B718" s="696" t="s">
        <v>557</v>
      </c>
      <c r="C718" s="699" t="s">
        <v>574</v>
      </c>
      <c r="D718" s="720" t="s">
        <v>3570</v>
      </c>
      <c r="E718" s="699" t="s">
        <v>3577</v>
      </c>
      <c r="F718" s="720" t="s">
        <v>3578</v>
      </c>
      <c r="G718" s="699" t="s">
        <v>3546</v>
      </c>
      <c r="H718" s="699" t="s">
        <v>3547</v>
      </c>
      <c r="I718" s="711">
        <v>4544.5</v>
      </c>
      <c r="J718" s="711">
        <v>1</v>
      </c>
      <c r="K718" s="712">
        <v>4544.5</v>
      </c>
    </row>
    <row r="719" spans="1:11" ht="14.4" customHeight="1" x14ac:dyDescent="0.3">
      <c r="A719" s="695" t="s">
        <v>556</v>
      </c>
      <c r="B719" s="696" t="s">
        <v>557</v>
      </c>
      <c r="C719" s="699" t="s">
        <v>574</v>
      </c>
      <c r="D719" s="720" t="s">
        <v>3570</v>
      </c>
      <c r="E719" s="699" t="s">
        <v>3577</v>
      </c>
      <c r="F719" s="720" t="s">
        <v>3578</v>
      </c>
      <c r="G719" s="699" t="s">
        <v>3548</v>
      </c>
      <c r="H719" s="699" t="s">
        <v>3549</v>
      </c>
      <c r="I719" s="711">
        <v>4584.5</v>
      </c>
      <c r="J719" s="711">
        <v>3</v>
      </c>
      <c r="K719" s="712">
        <v>13716</v>
      </c>
    </row>
    <row r="720" spans="1:11" ht="14.4" customHeight="1" thickBot="1" x14ac:dyDescent="0.35">
      <c r="A720" s="703" t="s">
        <v>556</v>
      </c>
      <c r="B720" s="704" t="s">
        <v>557</v>
      </c>
      <c r="C720" s="707" t="s">
        <v>574</v>
      </c>
      <c r="D720" s="721" t="s">
        <v>3570</v>
      </c>
      <c r="E720" s="707" t="s">
        <v>3577</v>
      </c>
      <c r="F720" s="721" t="s">
        <v>3578</v>
      </c>
      <c r="G720" s="707" t="s">
        <v>3550</v>
      </c>
      <c r="H720" s="707" t="s">
        <v>3551</v>
      </c>
      <c r="I720" s="713">
        <v>2887.19</v>
      </c>
      <c r="J720" s="713">
        <v>2</v>
      </c>
      <c r="K720" s="714">
        <v>5774.38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12" width="13.109375" hidden="1" customWidth="1"/>
    <col min="13" max="13" width="13.109375" customWidth="1"/>
    <col min="14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21" t="s">
        <v>131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</row>
    <row r="2" spans="1:34" ht="15" thickBot="1" x14ac:dyDescent="0.35">
      <c r="A2" s="386" t="s">
        <v>321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</row>
    <row r="3" spans="1:34" x14ac:dyDescent="0.3">
      <c r="A3" s="405" t="s">
        <v>274</v>
      </c>
      <c r="B3" s="522" t="s">
        <v>255</v>
      </c>
      <c r="C3" s="388">
        <v>0</v>
      </c>
      <c r="D3" s="389">
        <v>101</v>
      </c>
      <c r="E3" s="389">
        <v>102</v>
      </c>
      <c r="F3" s="408">
        <v>305</v>
      </c>
      <c r="G3" s="408">
        <v>306</v>
      </c>
      <c r="H3" s="408">
        <v>408</v>
      </c>
      <c r="I3" s="408">
        <v>409</v>
      </c>
      <c r="J3" s="408">
        <v>410</v>
      </c>
      <c r="K3" s="408">
        <v>415</v>
      </c>
      <c r="L3" s="408">
        <v>416</v>
      </c>
      <c r="M3" s="408">
        <v>418</v>
      </c>
      <c r="N3" s="408">
        <v>419</v>
      </c>
      <c r="O3" s="408">
        <v>420</v>
      </c>
      <c r="P3" s="408">
        <v>421</v>
      </c>
      <c r="Q3" s="408">
        <v>522</v>
      </c>
      <c r="R3" s="408">
        <v>523</v>
      </c>
      <c r="S3" s="408">
        <v>524</v>
      </c>
      <c r="T3" s="408">
        <v>525</v>
      </c>
      <c r="U3" s="408">
        <v>526</v>
      </c>
      <c r="V3" s="408">
        <v>527</v>
      </c>
      <c r="W3" s="408">
        <v>528</v>
      </c>
      <c r="X3" s="408">
        <v>629</v>
      </c>
      <c r="Y3" s="408">
        <v>630</v>
      </c>
      <c r="Z3" s="408">
        <v>636</v>
      </c>
      <c r="AA3" s="408">
        <v>637</v>
      </c>
      <c r="AB3" s="408">
        <v>640</v>
      </c>
      <c r="AC3" s="408">
        <v>642</v>
      </c>
      <c r="AD3" s="408">
        <v>743</v>
      </c>
      <c r="AE3" s="389">
        <v>745</v>
      </c>
      <c r="AF3" s="389">
        <v>746</v>
      </c>
      <c r="AG3" s="731">
        <v>930</v>
      </c>
      <c r="AH3" s="746"/>
    </row>
    <row r="4" spans="1:34" ht="36.6" outlineLevel="1" thickBot="1" x14ac:dyDescent="0.35">
      <c r="A4" s="406">
        <v>2014</v>
      </c>
      <c r="B4" s="523"/>
      <c r="C4" s="390" t="s">
        <v>256</v>
      </c>
      <c r="D4" s="391" t="s">
        <v>257</v>
      </c>
      <c r="E4" s="391" t="s">
        <v>258</v>
      </c>
      <c r="F4" s="409" t="s">
        <v>286</v>
      </c>
      <c r="G4" s="409" t="s">
        <v>287</v>
      </c>
      <c r="H4" s="409" t="s">
        <v>288</v>
      </c>
      <c r="I4" s="409" t="s">
        <v>289</v>
      </c>
      <c r="J4" s="409" t="s">
        <v>290</v>
      </c>
      <c r="K4" s="409" t="s">
        <v>291</v>
      </c>
      <c r="L4" s="409" t="s">
        <v>292</v>
      </c>
      <c r="M4" s="409" t="s">
        <v>293</v>
      </c>
      <c r="N4" s="409" t="s">
        <v>294</v>
      </c>
      <c r="O4" s="409" t="s">
        <v>295</v>
      </c>
      <c r="P4" s="409" t="s">
        <v>296</v>
      </c>
      <c r="Q4" s="409" t="s">
        <v>297</v>
      </c>
      <c r="R4" s="409" t="s">
        <v>298</v>
      </c>
      <c r="S4" s="409" t="s">
        <v>299</v>
      </c>
      <c r="T4" s="409" t="s">
        <v>300</v>
      </c>
      <c r="U4" s="409" t="s">
        <v>301</v>
      </c>
      <c r="V4" s="409" t="s">
        <v>302</v>
      </c>
      <c r="W4" s="409" t="s">
        <v>311</v>
      </c>
      <c r="X4" s="409" t="s">
        <v>303</v>
      </c>
      <c r="Y4" s="409" t="s">
        <v>312</v>
      </c>
      <c r="Z4" s="409" t="s">
        <v>304</v>
      </c>
      <c r="AA4" s="409" t="s">
        <v>305</v>
      </c>
      <c r="AB4" s="409" t="s">
        <v>306</v>
      </c>
      <c r="AC4" s="409" t="s">
        <v>307</v>
      </c>
      <c r="AD4" s="409" t="s">
        <v>308</v>
      </c>
      <c r="AE4" s="391" t="s">
        <v>309</v>
      </c>
      <c r="AF4" s="391" t="s">
        <v>310</v>
      </c>
      <c r="AG4" s="732" t="s">
        <v>276</v>
      </c>
      <c r="AH4" s="746"/>
    </row>
    <row r="5" spans="1:34" x14ac:dyDescent="0.3">
      <c r="A5" s="392" t="s">
        <v>259</v>
      </c>
      <c r="B5" s="428"/>
      <c r="C5" s="429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733"/>
      <c r="AH5" s="746"/>
    </row>
    <row r="6" spans="1:34" ht="15" collapsed="1" thickBot="1" x14ac:dyDescent="0.35">
      <c r="A6" s="393" t="s">
        <v>94</v>
      </c>
      <c r="B6" s="431">
        <f xml:space="preserve">
TRUNC(IF($A$4&lt;=12,SUMIFS('ON Data'!F:F,'ON Data'!$D:$D,$A$4,'ON Data'!$E:$E,1),SUMIFS('ON Data'!F:F,'ON Data'!$E:$E,1)/'ON Data'!$D$3),1)</f>
        <v>60.3</v>
      </c>
      <c r="C6" s="432">
        <f xml:space="preserve">
TRUNC(IF($A$4&lt;=12,SUMIFS('ON Data'!G:G,'ON Data'!$D:$D,$A$4,'ON Data'!$E:$E,1),SUMIFS('ON Data'!G:G,'ON Data'!$E:$E,1)/'ON Data'!$D$3),1)</f>
        <v>0</v>
      </c>
      <c r="D6" s="433">
        <f xml:space="preserve">
TRUNC(IF($A$4&lt;=12,SUMIFS('ON Data'!H:H,'ON Data'!$D:$D,$A$4,'ON Data'!$E:$E,1),SUMIFS('ON Data'!H:H,'ON Data'!$E:$E,1)/'ON Data'!$D$3),1)</f>
        <v>16</v>
      </c>
      <c r="E6" s="433">
        <f xml:space="preserve">
TRUNC(IF($A$4&lt;=12,SUMIFS('ON Data'!I:I,'ON Data'!$D:$D,$A$4,'ON Data'!$E:$E,1),SUMIFS('ON Data'!I:I,'ON Data'!$E:$E,1)/'ON Data'!$D$3),1)</f>
        <v>0</v>
      </c>
      <c r="F6" s="433">
        <f xml:space="preserve">
TRUNC(IF($A$4&lt;=12,SUMIFS('ON Data'!K:K,'ON Data'!$D:$D,$A$4,'ON Data'!$E:$E,1),SUMIFS('ON Data'!K:K,'ON Data'!$E:$E,1)/'ON Data'!$D$3),1)</f>
        <v>25.3</v>
      </c>
      <c r="G6" s="433">
        <f xml:space="preserve">
TRUNC(IF($A$4&lt;=12,SUMIFS('ON Data'!L:L,'ON Data'!$D:$D,$A$4,'ON Data'!$E:$E,1),SUMIFS('ON Data'!L:L,'ON Data'!$E:$E,1)/'ON Data'!$D$3),1)</f>
        <v>0</v>
      </c>
      <c r="H6" s="433">
        <f xml:space="preserve">
TRUNC(IF($A$4&lt;=12,SUMIFS('ON Data'!M:M,'ON Data'!$D:$D,$A$4,'ON Data'!$E:$E,1),SUMIFS('ON Data'!M:M,'ON Data'!$E:$E,1)/'ON Data'!$D$3),1)</f>
        <v>0</v>
      </c>
      <c r="I6" s="433">
        <f xml:space="preserve">
TRUNC(IF($A$4&lt;=12,SUMIFS('ON Data'!N:N,'ON Data'!$D:$D,$A$4,'ON Data'!$E:$E,1),SUMIFS('ON Data'!N:N,'ON Data'!$E:$E,1)/'ON Data'!$D$3),1)</f>
        <v>0</v>
      </c>
      <c r="J6" s="433">
        <f xml:space="preserve">
TRUNC(IF($A$4&lt;=12,SUMIFS('ON Data'!O:O,'ON Data'!$D:$D,$A$4,'ON Data'!$E:$E,1),SUMIFS('ON Data'!O:O,'ON Data'!$E:$E,1)/'ON Data'!$D$3),1)</f>
        <v>0</v>
      </c>
      <c r="K6" s="433">
        <f xml:space="preserve">
TRUNC(IF($A$4&lt;=12,SUMIFS('ON Data'!P:P,'ON Data'!$D:$D,$A$4,'ON Data'!$E:$E,1),SUMIFS('ON Data'!P:P,'ON Data'!$E:$E,1)/'ON Data'!$D$3),1)</f>
        <v>0</v>
      </c>
      <c r="L6" s="433">
        <f xml:space="preserve">
TRUNC(IF($A$4&lt;=12,SUMIFS('ON Data'!Q:Q,'ON Data'!$D:$D,$A$4,'ON Data'!$E:$E,1),SUMIFS('ON Data'!Q:Q,'ON Data'!$E:$E,1)/'ON Data'!$D$3),1)</f>
        <v>0</v>
      </c>
      <c r="M6" s="433">
        <f xml:space="preserve">
TRUNC(IF($A$4&lt;=12,SUMIFS('ON Data'!R:R,'ON Data'!$D:$D,$A$4,'ON Data'!$E:$E,1),SUMIFS('ON Data'!R:R,'ON Data'!$E:$E,1)/'ON Data'!$D$3),1)</f>
        <v>1</v>
      </c>
      <c r="N6" s="433">
        <f xml:space="preserve">
TRUNC(IF($A$4&lt;=12,SUMIFS('ON Data'!S:S,'ON Data'!$D:$D,$A$4,'ON Data'!$E:$E,1),SUMIFS('ON Data'!S:S,'ON Data'!$E:$E,1)/'ON Data'!$D$3),1)</f>
        <v>0</v>
      </c>
      <c r="O6" s="433">
        <f xml:space="preserve">
TRUNC(IF($A$4&lt;=12,SUMIFS('ON Data'!T:T,'ON Data'!$D:$D,$A$4,'ON Data'!$E:$E,1),SUMIFS('ON Data'!T:T,'ON Data'!$E:$E,1)/'ON Data'!$D$3),1)</f>
        <v>0</v>
      </c>
      <c r="P6" s="433">
        <f xml:space="preserve">
TRUNC(IF($A$4&lt;=12,SUMIFS('ON Data'!U:U,'ON Data'!$D:$D,$A$4,'ON Data'!$E:$E,1),SUMIFS('ON Data'!U:U,'ON Data'!$E:$E,1)/'ON Data'!$D$3),1)</f>
        <v>0</v>
      </c>
      <c r="Q6" s="433">
        <f xml:space="preserve">
TRUNC(IF($A$4&lt;=12,SUMIFS('ON Data'!V:V,'ON Data'!$D:$D,$A$4,'ON Data'!$E:$E,1),SUMIFS('ON Data'!V:V,'ON Data'!$E:$E,1)/'ON Data'!$D$3),1)</f>
        <v>0</v>
      </c>
      <c r="R6" s="433">
        <f xml:space="preserve">
TRUNC(IF($A$4&lt;=12,SUMIFS('ON Data'!W:W,'ON Data'!$D:$D,$A$4,'ON Data'!$E:$E,1),SUMIFS('ON Data'!W:W,'ON Data'!$E:$E,1)/'ON Data'!$D$3),1)</f>
        <v>0</v>
      </c>
      <c r="S6" s="433">
        <f xml:space="preserve">
TRUNC(IF($A$4&lt;=12,SUMIFS('ON Data'!X:X,'ON Data'!$D:$D,$A$4,'ON Data'!$E:$E,1),SUMIFS('ON Data'!X:X,'ON Data'!$E:$E,1)/'ON Data'!$D$3),1)</f>
        <v>0</v>
      </c>
      <c r="T6" s="433">
        <f xml:space="preserve">
TRUNC(IF($A$4&lt;=12,SUMIFS('ON Data'!Y:Y,'ON Data'!$D:$D,$A$4,'ON Data'!$E:$E,1),SUMIFS('ON Data'!Y:Y,'ON Data'!$E:$E,1)/'ON Data'!$D$3),1)</f>
        <v>0</v>
      </c>
      <c r="U6" s="433">
        <f xml:space="preserve">
TRUNC(IF($A$4&lt;=12,SUMIFS('ON Data'!Z:Z,'ON Data'!$D:$D,$A$4,'ON Data'!$E:$E,1),SUMIFS('ON Data'!Z:Z,'ON Data'!$E:$E,1)/'ON Data'!$D$3),1)</f>
        <v>0</v>
      </c>
      <c r="V6" s="433">
        <f xml:space="preserve">
TRUNC(IF($A$4&lt;=12,SUMIFS('ON Data'!AA:AA,'ON Data'!$D:$D,$A$4,'ON Data'!$E:$E,1),SUMIFS('ON Data'!AA:AA,'ON Data'!$E:$E,1)/'ON Data'!$D$3),1)</f>
        <v>0</v>
      </c>
      <c r="W6" s="433">
        <f xml:space="preserve">
TRUNC(IF($A$4&lt;=12,SUMIFS('ON Data'!AB:AB,'ON Data'!$D:$D,$A$4,'ON Data'!$E:$E,1),SUMIFS('ON Data'!AB:AB,'ON Data'!$E:$E,1)/'ON Data'!$D$3),1)</f>
        <v>0</v>
      </c>
      <c r="X6" s="433">
        <f xml:space="preserve">
TRUNC(IF($A$4&lt;=12,SUMIFS('ON Data'!AC:AC,'ON Data'!$D:$D,$A$4,'ON Data'!$E:$E,1),SUMIFS('ON Data'!AC:AC,'ON Data'!$E:$E,1)/'ON Data'!$D$3),1)</f>
        <v>0</v>
      </c>
      <c r="Y6" s="433">
        <f xml:space="preserve">
TRUNC(IF($A$4&lt;=12,SUMIFS('ON Data'!AD:AD,'ON Data'!$D:$D,$A$4,'ON Data'!$E:$E,1),SUMIFS('ON Data'!AD:AD,'ON Data'!$E:$E,1)/'ON Data'!$D$3),1)</f>
        <v>0</v>
      </c>
      <c r="Z6" s="433">
        <f xml:space="preserve">
TRUNC(IF($A$4&lt;=12,SUMIFS('ON Data'!AE:AE,'ON Data'!$D:$D,$A$4,'ON Data'!$E:$E,1),SUMIFS('ON Data'!AE:AE,'ON Data'!$E:$E,1)/'ON Data'!$D$3),1)</f>
        <v>2</v>
      </c>
      <c r="AA6" s="433">
        <f xml:space="preserve">
TRUNC(IF($A$4&lt;=12,SUMIFS('ON Data'!AF:AF,'ON Data'!$D:$D,$A$4,'ON Data'!$E:$E,1),SUMIFS('ON Data'!AF:AF,'ON Data'!$E:$E,1)/'ON Data'!$D$3),1)</f>
        <v>0</v>
      </c>
      <c r="AB6" s="433">
        <f xml:space="preserve">
TRUNC(IF($A$4&lt;=12,SUMIFS('ON Data'!AG:AG,'ON Data'!$D:$D,$A$4,'ON Data'!$E:$E,1),SUMIFS('ON Data'!AG:AG,'ON Data'!$E:$E,1)/'ON Data'!$D$3),1)</f>
        <v>0</v>
      </c>
      <c r="AC6" s="433">
        <f xml:space="preserve">
TRUNC(IF($A$4&lt;=12,SUMIFS('ON Data'!AH:AH,'ON Data'!$D:$D,$A$4,'ON Data'!$E:$E,1),SUMIFS('ON Data'!AH:AH,'ON Data'!$E:$E,1)/'ON Data'!$D$3),1)</f>
        <v>13</v>
      </c>
      <c r="AD6" s="433">
        <f xml:space="preserve">
TRUNC(IF($A$4&lt;=12,SUMIFS('ON Data'!AI:AI,'ON Data'!$D:$D,$A$4,'ON Data'!$E:$E,1),SUMIFS('ON Data'!AI:AI,'ON Data'!$E:$E,1)/'ON Data'!$D$3),1)</f>
        <v>0</v>
      </c>
      <c r="AE6" s="433">
        <f xml:space="preserve">
TRUNC(IF($A$4&lt;=12,SUMIFS('ON Data'!AJ:AJ,'ON Data'!$D:$D,$A$4,'ON Data'!$E:$E,1),SUMIFS('ON Data'!AJ:AJ,'ON Data'!$E:$E,1)/'ON Data'!$D$3),1)</f>
        <v>0</v>
      </c>
      <c r="AF6" s="433">
        <f xml:space="preserve">
TRUNC(IF($A$4&lt;=12,SUMIFS('ON Data'!AK:AK,'ON Data'!$D:$D,$A$4,'ON Data'!$E:$E,1),SUMIFS('ON Data'!AK:AK,'ON Data'!$E:$E,1)/'ON Data'!$D$3),1)</f>
        <v>0</v>
      </c>
      <c r="AG6" s="734">
        <f xml:space="preserve">
TRUNC(IF($A$4&lt;=12,SUMIFS('ON Data'!AM:AM,'ON Data'!$D:$D,$A$4,'ON Data'!$E:$E,1),SUMIFS('ON Data'!AM:AM,'ON Data'!$E:$E,1)/'ON Data'!$D$3),1)</f>
        <v>3</v>
      </c>
      <c r="AH6" s="746"/>
    </row>
    <row r="7" spans="1:34" ht="15" hidden="1" outlineLevel="1" thickBot="1" x14ac:dyDescent="0.35">
      <c r="A7" s="393" t="s">
        <v>132</v>
      </c>
      <c r="B7" s="431"/>
      <c r="C7" s="434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734"/>
      <c r="AH7" s="746"/>
    </row>
    <row r="8" spans="1:34" ht="15" hidden="1" outlineLevel="1" thickBot="1" x14ac:dyDescent="0.35">
      <c r="A8" s="393" t="s">
        <v>96</v>
      </c>
      <c r="B8" s="431"/>
      <c r="C8" s="434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734"/>
      <c r="AH8" s="746"/>
    </row>
    <row r="9" spans="1:34" ht="15" hidden="1" outlineLevel="1" thickBot="1" x14ac:dyDescent="0.35">
      <c r="A9" s="394" t="s">
        <v>69</v>
      </c>
      <c r="B9" s="435"/>
      <c r="C9" s="436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735"/>
      <c r="AH9" s="746"/>
    </row>
    <row r="10" spans="1:34" x14ac:dyDescent="0.3">
      <c r="A10" s="395" t="s">
        <v>260</v>
      </c>
      <c r="B10" s="410"/>
      <c r="C10" s="411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736"/>
      <c r="AH10" s="746"/>
    </row>
    <row r="11" spans="1:34" x14ac:dyDescent="0.3">
      <c r="A11" s="396" t="s">
        <v>261</v>
      </c>
      <c r="B11" s="413">
        <f xml:space="preserve">
IF($A$4&lt;=12,SUMIFS('ON Data'!F:F,'ON Data'!$D:$D,$A$4,'ON Data'!$E:$E,2),SUMIFS('ON Data'!F:F,'ON Data'!$E:$E,2))</f>
        <v>27449.75</v>
      </c>
      <c r="C11" s="414">
        <f xml:space="preserve">
IF($A$4&lt;=12,SUMIFS('ON Data'!G:G,'ON Data'!$D:$D,$A$4,'ON Data'!$E:$E,2),SUMIFS('ON Data'!G:G,'ON Data'!$E:$E,2))</f>
        <v>0</v>
      </c>
      <c r="D11" s="415">
        <f xml:space="preserve">
IF($A$4&lt;=12,SUMIFS('ON Data'!H:H,'ON Data'!$D:$D,$A$4,'ON Data'!$E:$E,2),SUMIFS('ON Data'!H:H,'ON Data'!$E:$E,2))</f>
        <v>7728</v>
      </c>
      <c r="E11" s="415">
        <f xml:space="preserve">
IF($A$4&lt;=12,SUMIFS('ON Data'!I:I,'ON Data'!$D:$D,$A$4,'ON Data'!$E:$E,2),SUMIFS('ON Data'!I:I,'ON Data'!$E:$E,2))</f>
        <v>0</v>
      </c>
      <c r="F11" s="415">
        <f xml:space="preserve">
IF($A$4&lt;=12,SUMIFS('ON Data'!K:K,'ON Data'!$D:$D,$A$4,'ON Data'!$E:$E,2),SUMIFS('ON Data'!K:K,'ON Data'!$E:$E,2))</f>
        <v>10973.5</v>
      </c>
      <c r="G11" s="415">
        <f xml:space="preserve">
IF($A$4&lt;=12,SUMIFS('ON Data'!L:L,'ON Data'!$D:$D,$A$4,'ON Data'!$E:$E,2),SUMIFS('ON Data'!L:L,'ON Data'!$E:$E,2))</f>
        <v>0</v>
      </c>
      <c r="H11" s="415">
        <f xml:space="preserve">
IF($A$4&lt;=12,SUMIFS('ON Data'!M:M,'ON Data'!$D:$D,$A$4,'ON Data'!$E:$E,2),SUMIFS('ON Data'!M:M,'ON Data'!$E:$E,2))</f>
        <v>0</v>
      </c>
      <c r="I11" s="415">
        <f xml:space="preserve">
IF($A$4&lt;=12,SUMIFS('ON Data'!N:N,'ON Data'!$D:$D,$A$4,'ON Data'!$E:$E,2),SUMIFS('ON Data'!N:N,'ON Data'!$E:$E,2))</f>
        <v>0</v>
      </c>
      <c r="J11" s="415">
        <f xml:space="preserve">
IF($A$4&lt;=12,SUMIFS('ON Data'!O:O,'ON Data'!$D:$D,$A$4,'ON Data'!$E:$E,2),SUMIFS('ON Data'!O:O,'ON Data'!$E:$E,2))</f>
        <v>0</v>
      </c>
      <c r="K11" s="415">
        <f xml:space="preserve">
IF($A$4&lt;=12,SUMIFS('ON Data'!P:P,'ON Data'!$D:$D,$A$4,'ON Data'!$E:$E,2),SUMIFS('ON Data'!P:P,'ON Data'!$E:$E,2))</f>
        <v>0</v>
      </c>
      <c r="L11" s="415">
        <f xml:space="preserve">
IF($A$4&lt;=12,SUMIFS('ON Data'!Q:Q,'ON Data'!$D:$D,$A$4,'ON Data'!$E:$E,2),SUMIFS('ON Data'!Q:Q,'ON Data'!$E:$E,2))</f>
        <v>0</v>
      </c>
      <c r="M11" s="415">
        <f xml:space="preserve">
IF($A$4&lt;=12,SUMIFS('ON Data'!R:R,'ON Data'!$D:$D,$A$4,'ON Data'!$E:$E,2),SUMIFS('ON Data'!R:R,'ON Data'!$E:$E,2))</f>
        <v>480</v>
      </c>
      <c r="N11" s="415">
        <f xml:space="preserve">
IF($A$4&lt;=12,SUMIFS('ON Data'!S:S,'ON Data'!$D:$D,$A$4,'ON Data'!$E:$E,2),SUMIFS('ON Data'!S:S,'ON Data'!$E:$E,2))</f>
        <v>0</v>
      </c>
      <c r="O11" s="415">
        <f xml:space="preserve">
IF($A$4&lt;=12,SUMIFS('ON Data'!T:T,'ON Data'!$D:$D,$A$4,'ON Data'!$E:$E,2),SUMIFS('ON Data'!T:T,'ON Data'!$E:$E,2))</f>
        <v>0</v>
      </c>
      <c r="P11" s="415">
        <f xml:space="preserve">
IF($A$4&lt;=12,SUMIFS('ON Data'!U:U,'ON Data'!$D:$D,$A$4,'ON Data'!$E:$E,2),SUMIFS('ON Data'!U:U,'ON Data'!$E:$E,2))</f>
        <v>0</v>
      </c>
      <c r="Q11" s="415">
        <f xml:space="preserve">
IF($A$4&lt;=12,SUMIFS('ON Data'!V:V,'ON Data'!$D:$D,$A$4,'ON Data'!$E:$E,2),SUMIFS('ON Data'!V:V,'ON Data'!$E:$E,2))</f>
        <v>0</v>
      </c>
      <c r="R11" s="415">
        <f xml:space="preserve">
IF($A$4&lt;=12,SUMIFS('ON Data'!W:W,'ON Data'!$D:$D,$A$4,'ON Data'!$E:$E,2),SUMIFS('ON Data'!W:W,'ON Data'!$E:$E,2))</f>
        <v>0</v>
      </c>
      <c r="S11" s="415">
        <f xml:space="preserve">
IF($A$4&lt;=12,SUMIFS('ON Data'!X:X,'ON Data'!$D:$D,$A$4,'ON Data'!$E:$E,2),SUMIFS('ON Data'!X:X,'ON Data'!$E:$E,2))</f>
        <v>0</v>
      </c>
      <c r="T11" s="415">
        <f xml:space="preserve">
IF($A$4&lt;=12,SUMIFS('ON Data'!Y:Y,'ON Data'!$D:$D,$A$4,'ON Data'!$E:$E,2),SUMIFS('ON Data'!Y:Y,'ON Data'!$E:$E,2))</f>
        <v>0</v>
      </c>
      <c r="U11" s="415">
        <f xml:space="preserve">
IF($A$4&lt;=12,SUMIFS('ON Data'!Z:Z,'ON Data'!$D:$D,$A$4,'ON Data'!$E:$E,2),SUMIFS('ON Data'!Z:Z,'ON Data'!$E:$E,2))</f>
        <v>0</v>
      </c>
      <c r="V11" s="415">
        <f xml:space="preserve">
IF($A$4&lt;=12,SUMIFS('ON Data'!AA:AA,'ON Data'!$D:$D,$A$4,'ON Data'!$E:$E,2),SUMIFS('ON Data'!AA:AA,'ON Data'!$E:$E,2))</f>
        <v>0</v>
      </c>
      <c r="W11" s="415">
        <f xml:space="preserve">
IF($A$4&lt;=12,SUMIFS('ON Data'!AB:AB,'ON Data'!$D:$D,$A$4,'ON Data'!$E:$E,2),SUMIFS('ON Data'!AB:AB,'ON Data'!$E:$E,2))</f>
        <v>0</v>
      </c>
      <c r="X11" s="415">
        <f xml:space="preserve">
IF($A$4&lt;=12,SUMIFS('ON Data'!AC:AC,'ON Data'!$D:$D,$A$4,'ON Data'!$E:$E,2),SUMIFS('ON Data'!AC:AC,'ON Data'!$E:$E,2))</f>
        <v>0</v>
      </c>
      <c r="Y11" s="415">
        <f xml:space="preserve">
IF($A$4&lt;=12,SUMIFS('ON Data'!AD:AD,'ON Data'!$D:$D,$A$4,'ON Data'!$E:$E,2),SUMIFS('ON Data'!AD:AD,'ON Data'!$E:$E,2))</f>
        <v>0</v>
      </c>
      <c r="Z11" s="415">
        <f xml:space="preserve">
IF($A$4&lt;=12,SUMIFS('ON Data'!AE:AE,'ON Data'!$D:$D,$A$4,'ON Data'!$E:$E,2),SUMIFS('ON Data'!AE:AE,'ON Data'!$E:$E,2))</f>
        <v>992</v>
      </c>
      <c r="AA11" s="415">
        <f xml:space="preserve">
IF($A$4&lt;=12,SUMIFS('ON Data'!AF:AF,'ON Data'!$D:$D,$A$4,'ON Data'!$E:$E,2),SUMIFS('ON Data'!AF:AF,'ON Data'!$E:$E,2))</f>
        <v>0</v>
      </c>
      <c r="AB11" s="415">
        <f xml:space="preserve">
IF($A$4&lt;=12,SUMIFS('ON Data'!AG:AG,'ON Data'!$D:$D,$A$4,'ON Data'!$E:$E,2),SUMIFS('ON Data'!AG:AG,'ON Data'!$E:$E,2))</f>
        <v>0</v>
      </c>
      <c r="AC11" s="415">
        <f xml:space="preserve">
IF($A$4&lt;=12,SUMIFS('ON Data'!AH:AH,'ON Data'!$D:$D,$A$4,'ON Data'!$E:$E,2),SUMIFS('ON Data'!AH:AH,'ON Data'!$E:$E,2))</f>
        <v>5980.25</v>
      </c>
      <c r="AD11" s="415">
        <f xml:space="preserve">
IF($A$4&lt;=12,SUMIFS('ON Data'!AI:AI,'ON Data'!$D:$D,$A$4,'ON Data'!$E:$E,2),SUMIFS('ON Data'!AI:AI,'ON Data'!$E:$E,2))</f>
        <v>0</v>
      </c>
      <c r="AE11" s="415">
        <f xml:space="preserve">
IF($A$4&lt;=12,SUMIFS('ON Data'!AJ:AJ,'ON Data'!$D:$D,$A$4,'ON Data'!$E:$E,2),SUMIFS('ON Data'!AJ:AJ,'ON Data'!$E:$E,2))</f>
        <v>0</v>
      </c>
      <c r="AF11" s="415">
        <f xml:space="preserve">
IF($A$4&lt;=12,SUMIFS('ON Data'!AK:AK,'ON Data'!$D:$D,$A$4,'ON Data'!$E:$E,2),SUMIFS('ON Data'!AK:AK,'ON Data'!$E:$E,2))</f>
        <v>0</v>
      </c>
      <c r="AG11" s="737">
        <f xml:space="preserve">
IF($A$4&lt;=12,SUMIFS('ON Data'!AM:AM,'ON Data'!$D:$D,$A$4,'ON Data'!$E:$E,2),SUMIFS('ON Data'!AM:AM,'ON Data'!$E:$E,2))</f>
        <v>1296</v>
      </c>
      <c r="AH11" s="746"/>
    </row>
    <row r="12" spans="1:34" x14ac:dyDescent="0.3">
      <c r="A12" s="396" t="s">
        <v>262</v>
      </c>
      <c r="B12" s="413">
        <f xml:space="preserve">
IF($A$4&lt;=12,SUMIFS('ON Data'!F:F,'ON Data'!$D:$D,$A$4,'ON Data'!$E:$E,3),SUMIFS('ON Data'!F:F,'ON Data'!$E:$E,3))</f>
        <v>70</v>
      </c>
      <c r="C12" s="414">
        <f xml:space="preserve">
IF($A$4&lt;=12,SUMIFS('ON Data'!G:G,'ON Data'!$D:$D,$A$4,'ON Data'!$E:$E,3),SUMIFS('ON Data'!G:G,'ON Data'!$E:$E,3))</f>
        <v>0</v>
      </c>
      <c r="D12" s="415">
        <f xml:space="preserve">
IF($A$4&lt;=12,SUMIFS('ON Data'!H:H,'ON Data'!$D:$D,$A$4,'ON Data'!$E:$E,3),SUMIFS('ON Data'!H:H,'ON Data'!$E:$E,3))</f>
        <v>70</v>
      </c>
      <c r="E12" s="415">
        <f xml:space="preserve">
IF($A$4&lt;=12,SUMIFS('ON Data'!I:I,'ON Data'!$D:$D,$A$4,'ON Data'!$E:$E,3),SUMIFS('ON Data'!I:I,'ON Data'!$E:$E,3))</f>
        <v>0</v>
      </c>
      <c r="F12" s="415">
        <f xml:space="preserve">
IF($A$4&lt;=12,SUMIFS('ON Data'!K:K,'ON Data'!$D:$D,$A$4,'ON Data'!$E:$E,3),SUMIFS('ON Data'!K:K,'ON Data'!$E:$E,3))</f>
        <v>0</v>
      </c>
      <c r="G12" s="415">
        <f xml:space="preserve">
IF($A$4&lt;=12,SUMIFS('ON Data'!L:L,'ON Data'!$D:$D,$A$4,'ON Data'!$E:$E,3),SUMIFS('ON Data'!L:L,'ON Data'!$E:$E,3))</f>
        <v>0</v>
      </c>
      <c r="H12" s="415">
        <f xml:space="preserve">
IF($A$4&lt;=12,SUMIFS('ON Data'!M:M,'ON Data'!$D:$D,$A$4,'ON Data'!$E:$E,3),SUMIFS('ON Data'!M:M,'ON Data'!$E:$E,3))</f>
        <v>0</v>
      </c>
      <c r="I12" s="415">
        <f xml:space="preserve">
IF($A$4&lt;=12,SUMIFS('ON Data'!N:N,'ON Data'!$D:$D,$A$4,'ON Data'!$E:$E,3),SUMIFS('ON Data'!N:N,'ON Data'!$E:$E,3))</f>
        <v>0</v>
      </c>
      <c r="J12" s="415">
        <f xml:space="preserve">
IF($A$4&lt;=12,SUMIFS('ON Data'!O:O,'ON Data'!$D:$D,$A$4,'ON Data'!$E:$E,3),SUMIFS('ON Data'!O:O,'ON Data'!$E:$E,3))</f>
        <v>0</v>
      </c>
      <c r="K12" s="415">
        <f xml:space="preserve">
IF($A$4&lt;=12,SUMIFS('ON Data'!P:P,'ON Data'!$D:$D,$A$4,'ON Data'!$E:$E,3),SUMIFS('ON Data'!P:P,'ON Data'!$E:$E,3))</f>
        <v>0</v>
      </c>
      <c r="L12" s="415">
        <f xml:space="preserve">
IF($A$4&lt;=12,SUMIFS('ON Data'!Q:Q,'ON Data'!$D:$D,$A$4,'ON Data'!$E:$E,3),SUMIFS('ON Data'!Q:Q,'ON Data'!$E:$E,3))</f>
        <v>0</v>
      </c>
      <c r="M12" s="415">
        <f xml:space="preserve">
IF($A$4&lt;=12,SUMIFS('ON Data'!R:R,'ON Data'!$D:$D,$A$4,'ON Data'!$E:$E,3),SUMIFS('ON Data'!R:R,'ON Data'!$E:$E,3))</f>
        <v>0</v>
      </c>
      <c r="N12" s="415">
        <f xml:space="preserve">
IF($A$4&lt;=12,SUMIFS('ON Data'!S:S,'ON Data'!$D:$D,$A$4,'ON Data'!$E:$E,3),SUMIFS('ON Data'!S:S,'ON Data'!$E:$E,3))</f>
        <v>0</v>
      </c>
      <c r="O12" s="415">
        <f xml:space="preserve">
IF($A$4&lt;=12,SUMIFS('ON Data'!T:T,'ON Data'!$D:$D,$A$4,'ON Data'!$E:$E,3),SUMIFS('ON Data'!T:T,'ON Data'!$E:$E,3))</f>
        <v>0</v>
      </c>
      <c r="P12" s="415">
        <f xml:space="preserve">
IF($A$4&lt;=12,SUMIFS('ON Data'!U:U,'ON Data'!$D:$D,$A$4,'ON Data'!$E:$E,3),SUMIFS('ON Data'!U:U,'ON Data'!$E:$E,3))</f>
        <v>0</v>
      </c>
      <c r="Q12" s="415">
        <f xml:space="preserve">
IF($A$4&lt;=12,SUMIFS('ON Data'!V:V,'ON Data'!$D:$D,$A$4,'ON Data'!$E:$E,3),SUMIFS('ON Data'!V:V,'ON Data'!$E:$E,3))</f>
        <v>0</v>
      </c>
      <c r="R12" s="415">
        <f xml:space="preserve">
IF($A$4&lt;=12,SUMIFS('ON Data'!W:W,'ON Data'!$D:$D,$A$4,'ON Data'!$E:$E,3),SUMIFS('ON Data'!W:W,'ON Data'!$E:$E,3))</f>
        <v>0</v>
      </c>
      <c r="S12" s="415">
        <f xml:space="preserve">
IF($A$4&lt;=12,SUMIFS('ON Data'!X:X,'ON Data'!$D:$D,$A$4,'ON Data'!$E:$E,3),SUMIFS('ON Data'!X:X,'ON Data'!$E:$E,3))</f>
        <v>0</v>
      </c>
      <c r="T12" s="415">
        <f xml:space="preserve">
IF($A$4&lt;=12,SUMIFS('ON Data'!Y:Y,'ON Data'!$D:$D,$A$4,'ON Data'!$E:$E,3),SUMIFS('ON Data'!Y:Y,'ON Data'!$E:$E,3))</f>
        <v>0</v>
      </c>
      <c r="U12" s="415">
        <f xml:space="preserve">
IF($A$4&lt;=12,SUMIFS('ON Data'!Z:Z,'ON Data'!$D:$D,$A$4,'ON Data'!$E:$E,3),SUMIFS('ON Data'!Z:Z,'ON Data'!$E:$E,3))</f>
        <v>0</v>
      </c>
      <c r="V12" s="415">
        <f xml:space="preserve">
IF($A$4&lt;=12,SUMIFS('ON Data'!AA:AA,'ON Data'!$D:$D,$A$4,'ON Data'!$E:$E,3),SUMIFS('ON Data'!AA:AA,'ON Data'!$E:$E,3))</f>
        <v>0</v>
      </c>
      <c r="W12" s="415">
        <f xml:space="preserve">
IF($A$4&lt;=12,SUMIFS('ON Data'!AB:AB,'ON Data'!$D:$D,$A$4,'ON Data'!$E:$E,3),SUMIFS('ON Data'!AB:AB,'ON Data'!$E:$E,3))</f>
        <v>0</v>
      </c>
      <c r="X12" s="415">
        <f xml:space="preserve">
IF($A$4&lt;=12,SUMIFS('ON Data'!AC:AC,'ON Data'!$D:$D,$A$4,'ON Data'!$E:$E,3),SUMIFS('ON Data'!AC:AC,'ON Data'!$E:$E,3))</f>
        <v>0</v>
      </c>
      <c r="Y12" s="415">
        <f xml:space="preserve">
IF($A$4&lt;=12,SUMIFS('ON Data'!AD:AD,'ON Data'!$D:$D,$A$4,'ON Data'!$E:$E,3),SUMIFS('ON Data'!AD:AD,'ON Data'!$E:$E,3))</f>
        <v>0</v>
      </c>
      <c r="Z12" s="415">
        <f xml:space="preserve">
IF($A$4&lt;=12,SUMIFS('ON Data'!AE:AE,'ON Data'!$D:$D,$A$4,'ON Data'!$E:$E,3),SUMIFS('ON Data'!AE:AE,'ON Data'!$E:$E,3))</f>
        <v>0</v>
      </c>
      <c r="AA12" s="415">
        <f xml:space="preserve">
IF($A$4&lt;=12,SUMIFS('ON Data'!AF:AF,'ON Data'!$D:$D,$A$4,'ON Data'!$E:$E,3),SUMIFS('ON Data'!AF:AF,'ON Data'!$E:$E,3))</f>
        <v>0</v>
      </c>
      <c r="AB12" s="415">
        <f xml:space="preserve">
IF($A$4&lt;=12,SUMIFS('ON Data'!AG:AG,'ON Data'!$D:$D,$A$4,'ON Data'!$E:$E,3),SUMIFS('ON Data'!AG:AG,'ON Data'!$E:$E,3))</f>
        <v>0</v>
      </c>
      <c r="AC12" s="415">
        <f xml:space="preserve">
IF($A$4&lt;=12,SUMIFS('ON Data'!AH:AH,'ON Data'!$D:$D,$A$4,'ON Data'!$E:$E,3),SUMIFS('ON Data'!AH:AH,'ON Data'!$E:$E,3))</f>
        <v>0</v>
      </c>
      <c r="AD12" s="415">
        <f xml:space="preserve">
IF($A$4&lt;=12,SUMIFS('ON Data'!AI:AI,'ON Data'!$D:$D,$A$4,'ON Data'!$E:$E,3),SUMIFS('ON Data'!AI:AI,'ON Data'!$E:$E,3))</f>
        <v>0</v>
      </c>
      <c r="AE12" s="415">
        <f xml:space="preserve">
IF($A$4&lt;=12,SUMIFS('ON Data'!AJ:AJ,'ON Data'!$D:$D,$A$4,'ON Data'!$E:$E,3),SUMIFS('ON Data'!AJ:AJ,'ON Data'!$E:$E,3))</f>
        <v>0</v>
      </c>
      <c r="AF12" s="415">
        <f xml:space="preserve">
IF($A$4&lt;=12,SUMIFS('ON Data'!AK:AK,'ON Data'!$D:$D,$A$4,'ON Data'!$E:$E,3),SUMIFS('ON Data'!AK:AK,'ON Data'!$E:$E,3))</f>
        <v>0</v>
      </c>
      <c r="AG12" s="737">
        <f xml:space="preserve">
IF($A$4&lt;=12,SUMIFS('ON Data'!AM:AM,'ON Data'!$D:$D,$A$4,'ON Data'!$E:$E,3),SUMIFS('ON Data'!AM:AM,'ON Data'!$E:$E,3))</f>
        <v>0</v>
      </c>
      <c r="AH12" s="746"/>
    </row>
    <row r="13" spans="1:34" x14ac:dyDescent="0.3">
      <c r="A13" s="396" t="s">
        <v>269</v>
      </c>
      <c r="B13" s="413">
        <f xml:space="preserve">
IF($A$4&lt;=12,SUMIFS('ON Data'!F:F,'ON Data'!$D:$D,$A$4,'ON Data'!$E:$E,4),SUMIFS('ON Data'!F:F,'ON Data'!$E:$E,4))</f>
        <v>469</v>
      </c>
      <c r="C13" s="414">
        <f xml:space="preserve">
IF($A$4&lt;=12,SUMIFS('ON Data'!G:G,'ON Data'!$D:$D,$A$4,'ON Data'!$E:$E,4),SUMIFS('ON Data'!G:G,'ON Data'!$E:$E,4))</f>
        <v>0</v>
      </c>
      <c r="D13" s="415">
        <f xml:space="preserve">
IF($A$4&lt;=12,SUMIFS('ON Data'!H:H,'ON Data'!$D:$D,$A$4,'ON Data'!$E:$E,4),SUMIFS('ON Data'!H:H,'ON Data'!$E:$E,4))</f>
        <v>469</v>
      </c>
      <c r="E13" s="415">
        <f xml:space="preserve">
IF($A$4&lt;=12,SUMIFS('ON Data'!I:I,'ON Data'!$D:$D,$A$4,'ON Data'!$E:$E,4),SUMIFS('ON Data'!I:I,'ON Data'!$E:$E,4))</f>
        <v>0</v>
      </c>
      <c r="F13" s="415">
        <f xml:space="preserve">
IF($A$4&lt;=12,SUMIFS('ON Data'!K:K,'ON Data'!$D:$D,$A$4,'ON Data'!$E:$E,4),SUMIFS('ON Data'!K:K,'ON Data'!$E:$E,4))</f>
        <v>0</v>
      </c>
      <c r="G13" s="415">
        <f xml:space="preserve">
IF($A$4&lt;=12,SUMIFS('ON Data'!L:L,'ON Data'!$D:$D,$A$4,'ON Data'!$E:$E,4),SUMIFS('ON Data'!L:L,'ON Data'!$E:$E,4))</f>
        <v>0</v>
      </c>
      <c r="H13" s="415">
        <f xml:space="preserve">
IF($A$4&lt;=12,SUMIFS('ON Data'!M:M,'ON Data'!$D:$D,$A$4,'ON Data'!$E:$E,4),SUMIFS('ON Data'!M:M,'ON Data'!$E:$E,4))</f>
        <v>0</v>
      </c>
      <c r="I13" s="415">
        <f xml:space="preserve">
IF($A$4&lt;=12,SUMIFS('ON Data'!N:N,'ON Data'!$D:$D,$A$4,'ON Data'!$E:$E,4),SUMIFS('ON Data'!N:N,'ON Data'!$E:$E,4))</f>
        <v>0</v>
      </c>
      <c r="J13" s="415">
        <f xml:space="preserve">
IF($A$4&lt;=12,SUMIFS('ON Data'!O:O,'ON Data'!$D:$D,$A$4,'ON Data'!$E:$E,4),SUMIFS('ON Data'!O:O,'ON Data'!$E:$E,4))</f>
        <v>0</v>
      </c>
      <c r="K13" s="415">
        <f xml:space="preserve">
IF($A$4&lt;=12,SUMIFS('ON Data'!P:P,'ON Data'!$D:$D,$A$4,'ON Data'!$E:$E,4),SUMIFS('ON Data'!P:P,'ON Data'!$E:$E,4))</f>
        <v>0</v>
      </c>
      <c r="L13" s="415">
        <f xml:space="preserve">
IF($A$4&lt;=12,SUMIFS('ON Data'!Q:Q,'ON Data'!$D:$D,$A$4,'ON Data'!$E:$E,4),SUMIFS('ON Data'!Q:Q,'ON Data'!$E:$E,4))</f>
        <v>0</v>
      </c>
      <c r="M13" s="415">
        <f xml:space="preserve">
IF($A$4&lt;=12,SUMIFS('ON Data'!R:R,'ON Data'!$D:$D,$A$4,'ON Data'!$E:$E,4),SUMIFS('ON Data'!R:R,'ON Data'!$E:$E,4))</f>
        <v>0</v>
      </c>
      <c r="N13" s="415">
        <f xml:space="preserve">
IF($A$4&lt;=12,SUMIFS('ON Data'!S:S,'ON Data'!$D:$D,$A$4,'ON Data'!$E:$E,4),SUMIFS('ON Data'!S:S,'ON Data'!$E:$E,4))</f>
        <v>0</v>
      </c>
      <c r="O13" s="415">
        <f xml:space="preserve">
IF($A$4&lt;=12,SUMIFS('ON Data'!T:T,'ON Data'!$D:$D,$A$4,'ON Data'!$E:$E,4),SUMIFS('ON Data'!T:T,'ON Data'!$E:$E,4))</f>
        <v>0</v>
      </c>
      <c r="P13" s="415">
        <f xml:space="preserve">
IF($A$4&lt;=12,SUMIFS('ON Data'!U:U,'ON Data'!$D:$D,$A$4,'ON Data'!$E:$E,4),SUMIFS('ON Data'!U:U,'ON Data'!$E:$E,4))</f>
        <v>0</v>
      </c>
      <c r="Q13" s="415">
        <f xml:space="preserve">
IF($A$4&lt;=12,SUMIFS('ON Data'!V:V,'ON Data'!$D:$D,$A$4,'ON Data'!$E:$E,4),SUMIFS('ON Data'!V:V,'ON Data'!$E:$E,4))</f>
        <v>0</v>
      </c>
      <c r="R13" s="415">
        <f xml:space="preserve">
IF($A$4&lt;=12,SUMIFS('ON Data'!W:W,'ON Data'!$D:$D,$A$4,'ON Data'!$E:$E,4),SUMIFS('ON Data'!W:W,'ON Data'!$E:$E,4))</f>
        <v>0</v>
      </c>
      <c r="S13" s="415">
        <f xml:space="preserve">
IF($A$4&lt;=12,SUMIFS('ON Data'!X:X,'ON Data'!$D:$D,$A$4,'ON Data'!$E:$E,4),SUMIFS('ON Data'!X:X,'ON Data'!$E:$E,4))</f>
        <v>0</v>
      </c>
      <c r="T13" s="415">
        <f xml:space="preserve">
IF($A$4&lt;=12,SUMIFS('ON Data'!Y:Y,'ON Data'!$D:$D,$A$4,'ON Data'!$E:$E,4),SUMIFS('ON Data'!Y:Y,'ON Data'!$E:$E,4))</f>
        <v>0</v>
      </c>
      <c r="U13" s="415">
        <f xml:space="preserve">
IF($A$4&lt;=12,SUMIFS('ON Data'!Z:Z,'ON Data'!$D:$D,$A$4,'ON Data'!$E:$E,4),SUMIFS('ON Data'!Z:Z,'ON Data'!$E:$E,4))</f>
        <v>0</v>
      </c>
      <c r="V13" s="415">
        <f xml:space="preserve">
IF($A$4&lt;=12,SUMIFS('ON Data'!AA:AA,'ON Data'!$D:$D,$A$4,'ON Data'!$E:$E,4),SUMIFS('ON Data'!AA:AA,'ON Data'!$E:$E,4))</f>
        <v>0</v>
      </c>
      <c r="W13" s="415">
        <f xml:space="preserve">
IF($A$4&lt;=12,SUMIFS('ON Data'!AB:AB,'ON Data'!$D:$D,$A$4,'ON Data'!$E:$E,4),SUMIFS('ON Data'!AB:AB,'ON Data'!$E:$E,4))</f>
        <v>0</v>
      </c>
      <c r="X13" s="415">
        <f xml:space="preserve">
IF($A$4&lt;=12,SUMIFS('ON Data'!AC:AC,'ON Data'!$D:$D,$A$4,'ON Data'!$E:$E,4),SUMIFS('ON Data'!AC:AC,'ON Data'!$E:$E,4))</f>
        <v>0</v>
      </c>
      <c r="Y13" s="415">
        <f xml:space="preserve">
IF($A$4&lt;=12,SUMIFS('ON Data'!AD:AD,'ON Data'!$D:$D,$A$4,'ON Data'!$E:$E,4),SUMIFS('ON Data'!AD:AD,'ON Data'!$E:$E,4))</f>
        <v>0</v>
      </c>
      <c r="Z13" s="415">
        <f xml:space="preserve">
IF($A$4&lt;=12,SUMIFS('ON Data'!AE:AE,'ON Data'!$D:$D,$A$4,'ON Data'!$E:$E,4),SUMIFS('ON Data'!AE:AE,'ON Data'!$E:$E,4))</f>
        <v>0</v>
      </c>
      <c r="AA13" s="415">
        <f xml:space="preserve">
IF($A$4&lt;=12,SUMIFS('ON Data'!AF:AF,'ON Data'!$D:$D,$A$4,'ON Data'!$E:$E,4),SUMIFS('ON Data'!AF:AF,'ON Data'!$E:$E,4))</f>
        <v>0</v>
      </c>
      <c r="AB13" s="415">
        <f xml:space="preserve">
IF($A$4&lt;=12,SUMIFS('ON Data'!AG:AG,'ON Data'!$D:$D,$A$4,'ON Data'!$E:$E,4),SUMIFS('ON Data'!AG:AG,'ON Data'!$E:$E,4))</f>
        <v>0</v>
      </c>
      <c r="AC13" s="415">
        <f xml:space="preserve">
IF($A$4&lt;=12,SUMIFS('ON Data'!AH:AH,'ON Data'!$D:$D,$A$4,'ON Data'!$E:$E,4),SUMIFS('ON Data'!AH:AH,'ON Data'!$E:$E,4))</f>
        <v>0</v>
      </c>
      <c r="AD13" s="415">
        <f xml:space="preserve">
IF($A$4&lt;=12,SUMIFS('ON Data'!AI:AI,'ON Data'!$D:$D,$A$4,'ON Data'!$E:$E,4),SUMIFS('ON Data'!AI:AI,'ON Data'!$E:$E,4))</f>
        <v>0</v>
      </c>
      <c r="AE13" s="415">
        <f xml:space="preserve">
IF($A$4&lt;=12,SUMIFS('ON Data'!AJ:AJ,'ON Data'!$D:$D,$A$4,'ON Data'!$E:$E,4),SUMIFS('ON Data'!AJ:AJ,'ON Data'!$E:$E,4))</f>
        <v>0</v>
      </c>
      <c r="AF13" s="415">
        <f xml:space="preserve">
IF($A$4&lt;=12,SUMIFS('ON Data'!AK:AK,'ON Data'!$D:$D,$A$4,'ON Data'!$E:$E,4),SUMIFS('ON Data'!AK:AK,'ON Data'!$E:$E,4))</f>
        <v>0</v>
      </c>
      <c r="AG13" s="737">
        <f xml:space="preserve">
IF($A$4&lt;=12,SUMIFS('ON Data'!AM:AM,'ON Data'!$D:$D,$A$4,'ON Data'!$E:$E,4),SUMIFS('ON Data'!AM:AM,'ON Data'!$E:$E,4))</f>
        <v>0</v>
      </c>
      <c r="AH13" s="746"/>
    </row>
    <row r="14" spans="1:34" ht="15" thickBot="1" x14ac:dyDescent="0.35">
      <c r="A14" s="397" t="s">
        <v>263</v>
      </c>
      <c r="B14" s="416">
        <f xml:space="preserve">
IF($A$4&lt;=12,SUMIFS('ON Data'!F:F,'ON Data'!$D:$D,$A$4,'ON Data'!$E:$E,5),SUMIFS('ON Data'!F:F,'ON Data'!$E:$E,5))</f>
        <v>27</v>
      </c>
      <c r="C14" s="417">
        <f xml:space="preserve">
IF($A$4&lt;=12,SUMIFS('ON Data'!G:G,'ON Data'!$D:$D,$A$4,'ON Data'!$E:$E,5),SUMIFS('ON Data'!G:G,'ON Data'!$E:$E,5))</f>
        <v>27</v>
      </c>
      <c r="D14" s="418">
        <f xml:space="preserve">
IF($A$4&lt;=12,SUMIFS('ON Data'!H:H,'ON Data'!$D:$D,$A$4,'ON Data'!$E:$E,5),SUMIFS('ON Data'!H:H,'ON Data'!$E:$E,5))</f>
        <v>0</v>
      </c>
      <c r="E14" s="418">
        <f xml:space="preserve">
IF($A$4&lt;=12,SUMIFS('ON Data'!I:I,'ON Data'!$D:$D,$A$4,'ON Data'!$E:$E,5),SUMIFS('ON Data'!I:I,'ON Data'!$E:$E,5))</f>
        <v>0</v>
      </c>
      <c r="F14" s="418">
        <f xml:space="preserve">
IF($A$4&lt;=12,SUMIFS('ON Data'!K:K,'ON Data'!$D:$D,$A$4,'ON Data'!$E:$E,5),SUMIFS('ON Data'!K:K,'ON Data'!$E:$E,5))</f>
        <v>0</v>
      </c>
      <c r="G14" s="418">
        <f xml:space="preserve">
IF($A$4&lt;=12,SUMIFS('ON Data'!L:L,'ON Data'!$D:$D,$A$4,'ON Data'!$E:$E,5),SUMIFS('ON Data'!L:L,'ON Data'!$E:$E,5))</f>
        <v>0</v>
      </c>
      <c r="H14" s="418">
        <f xml:space="preserve">
IF($A$4&lt;=12,SUMIFS('ON Data'!M:M,'ON Data'!$D:$D,$A$4,'ON Data'!$E:$E,5),SUMIFS('ON Data'!M:M,'ON Data'!$E:$E,5))</f>
        <v>0</v>
      </c>
      <c r="I14" s="418">
        <f xml:space="preserve">
IF($A$4&lt;=12,SUMIFS('ON Data'!N:N,'ON Data'!$D:$D,$A$4,'ON Data'!$E:$E,5),SUMIFS('ON Data'!N:N,'ON Data'!$E:$E,5))</f>
        <v>0</v>
      </c>
      <c r="J14" s="418">
        <f xml:space="preserve">
IF($A$4&lt;=12,SUMIFS('ON Data'!O:O,'ON Data'!$D:$D,$A$4,'ON Data'!$E:$E,5),SUMIFS('ON Data'!O:O,'ON Data'!$E:$E,5))</f>
        <v>0</v>
      </c>
      <c r="K14" s="418">
        <f xml:space="preserve">
IF($A$4&lt;=12,SUMIFS('ON Data'!P:P,'ON Data'!$D:$D,$A$4,'ON Data'!$E:$E,5),SUMIFS('ON Data'!P:P,'ON Data'!$E:$E,5))</f>
        <v>0</v>
      </c>
      <c r="L14" s="418">
        <f xml:space="preserve">
IF($A$4&lt;=12,SUMIFS('ON Data'!Q:Q,'ON Data'!$D:$D,$A$4,'ON Data'!$E:$E,5),SUMIFS('ON Data'!Q:Q,'ON Data'!$E:$E,5))</f>
        <v>0</v>
      </c>
      <c r="M14" s="418">
        <f xml:space="preserve">
IF($A$4&lt;=12,SUMIFS('ON Data'!R:R,'ON Data'!$D:$D,$A$4,'ON Data'!$E:$E,5),SUMIFS('ON Data'!R:R,'ON Data'!$E:$E,5))</f>
        <v>0</v>
      </c>
      <c r="N14" s="418">
        <f xml:space="preserve">
IF($A$4&lt;=12,SUMIFS('ON Data'!S:S,'ON Data'!$D:$D,$A$4,'ON Data'!$E:$E,5),SUMIFS('ON Data'!S:S,'ON Data'!$E:$E,5))</f>
        <v>0</v>
      </c>
      <c r="O14" s="418">
        <f xml:space="preserve">
IF($A$4&lt;=12,SUMIFS('ON Data'!T:T,'ON Data'!$D:$D,$A$4,'ON Data'!$E:$E,5),SUMIFS('ON Data'!T:T,'ON Data'!$E:$E,5))</f>
        <v>0</v>
      </c>
      <c r="P14" s="418">
        <f xml:space="preserve">
IF($A$4&lt;=12,SUMIFS('ON Data'!U:U,'ON Data'!$D:$D,$A$4,'ON Data'!$E:$E,5),SUMIFS('ON Data'!U:U,'ON Data'!$E:$E,5))</f>
        <v>0</v>
      </c>
      <c r="Q14" s="418">
        <f xml:space="preserve">
IF($A$4&lt;=12,SUMIFS('ON Data'!V:V,'ON Data'!$D:$D,$A$4,'ON Data'!$E:$E,5),SUMIFS('ON Data'!V:V,'ON Data'!$E:$E,5))</f>
        <v>0</v>
      </c>
      <c r="R14" s="418">
        <f xml:space="preserve">
IF($A$4&lt;=12,SUMIFS('ON Data'!W:W,'ON Data'!$D:$D,$A$4,'ON Data'!$E:$E,5),SUMIFS('ON Data'!W:W,'ON Data'!$E:$E,5))</f>
        <v>0</v>
      </c>
      <c r="S14" s="418">
        <f xml:space="preserve">
IF($A$4&lt;=12,SUMIFS('ON Data'!X:X,'ON Data'!$D:$D,$A$4,'ON Data'!$E:$E,5),SUMIFS('ON Data'!X:X,'ON Data'!$E:$E,5))</f>
        <v>0</v>
      </c>
      <c r="T14" s="418">
        <f xml:space="preserve">
IF($A$4&lt;=12,SUMIFS('ON Data'!Y:Y,'ON Data'!$D:$D,$A$4,'ON Data'!$E:$E,5),SUMIFS('ON Data'!Y:Y,'ON Data'!$E:$E,5))</f>
        <v>0</v>
      </c>
      <c r="U14" s="418">
        <f xml:space="preserve">
IF($A$4&lt;=12,SUMIFS('ON Data'!Z:Z,'ON Data'!$D:$D,$A$4,'ON Data'!$E:$E,5),SUMIFS('ON Data'!Z:Z,'ON Data'!$E:$E,5))</f>
        <v>0</v>
      </c>
      <c r="V14" s="418">
        <f xml:space="preserve">
IF($A$4&lt;=12,SUMIFS('ON Data'!AA:AA,'ON Data'!$D:$D,$A$4,'ON Data'!$E:$E,5),SUMIFS('ON Data'!AA:AA,'ON Data'!$E:$E,5))</f>
        <v>0</v>
      </c>
      <c r="W14" s="418">
        <f xml:space="preserve">
IF($A$4&lt;=12,SUMIFS('ON Data'!AB:AB,'ON Data'!$D:$D,$A$4,'ON Data'!$E:$E,5),SUMIFS('ON Data'!AB:AB,'ON Data'!$E:$E,5))</f>
        <v>0</v>
      </c>
      <c r="X14" s="418">
        <f xml:space="preserve">
IF($A$4&lt;=12,SUMIFS('ON Data'!AC:AC,'ON Data'!$D:$D,$A$4,'ON Data'!$E:$E,5),SUMIFS('ON Data'!AC:AC,'ON Data'!$E:$E,5))</f>
        <v>0</v>
      </c>
      <c r="Y14" s="418">
        <f xml:space="preserve">
IF($A$4&lt;=12,SUMIFS('ON Data'!AD:AD,'ON Data'!$D:$D,$A$4,'ON Data'!$E:$E,5),SUMIFS('ON Data'!AD:AD,'ON Data'!$E:$E,5))</f>
        <v>0</v>
      </c>
      <c r="Z14" s="418">
        <f xml:space="preserve">
IF($A$4&lt;=12,SUMIFS('ON Data'!AE:AE,'ON Data'!$D:$D,$A$4,'ON Data'!$E:$E,5),SUMIFS('ON Data'!AE:AE,'ON Data'!$E:$E,5))</f>
        <v>0</v>
      </c>
      <c r="AA14" s="418">
        <f xml:space="preserve">
IF($A$4&lt;=12,SUMIFS('ON Data'!AF:AF,'ON Data'!$D:$D,$A$4,'ON Data'!$E:$E,5),SUMIFS('ON Data'!AF:AF,'ON Data'!$E:$E,5))</f>
        <v>0</v>
      </c>
      <c r="AB14" s="418">
        <f xml:space="preserve">
IF($A$4&lt;=12,SUMIFS('ON Data'!AG:AG,'ON Data'!$D:$D,$A$4,'ON Data'!$E:$E,5),SUMIFS('ON Data'!AG:AG,'ON Data'!$E:$E,5))</f>
        <v>0</v>
      </c>
      <c r="AC14" s="418">
        <f xml:space="preserve">
IF($A$4&lt;=12,SUMIFS('ON Data'!AH:AH,'ON Data'!$D:$D,$A$4,'ON Data'!$E:$E,5),SUMIFS('ON Data'!AH:AH,'ON Data'!$E:$E,5))</f>
        <v>0</v>
      </c>
      <c r="AD14" s="418">
        <f xml:space="preserve">
IF($A$4&lt;=12,SUMIFS('ON Data'!AI:AI,'ON Data'!$D:$D,$A$4,'ON Data'!$E:$E,5),SUMIFS('ON Data'!AI:AI,'ON Data'!$E:$E,5))</f>
        <v>0</v>
      </c>
      <c r="AE14" s="418">
        <f xml:space="preserve">
IF($A$4&lt;=12,SUMIFS('ON Data'!AJ:AJ,'ON Data'!$D:$D,$A$4,'ON Data'!$E:$E,5),SUMIFS('ON Data'!AJ:AJ,'ON Data'!$E:$E,5))</f>
        <v>0</v>
      </c>
      <c r="AF14" s="418">
        <f xml:space="preserve">
IF($A$4&lt;=12,SUMIFS('ON Data'!AK:AK,'ON Data'!$D:$D,$A$4,'ON Data'!$E:$E,5),SUMIFS('ON Data'!AK:AK,'ON Data'!$E:$E,5))</f>
        <v>0</v>
      </c>
      <c r="AG14" s="738">
        <f xml:space="preserve">
IF($A$4&lt;=12,SUMIFS('ON Data'!AM:AM,'ON Data'!$D:$D,$A$4,'ON Data'!$E:$E,5),SUMIFS('ON Data'!AM:AM,'ON Data'!$E:$E,5))</f>
        <v>0</v>
      </c>
      <c r="AH14" s="746"/>
    </row>
    <row r="15" spans="1:34" x14ac:dyDescent="0.3">
      <c r="A15" s="292" t="s">
        <v>273</v>
      </c>
      <c r="B15" s="419"/>
      <c r="C15" s="420"/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21"/>
      <c r="AF15" s="421"/>
      <c r="AG15" s="739"/>
      <c r="AH15" s="746"/>
    </row>
    <row r="16" spans="1:34" x14ac:dyDescent="0.3">
      <c r="A16" s="398" t="s">
        <v>264</v>
      </c>
      <c r="B16" s="413">
        <f xml:space="preserve">
IF($A$4&lt;=12,SUMIFS('ON Data'!F:F,'ON Data'!$D:$D,$A$4,'ON Data'!$E:$E,7),SUMIFS('ON Data'!F:F,'ON Data'!$E:$E,7))</f>
        <v>0</v>
      </c>
      <c r="C16" s="414">
        <f xml:space="preserve">
IF($A$4&lt;=12,SUMIFS('ON Data'!G:G,'ON Data'!$D:$D,$A$4,'ON Data'!$E:$E,7),SUMIFS('ON Data'!G:G,'ON Data'!$E:$E,7))</f>
        <v>0</v>
      </c>
      <c r="D16" s="415">
        <f xml:space="preserve">
IF($A$4&lt;=12,SUMIFS('ON Data'!H:H,'ON Data'!$D:$D,$A$4,'ON Data'!$E:$E,7),SUMIFS('ON Data'!H:H,'ON Data'!$E:$E,7))</f>
        <v>0</v>
      </c>
      <c r="E16" s="415">
        <f xml:space="preserve">
IF($A$4&lt;=12,SUMIFS('ON Data'!I:I,'ON Data'!$D:$D,$A$4,'ON Data'!$E:$E,7),SUMIFS('ON Data'!I:I,'ON Data'!$E:$E,7))</f>
        <v>0</v>
      </c>
      <c r="F16" s="415">
        <f xml:space="preserve">
IF($A$4&lt;=12,SUMIFS('ON Data'!K:K,'ON Data'!$D:$D,$A$4,'ON Data'!$E:$E,7),SUMIFS('ON Data'!K:K,'ON Data'!$E:$E,7))</f>
        <v>0</v>
      </c>
      <c r="G16" s="415">
        <f xml:space="preserve">
IF($A$4&lt;=12,SUMIFS('ON Data'!L:L,'ON Data'!$D:$D,$A$4,'ON Data'!$E:$E,7),SUMIFS('ON Data'!L:L,'ON Data'!$E:$E,7))</f>
        <v>0</v>
      </c>
      <c r="H16" s="415">
        <f xml:space="preserve">
IF($A$4&lt;=12,SUMIFS('ON Data'!M:M,'ON Data'!$D:$D,$A$4,'ON Data'!$E:$E,7),SUMIFS('ON Data'!M:M,'ON Data'!$E:$E,7))</f>
        <v>0</v>
      </c>
      <c r="I16" s="415">
        <f xml:space="preserve">
IF($A$4&lt;=12,SUMIFS('ON Data'!N:N,'ON Data'!$D:$D,$A$4,'ON Data'!$E:$E,7),SUMIFS('ON Data'!N:N,'ON Data'!$E:$E,7))</f>
        <v>0</v>
      </c>
      <c r="J16" s="415">
        <f xml:space="preserve">
IF($A$4&lt;=12,SUMIFS('ON Data'!O:O,'ON Data'!$D:$D,$A$4,'ON Data'!$E:$E,7),SUMIFS('ON Data'!O:O,'ON Data'!$E:$E,7))</f>
        <v>0</v>
      </c>
      <c r="K16" s="415">
        <f xml:space="preserve">
IF($A$4&lt;=12,SUMIFS('ON Data'!P:P,'ON Data'!$D:$D,$A$4,'ON Data'!$E:$E,7),SUMIFS('ON Data'!P:P,'ON Data'!$E:$E,7))</f>
        <v>0</v>
      </c>
      <c r="L16" s="415">
        <f xml:space="preserve">
IF($A$4&lt;=12,SUMIFS('ON Data'!Q:Q,'ON Data'!$D:$D,$A$4,'ON Data'!$E:$E,7),SUMIFS('ON Data'!Q:Q,'ON Data'!$E:$E,7))</f>
        <v>0</v>
      </c>
      <c r="M16" s="415">
        <f xml:space="preserve">
IF($A$4&lt;=12,SUMIFS('ON Data'!R:R,'ON Data'!$D:$D,$A$4,'ON Data'!$E:$E,7),SUMIFS('ON Data'!R:R,'ON Data'!$E:$E,7))</f>
        <v>0</v>
      </c>
      <c r="N16" s="415">
        <f xml:space="preserve">
IF($A$4&lt;=12,SUMIFS('ON Data'!S:S,'ON Data'!$D:$D,$A$4,'ON Data'!$E:$E,7),SUMIFS('ON Data'!S:S,'ON Data'!$E:$E,7))</f>
        <v>0</v>
      </c>
      <c r="O16" s="415">
        <f xml:space="preserve">
IF($A$4&lt;=12,SUMIFS('ON Data'!T:T,'ON Data'!$D:$D,$A$4,'ON Data'!$E:$E,7),SUMIFS('ON Data'!T:T,'ON Data'!$E:$E,7))</f>
        <v>0</v>
      </c>
      <c r="P16" s="415">
        <f xml:space="preserve">
IF($A$4&lt;=12,SUMIFS('ON Data'!U:U,'ON Data'!$D:$D,$A$4,'ON Data'!$E:$E,7),SUMIFS('ON Data'!U:U,'ON Data'!$E:$E,7))</f>
        <v>0</v>
      </c>
      <c r="Q16" s="415">
        <f xml:space="preserve">
IF($A$4&lt;=12,SUMIFS('ON Data'!V:V,'ON Data'!$D:$D,$A$4,'ON Data'!$E:$E,7),SUMIFS('ON Data'!V:V,'ON Data'!$E:$E,7))</f>
        <v>0</v>
      </c>
      <c r="R16" s="415">
        <f xml:space="preserve">
IF($A$4&lt;=12,SUMIFS('ON Data'!W:W,'ON Data'!$D:$D,$A$4,'ON Data'!$E:$E,7),SUMIFS('ON Data'!W:W,'ON Data'!$E:$E,7))</f>
        <v>0</v>
      </c>
      <c r="S16" s="415">
        <f xml:space="preserve">
IF($A$4&lt;=12,SUMIFS('ON Data'!X:X,'ON Data'!$D:$D,$A$4,'ON Data'!$E:$E,7),SUMIFS('ON Data'!X:X,'ON Data'!$E:$E,7))</f>
        <v>0</v>
      </c>
      <c r="T16" s="415">
        <f xml:space="preserve">
IF($A$4&lt;=12,SUMIFS('ON Data'!Y:Y,'ON Data'!$D:$D,$A$4,'ON Data'!$E:$E,7),SUMIFS('ON Data'!Y:Y,'ON Data'!$E:$E,7))</f>
        <v>0</v>
      </c>
      <c r="U16" s="415">
        <f xml:space="preserve">
IF($A$4&lt;=12,SUMIFS('ON Data'!Z:Z,'ON Data'!$D:$D,$A$4,'ON Data'!$E:$E,7),SUMIFS('ON Data'!Z:Z,'ON Data'!$E:$E,7))</f>
        <v>0</v>
      </c>
      <c r="V16" s="415">
        <f xml:space="preserve">
IF($A$4&lt;=12,SUMIFS('ON Data'!AA:AA,'ON Data'!$D:$D,$A$4,'ON Data'!$E:$E,7),SUMIFS('ON Data'!AA:AA,'ON Data'!$E:$E,7))</f>
        <v>0</v>
      </c>
      <c r="W16" s="415">
        <f xml:space="preserve">
IF($A$4&lt;=12,SUMIFS('ON Data'!AB:AB,'ON Data'!$D:$D,$A$4,'ON Data'!$E:$E,7),SUMIFS('ON Data'!AB:AB,'ON Data'!$E:$E,7))</f>
        <v>0</v>
      </c>
      <c r="X16" s="415">
        <f xml:space="preserve">
IF($A$4&lt;=12,SUMIFS('ON Data'!AC:AC,'ON Data'!$D:$D,$A$4,'ON Data'!$E:$E,7),SUMIFS('ON Data'!AC:AC,'ON Data'!$E:$E,7))</f>
        <v>0</v>
      </c>
      <c r="Y16" s="415">
        <f xml:space="preserve">
IF($A$4&lt;=12,SUMIFS('ON Data'!AD:AD,'ON Data'!$D:$D,$A$4,'ON Data'!$E:$E,7),SUMIFS('ON Data'!AD:AD,'ON Data'!$E:$E,7))</f>
        <v>0</v>
      </c>
      <c r="Z16" s="415">
        <f xml:space="preserve">
IF($A$4&lt;=12,SUMIFS('ON Data'!AE:AE,'ON Data'!$D:$D,$A$4,'ON Data'!$E:$E,7),SUMIFS('ON Data'!AE:AE,'ON Data'!$E:$E,7))</f>
        <v>0</v>
      </c>
      <c r="AA16" s="415">
        <f xml:space="preserve">
IF($A$4&lt;=12,SUMIFS('ON Data'!AF:AF,'ON Data'!$D:$D,$A$4,'ON Data'!$E:$E,7),SUMIFS('ON Data'!AF:AF,'ON Data'!$E:$E,7))</f>
        <v>0</v>
      </c>
      <c r="AB16" s="415">
        <f xml:space="preserve">
IF($A$4&lt;=12,SUMIFS('ON Data'!AG:AG,'ON Data'!$D:$D,$A$4,'ON Data'!$E:$E,7),SUMIFS('ON Data'!AG:AG,'ON Data'!$E:$E,7))</f>
        <v>0</v>
      </c>
      <c r="AC16" s="415">
        <f xml:space="preserve">
IF($A$4&lt;=12,SUMIFS('ON Data'!AH:AH,'ON Data'!$D:$D,$A$4,'ON Data'!$E:$E,7),SUMIFS('ON Data'!AH:AH,'ON Data'!$E:$E,7))</f>
        <v>0</v>
      </c>
      <c r="AD16" s="415">
        <f xml:space="preserve">
IF($A$4&lt;=12,SUMIFS('ON Data'!AI:AI,'ON Data'!$D:$D,$A$4,'ON Data'!$E:$E,7),SUMIFS('ON Data'!AI:AI,'ON Data'!$E:$E,7))</f>
        <v>0</v>
      </c>
      <c r="AE16" s="415">
        <f xml:space="preserve">
IF($A$4&lt;=12,SUMIFS('ON Data'!AJ:AJ,'ON Data'!$D:$D,$A$4,'ON Data'!$E:$E,7),SUMIFS('ON Data'!AJ:AJ,'ON Data'!$E:$E,7))</f>
        <v>0</v>
      </c>
      <c r="AF16" s="415">
        <f xml:space="preserve">
IF($A$4&lt;=12,SUMIFS('ON Data'!AK:AK,'ON Data'!$D:$D,$A$4,'ON Data'!$E:$E,7),SUMIFS('ON Data'!AK:AK,'ON Data'!$E:$E,7))</f>
        <v>0</v>
      </c>
      <c r="AG16" s="737">
        <f xml:space="preserve">
IF($A$4&lt;=12,SUMIFS('ON Data'!AM:AM,'ON Data'!$D:$D,$A$4,'ON Data'!$E:$E,7),SUMIFS('ON Data'!AM:AM,'ON Data'!$E:$E,7))</f>
        <v>0</v>
      </c>
      <c r="AH16" s="746"/>
    </row>
    <row r="17" spans="1:34" x14ac:dyDescent="0.3">
      <c r="A17" s="398" t="s">
        <v>265</v>
      </c>
      <c r="B17" s="413">
        <f xml:space="preserve">
IF($A$4&lt;=12,SUMIFS('ON Data'!F:F,'ON Data'!$D:$D,$A$4,'ON Data'!$E:$E,8),SUMIFS('ON Data'!F:F,'ON Data'!$E:$E,8))</f>
        <v>0</v>
      </c>
      <c r="C17" s="414">
        <f xml:space="preserve">
IF($A$4&lt;=12,SUMIFS('ON Data'!G:G,'ON Data'!$D:$D,$A$4,'ON Data'!$E:$E,8),SUMIFS('ON Data'!G:G,'ON Data'!$E:$E,8))</f>
        <v>0</v>
      </c>
      <c r="D17" s="415">
        <f xml:space="preserve">
IF($A$4&lt;=12,SUMIFS('ON Data'!H:H,'ON Data'!$D:$D,$A$4,'ON Data'!$E:$E,8),SUMIFS('ON Data'!H:H,'ON Data'!$E:$E,8))</f>
        <v>0</v>
      </c>
      <c r="E17" s="415">
        <f xml:space="preserve">
IF($A$4&lt;=12,SUMIFS('ON Data'!I:I,'ON Data'!$D:$D,$A$4,'ON Data'!$E:$E,8),SUMIFS('ON Data'!I:I,'ON Data'!$E:$E,8))</f>
        <v>0</v>
      </c>
      <c r="F17" s="415">
        <f xml:space="preserve">
IF($A$4&lt;=12,SUMIFS('ON Data'!K:K,'ON Data'!$D:$D,$A$4,'ON Data'!$E:$E,8),SUMIFS('ON Data'!K:K,'ON Data'!$E:$E,8))</f>
        <v>0</v>
      </c>
      <c r="G17" s="415">
        <f xml:space="preserve">
IF($A$4&lt;=12,SUMIFS('ON Data'!L:L,'ON Data'!$D:$D,$A$4,'ON Data'!$E:$E,8),SUMIFS('ON Data'!L:L,'ON Data'!$E:$E,8))</f>
        <v>0</v>
      </c>
      <c r="H17" s="415">
        <f xml:space="preserve">
IF($A$4&lt;=12,SUMIFS('ON Data'!M:M,'ON Data'!$D:$D,$A$4,'ON Data'!$E:$E,8),SUMIFS('ON Data'!M:M,'ON Data'!$E:$E,8))</f>
        <v>0</v>
      </c>
      <c r="I17" s="415">
        <f xml:space="preserve">
IF($A$4&lt;=12,SUMIFS('ON Data'!N:N,'ON Data'!$D:$D,$A$4,'ON Data'!$E:$E,8),SUMIFS('ON Data'!N:N,'ON Data'!$E:$E,8))</f>
        <v>0</v>
      </c>
      <c r="J17" s="415">
        <f xml:space="preserve">
IF($A$4&lt;=12,SUMIFS('ON Data'!O:O,'ON Data'!$D:$D,$A$4,'ON Data'!$E:$E,8),SUMIFS('ON Data'!O:O,'ON Data'!$E:$E,8))</f>
        <v>0</v>
      </c>
      <c r="K17" s="415">
        <f xml:space="preserve">
IF($A$4&lt;=12,SUMIFS('ON Data'!P:P,'ON Data'!$D:$D,$A$4,'ON Data'!$E:$E,8),SUMIFS('ON Data'!P:P,'ON Data'!$E:$E,8))</f>
        <v>0</v>
      </c>
      <c r="L17" s="415">
        <f xml:space="preserve">
IF($A$4&lt;=12,SUMIFS('ON Data'!Q:Q,'ON Data'!$D:$D,$A$4,'ON Data'!$E:$E,8),SUMIFS('ON Data'!Q:Q,'ON Data'!$E:$E,8))</f>
        <v>0</v>
      </c>
      <c r="M17" s="415">
        <f xml:space="preserve">
IF($A$4&lt;=12,SUMIFS('ON Data'!R:R,'ON Data'!$D:$D,$A$4,'ON Data'!$E:$E,8),SUMIFS('ON Data'!R:R,'ON Data'!$E:$E,8))</f>
        <v>0</v>
      </c>
      <c r="N17" s="415">
        <f xml:space="preserve">
IF($A$4&lt;=12,SUMIFS('ON Data'!S:S,'ON Data'!$D:$D,$A$4,'ON Data'!$E:$E,8),SUMIFS('ON Data'!S:S,'ON Data'!$E:$E,8))</f>
        <v>0</v>
      </c>
      <c r="O17" s="415">
        <f xml:space="preserve">
IF($A$4&lt;=12,SUMIFS('ON Data'!T:T,'ON Data'!$D:$D,$A$4,'ON Data'!$E:$E,8),SUMIFS('ON Data'!T:T,'ON Data'!$E:$E,8))</f>
        <v>0</v>
      </c>
      <c r="P17" s="415">
        <f xml:space="preserve">
IF($A$4&lt;=12,SUMIFS('ON Data'!U:U,'ON Data'!$D:$D,$A$4,'ON Data'!$E:$E,8),SUMIFS('ON Data'!U:U,'ON Data'!$E:$E,8))</f>
        <v>0</v>
      </c>
      <c r="Q17" s="415">
        <f xml:space="preserve">
IF($A$4&lt;=12,SUMIFS('ON Data'!V:V,'ON Data'!$D:$D,$A$4,'ON Data'!$E:$E,8),SUMIFS('ON Data'!V:V,'ON Data'!$E:$E,8))</f>
        <v>0</v>
      </c>
      <c r="R17" s="415">
        <f xml:space="preserve">
IF($A$4&lt;=12,SUMIFS('ON Data'!W:W,'ON Data'!$D:$D,$A$4,'ON Data'!$E:$E,8),SUMIFS('ON Data'!W:W,'ON Data'!$E:$E,8))</f>
        <v>0</v>
      </c>
      <c r="S17" s="415">
        <f xml:space="preserve">
IF($A$4&lt;=12,SUMIFS('ON Data'!X:X,'ON Data'!$D:$D,$A$4,'ON Data'!$E:$E,8),SUMIFS('ON Data'!X:X,'ON Data'!$E:$E,8))</f>
        <v>0</v>
      </c>
      <c r="T17" s="415">
        <f xml:space="preserve">
IF($A$4&lt;=12,SUMIFS('ON Data'!Y:Y,'ON Data'!$D:$D,$A$4,'ON Data'!$E:$E,8),SUMIFS('ON Data'!Y:Y,'ON Data'!$E:$E,8))</f>
        <v>0</v>
      </c>
      <c r="U17" s="415">
        <f xml:space="preserve">
IF($A$4&lt;=12,SUMIFS('ON Data'!Z:Z,'ON Data'!$D:$D,$A$4,'ON Data'!$E:$E,8),SUMIFS('ON Data'!Z:Z,'ON Data'!$E:$E,8))</f>
        <v>0</v>
      </c>
      <c r="V17" s="415">
        <f xml:space="preserve">
IF($A$4&lt;=12,SUMIFS('ON Data'!AA:AA,'ON Data'!$D:$D,$A$4,'ON Data'!$E:$E,8),SUMIFS('ON Data'!AA:AA,'ON Data'!$E:$E,8))</f>
        <v>0</v>
      </c>
      <c r="W17" s="415">
        <f xml:space="preserve">
IF($A$4&lt;=12,SUMIFS('ON Data'!AB:AB,'ON Data'!$D:$D,$A$4,'ON Data'!$E:$E,8),SUMIFS('ON Data'!AB:AB,'ON Data'!$E:$E,8))</f>
        <v>0</v>
      </c>
      <c r="X17" s="415">
        <f xml:space="preserve">
IF($A$4&lt;=12,SUMIFS('ON Data'!AC:AC,'ON Data'!$D:$D,$A$4,'ON Data'!$E:$E,8),SUMIFS('ON Data'!AC:AC,'ON Data'!$E:$E,8))</f>
        <v>0</v>
      </c>
      <c r="Y17" s="415">
        <f xml:space="preserve">
IF($A$4&lt;=12,SUMIFS('ON Data'!AD:AD,'ON Data'!$D:$D,$A$4,'ON Data'!$E:$E,8),SUMIFS('ON Data'!AD:AD,'ON Data'!$E:$E,8))</f>
        <v>0</v>
      </c>
      <c r="Z17" s="415">
        <f xml:space="preserve">
IF($A$4&lt;=12,SUMIFS('ON Data'!AE:AE,'ON Data'!$D:$D,$A$4,'ON Data'!$E:$E,8),SUMIFS('ON Data'!AE:AE,'ON Data'!$E:$E,8))</f>
        <v>0</v>
      </c>
      <c r="AA17" s="415">
        <f xml:space="preserve">
IF($A$4&lt;=12,SUMIFS('ON Data'!AF:AF,'ON Data'!$D:$D,$A$4,'ON Data'!$E:$E,8),SUMIFS('ON Data'!AF:AF,'ON Data'!$E:$E,8))</f>
        <v>0</v>
      </c>
      <c r="AB17" s="415">
        <f xml:space="preserve">
IF($A$4&lt;=12,SUMIFS('ON Data'!AG:AG,'ON Data'!$D:$D,$A$4,'ON Data'!$E:$E,8),SUMIFS('ON Data'!AG:AG,'ON Data'!$E:$E,8))</f>
        <v>0</v>
      </c>
      <c r="AC17" s="415">
        <f xml:space="preserve">
IF($A$4&lt;=12,SUMIFS('ON Data'!AH:AH,'ON Data'!$D:$D,$A$4,'ON Data'!$E:$E,8),SUMIFS('ON Data'!AH:AH,'ON Data'!$E:$E,8))</f>
        <v>0</v>
      </c>
      <c r="AD17" s="415">
        <f xml:space="preserve">
IF($A$4&lt;=12,SUMIFS('ON Data'!AI:AI,'ON Data'!$D:$D,$A$4,'ON Data'!$E:$E,8),SUMIFS('ON Data'!AI:AI,'ON Data'!$E:$E,8))</f>
        <v>0</v>
      </c>
      <c r="AE17" s="415">
        <f xml:space="preserve">
IF($A$4&lt;=12,SUMIFS('ON Data'!AJ:AJ,'ON Data'!$D:$D,$A$4,'ON Data'!$E:$E,8),SUMIFS('ON Data'!AJ:AJ,'ON Data'!$E:$E,8))</f>
        <v>0</v>
      </c>
      <c r="AF17" s="415">
        <f xml:space="preserve">
IF($A$4&lt;=12,SUMIFS('ON Data'!AK:AK,'ON Data'!$D:$D,$A$4,'ON Data'!$E:$E,8),SUMIFS('ON Data'!AK:AK,'ON Data'!$E:$E,8))</f>
        <v>0</v>
      </c>
      <c r="AG17" s="737">
        <f xml:space="preserve">
IF($A$4&lt;=12,SUMIFS('ON Data'!AM:AM,'ON Data'!$D:$D,$A$4,'ON Data'!$E:$E,8),SUMIFS('ON Data'!AM:AM,'ON Data'!$E:$E,8))</f>
        <v>0</v>
      </c>
      <c r="AH17" s="746"/>
    </row>
    <row r="18" spans="1:34" x14ac:dyDescent="0.3">
      <c r="A18" s="398" t="s">
        <v>266</v>
      </c>
      <c r="B18" s="413">
        <f xml:space="preserve">
B19-B16-B17</f>
        <v>42300</v>
      </c>
      <c r="C18" s="414">
        <f t="shared" ref="C18" si="0" xml:space="preserve">
C19-C16-C17</f>
        <v>0</v>
      </c>
      <c r="D18" s="415">
        <f t="shared" ref="D18:AG18" si="1" xml:space="preserve">
D19-D16-D17</f>
        <v>30300</v>
      </c>
      <c r="E18" s="415">
        <f t="shared" si="1"/>
        <v>0</v>
      </c>
      <c r="F18" s="415">
        <f t="shared" si="1"/>
        <v>4000</v>
      </c>
      <c r="G18" s="415">
        <f t="shared" si="1"/>
        <v>0</v>
      </c>
      <c r="H18" s="415">
        <f t="shared" si="1"/>
        <v>0</v>
      </c>
      <c r="I18" s="415">
        <f t="shared" si="1"/>
        <v>0</v>
      </c>
      <c r="J18" s="415">
        <f t="shared" si="1"/>
        <v>0</v>
      </c>
      <c r="K18" s="415">
        <f t="shared" si="1"/>
        <v>0</v>
      </c>
      <c r="L18" s="415">
        <f t="shared" si="1"/>
        <v>0</v>
      </c>
      <c r="M18" s="415">
        <f t="shared" si="1"/>
        <v>0</v>
      </c>
      <c r="N18" s="415">
        <f t="shared" si="1"/>
        <v>0</v>
      </c>
      <c r="O18" s="415">
        <f t="shared" si="1"/>
        <v>0</v>
      </c>
      <c r="P18" s="415">
        <f t="shared" si="1"/>
        <v>0</v>
      </c>
      <c r="Q18" s="415">
        <f t="shared" si="1"/>
        <v>0</v>
      </c>
      <c r="R18" s="415">
        <f t="shared" si="1"/>
        <v>0</v>
      </c>
      <c r="S18" s="415">
        <f t="shared" si="1"/>
        <v>0</v>
      </c>
      <c r="T18" s="415">
        <f t="shared" si="1"/>
        <v>0</v>
      </c>
      <c r="U18" s="415">
        <f t="shared" si="1"/>
        <v>0</v>
      </c>
      <c r="V18" s="415">
        <f t="shared" si="1"/>
        <v>0</v>
      </c>
      <c r="W18" s="415">
        <f t="shared" si="1"/>
        <v>0</v>
      </c>
      <c r="X18" s="415">
        <f t="shared" si="1"/>
        <v>0</v>
      </c>
      <c r="Y18" s="415">
        <f t="shared" si="1"/>
        <v>0</v>
      </c>
      <c r="Z18" s="415">
        <f t="shared" si="1"/>
        <v>0</v>
      </c>
      <c r="AA18" s="415">
        <f t="shared" si="1"/>
        <v>0</v>
      </c>
      <c r="AB18" s="415">
        <f t="shared" si="1"/>
        <v>0</v>
      </c>
      <c r="AC18" s="415">
        <f t="shared" si="1"/>
        <v>0</v>
      </c>
      <c r="AD18" s="415">
        <f t="shared" si="1"/>
        <v>0</v>
      </c>
      <c r="AE18" s="415">
        <f t="shared" si="1"/>
        <v>0</v>
      </c>
      <c r="AF18" s="415">
        <f t="shared" si="1"/>
        <v>0</v>
      </c>
      <c r="AG18" s="737">
        <f t="shared" si="1"/>
        <v>8000</v>
      </c>
      <c r="AH18" s="746"/>
    </row>
    <row r="19" spans="1:34" ht="15" thickBot="1" x14ac:dyDescent="0.35">
      <c r="A19" s="399" t="s">
        <v>267</v>
      </c>
      <c r="B19" s="422">
        <f xml:space="preserve">
IF($A$4&lt;=12,SUMIFS('ON Data'!F:F,'ON Data'!$D:$D,$A$4,'ON Data'!$E:$E,9),SUMIFS('ON Data'!F:F,'ON Data'!$E:$E,9))</f>
        <v>42300</v>
      </c>
      <c r="C19" s="423">
        <f xml:space="preserve">
IF($A$4&lt;=12,SUMIFS('ON Data'!G:G,'ON Data'!$D:$D,$A$4,'ON Data'!$E:$E,9),SUMIFS('ON Data'!G:G,'ON Data'!$E:$E,9))</f>
        <v>0</v>
      </c>
      <c r="D19" s="424">
        <f xml:space="preserve">
IF($A$4&lt;=12,SUMIFS('ON Data'!H:H,'ON Data'!$D:$D,$A$4,'ON Data'!$E:$E,9),SUMIFS('ON Data'!H:H,'ON Data'!$E:$E,9))</f>
        <v>30300</v>
      </c>
      <c r="E19" s="424">
        <f xml:space="preserve">
IF($A$4&lt;=12,SUMIFS('ON Data'!I:I,'ON Data'!$D:$D,$A$4,'ON Data'!$E:$E,9),SUMIFS('ON Data'!I:I,'ON Data'!$E:$E,9))</f>
        <v>0</v>
      </c>
      <c r="F19" s="424">
        <f xml:space="preserve">
IF($A$4&lt;=12,SUMIFS('ON Data'!K:K,'ON Data'!$D:$D,$A$4,'ON Data'!$E:$E,9),SUMIFS('ON Data'!K:K,'ON Data'!$E:$E,9))</f>
        <v>4000</v>
      </c>
      <c r="G19" s="424">
        <f xml:space="preserve">
IF($A$4&lt;=12,SUMIFS('ON Data'!L:L,'ON Data'!$D:$D,$A$4,'ON Data'!$E:$E,9),SUMIFS('ON Data'!L:L,'ON Data'!$E:$E,9))</f>
        <v>0</v>
      </c>
      <c r="H19" s="424">
        <f xml:space="preserve">
IF($A$4&lt;=12,SUMIFS('ON Data'!M:M,'ON Data'!$D:$D,$A$4,'ON Data'!$E:$E,9),SUMIFS('ON Data'!M:M,'ON Data'!$E:$E,9))</f>
        <v>0</v>
      </c>
      <c r="I19" s="424">
        <f xml:space="preserve">
IF($A$4&lt;=12,SUMIFS('ON Data'!N:N,'ON Data'!$D:$D,$A$4,'ON Data'!$E:$E,9),SUMIFS('ON Data'!N:N,'ON Data'!$E:$E,9))</f>
        <v>0</v>
      </c>
      <c r="J19" s="424">
        <f xml:space="preserve">
IF($A$4&lt;=12,SUMIFS('ON Data'!O:O,'ON Data'!$D:$D,$A$4,'ON Data'!$E:$E,9),SUMIFS('ON Data'!O:O,'ON Data'!$E:$E,9))</f>
        <v>0</v>
      </c>
      <c r="K19" s="424">
        <f xml:space="preserve">
IF($A$4&lt;=12,SUMIFS('ON Data'!P:P,'ON Data'!$D:$D,$A$4,'ON Data'!$E:$E,9),SUMIFS('ON Data'!P:P,'ON Data'!$E:$E,9))</f>
        <v>0</v>
      </c>
      <c r="L19" s="424">
        <f xml:space="preserve">
IF($A$4&lt;=12,SUMIFS('ON Data'!Q:Q,'ON Data'!$D:$D,$A$4,'ON Data'!$E:$E,9),SUMIFS('ON Data'!Q:Q,'ON Data'!$E:$E,9))</f>
        <v>0</v>
      </c>
      <c r="M19" s="424">
        <f xml:space="preserve">
IF($A$4&lt;=12,SUMIFS('ON Data'!R:R,'ON Data'!$D:$D,$A$4,'ON Data'!$E:$E,9),SUMIFS('ON Data'!R:R,'ON Data'!$E:$E,9))</f>
        <v>0</v>
      </c>
      <c r="N19" s="424">
        <f xml:space="preserve">
IF($A$4&lt;=12,SUMIFS('ON Data'!S:S,'ON Data'!$D:$D,$A$4,'ON Data'!$E:$E,9),SUMIFS('ON Data'!S:S,'ON Data'!$E:$E,9))</f>
        <v>0</v>
      </c>
      <c r="O19" s="424">
        <f xml:space="preserve">
IF($A$4&lt;=12,SUMIFS('ON Data'!T:T,'ON Data'!$D:$D,$A$4,'ON Data'!$E:$E,9),SUMIFS('ON Data'!T:T,'ON Data'!$E:$E,9))</f>
        <v>0</v>
      </c>
      <c r="P19" s="424">
        <f xml:space="preserve">
IF($A$4&lt;=12,SUMIFS('ON Data'!U:U,'ON Data'!$D:$D,$A$4,'ON Data'!$E:$E,9),SUMIFS('ON Data'!U:U,'ON Data'!$E:$E,9))</f>
        <v>0</v>
      </c>
      <c r="Q19" s="424">
        <f xml:space="preserve">
IF($A$4&lt;=12,SUMIFS('ON Data'!V:V,'ON Data'!$D:$D,$A$4,'ON Data'!$E:$E,9),SUMIFS('ON Data'!V:V,'ON Data'!$E:$E,9))</f>
        <v>0</v>
      </c>
      <c r="R19" s="424">
        <f xml:space="preserve">
IF($A$4&lt;=12,SUMIFS('ON Data'!W:W,'ON Data'!$D:$D,$A$4,'ON Data'!$E:$E,9),SUMIFS('ON Data'!W:W,'ON Data'!$E:$E,9))</f>
        <v>0</v>
      </c>
      <c r="S19" s="424">
        <f xml:space="preserve">
IF($A$4&lt;=12,SUMIFS('ON Data'!X:X,'ON Data'!$D:$D,$A$4,'ON Data'!$E:$E,9),SUMIFS('ON Data'!X:X,'ON Data'!$E:$E,9))</f>
        <v>0</v>
      </c>
      <c r="T19" s="424">
        <f xml:space="preserve">
IF($A$4&lt;=12,SUMIFS('ON Data'!Y:Y,'ON Data'!$D:$D,$A$4,'ON Data'!$E:$E,9),SUMIFS('ON Data'!Y:Y,'ON Data'!$E:$E,9))</f>
        <v>0</v>
      </c>
      <c r="U19" s="424">
        <f xml:space="preserve">
IF($A$4&lt;=12,SUMIFS('ON Data'!Z:Z,'ON Data'!$D:$D,$A$4,'ON Data'!$E:$E,9),SUMIFS('ON Data'!Z:Z,'ON Data'!$E:$E,9))</f>
        <v>0</v>
      </c>
      <c r="V19" s="424">
        <f xml:space="preserve">
IF($A$4&lt;=12,SUMIFS('ON Data'!AA:AA,'ON Data'!$D:$D,$A$4,'ON Data'!$E:$E,9),SUMIFS('ON Data'!AA:AA,'ON Data'!$E:$E,9))</f>
        <v>0</v>
      </c>
      <c r="W19" s="424">
        <f xml:space="preserve">
IF($A$4&lt;=12,SUMIFS('ON Data'!AB:AB,'ON Data'!$D:$D,$A$4,'ON Data'!$E:$E,9),SUMIFS('ON Data'!AB:AB,'ON Data'!$E:$E,9))</f>
        <v>0</v>
      </c>
      <c r="X19" s="424">
        <f xml:space="preserve">
IF($A$4&lt;=12,SUMIFS('ON Data'!AC:AC,'ON Data'!$D:$D,$A$4,'ON Data'!$E:$E,9),SUMIFS('ON Data'!AC:AC,'ON Data'!$E:$E,9))</f>
        <v>0</v>
      </c>
      <c r="Y19" s="424">
        <f xml:space="preserve">
IF($A$4&lt;=12,SUMIFS('ON Data'!AD:AD,'ON Data'!$D:$D,$A$4,'ON Data'!$E:$E,9),SUMIFS('ON Data'!AD:AD,'ON Data'!$E:$E,9))</f>
        <v>0</v>
      </c>
      <c r="Z19" s="424">
        <f xml:space="preserve">
IF($A$4&lt;=12,SUMIFS('ON Data'!AE:AE,'ON Data'!$D:$D,$A$4,'ON Data'!$E:$E,9),SUMIFS('ON Data'!AE:AE,'ON Data'!$E:$E,9))</f>
        <v>0</v>
      </c>
      <c r="AA19" s="424">
        <f xml:space="preserve">
IF($A$4&lt;=12,SUMIFS('ON Data'!AF:AF,'ON Data'!$D:$D,$A$4,'ON Data'!$E:$E,9),SUMIFS('ON Data'!AF:AF,'ON Data'!$E:$E,9))</f>
        <v>0</v>
      </c>
      <c r="AB19" s="424">
        <f xml:space="preserve">
IF($A$4&lt;=12,SUMIFS('ON Data'!AG:AG,'ON Data'!$D:$D,$A$4,'ON Data'!$E:$E,9),SUMIFS('ON Data'!AG:AG,'ON Data'!$E:$E,9))</f>
        <v>0</v>
      </c>
      <c r="AC19" s="424">
        <f xml:space="preserve">
IF($A$4&lt;=12,SUMIFS('ON Data'!AH:AH,'ON Data'!$D:$D,$A$4,'ON Data'!$E:$E,9),SUMIFS('ON Data'!AH:AH,'ON Data'!$E:$E,9))</f>
        <v>0</v>
      </c>
      <c r="AD19" s="424">
        <f xml:space="preserve">
IF($A$4&lt;=12,SUMIFS('ON Data'!AI:AI,'ON Data'!$D:$D,$A$4,'ON Data'!$E:$E,9),SUMIFS('ON Data'!AI:AI,'ON Data'!$E:$E,9))</f>
        <v>0</v>
      </c>
      <c r="AE19" s="424">
        <f xml:space="preserve">
IF($A$4&lt;=12,SUMIFS('ON Data'!AJ:AJ,'ON Data'!$D:$D,$A$4,'ON Data'!$E:$E,9),SUMIFS('ON Data'!AJ:AJ,'ON Data'!$E:$E,9))</f>
        <v>0</v>
      </c>
      <c r="AF19" s="424">
        <f xml:space="preserve">
IF($A$4&lt;=12,SUMIFS('ON Data'!AK:AK,'ON Data'!$D:$D,$A$4,'ON Data'!$E:$E,9),SUMIFS('ON Data'!AK:AK,'ON Data'!$E:$E,9))</f>
        <v>0</v>
      </c>
      <c r="AG19" s="740">
        <f xml:space="preserve">
IF($A$4&lt;=12,SUMIFS('ON Data'!AM:AM,'ON Data'!$D:$D,$A$4,'ON Data'!$E:$E,9),SUMIFS('ON Data'!AM:AM,'ON Data'!$E:$E,9))</f>
        <v>8000</v>
      </c>
      <c r="AH19" s="746"/>
    </row>
    <row r="20" spans="1:34" ht="15" collapsed="1" thickBot="1" x14ac:dyDescent="0.35">
      <c r="A20" s="400" t="s">
        <v>94</v>
      </c>
      <c r="B20" s="425">
        <f xml:space="preserve">
IF($A$4&lt;=12,SUMIFS('ON Data'!F:F,'ON Data'!$D:$D,$A$4,'ON Data'!$E:$E,6),SUMIFS('ON Data'!F:F,'ON Data'!$E:$E,6))</f>
        <v>7101166</v>
      </c>
      <c r="C20" s="426">
        <f xml:space="preserve">
IF($A$4&lt;=12,SUMIFS('ON Data'!G:G,'ON Data'!$D:$D,$A$4,'ON Data'!$E:$E,6),SUMIFS('ON Data'!G:G,'ON Data'!$E:$E,6))</f>
        <v>8100</v>
      </c>
      <c r="D20" s="427">
        <f xml:space="preserve">
IF($A$4&lt;=12,SUMIFS('ON Data'!H:H,'ON Data'!$D:$D,$A$4,'ON Data'!$E:$E,6),SUMIFS('ON Data'!H:H,'ON Data'!$E:$E,6))</f>
        <v>4092894</v>
      </c>
      <c r="E20" s="427">
        <f xml:space="preserve">
IF($A$4&lt;=12,SUMIFS('ON Data'!I:I,'ON Data'!$D:$D,$A$4,'ON Data'!$E:$E,6),SUMIFS('ON Data'!I:I,'ON Data'!$E:$E,6))</f>
        <v>0</v>
      </c>
      <c r="F20" s="427">
        <f xml:space="preserve">
IF($A$4&lt;=12,SUMIFS('ON Data'!K:K,'ON Data'!$D:$D,$A$4,'ON Data'!$E:$E,6),SUMIFS('ON Data'!K:K,'ON Data'!$E:$E,6))</f>
        <v>1944044</v>
      </c>
      <c r="G20" s="427">
        <f xml:space="preserve">
IF($A$4&lt;=12,SUMIFS('ON Data'!L:L,'ON Data'!$D:$D,$A$4,'ON Data'!$E:$E,6),SUMIFS('ON Data'!L:L,'ON Data'!$E:$E,6))</f>
        <v>0</v>
      </c>
      <c r="H20" s="427">
        <f xml:space="preserve">
IF($A$4&lt;=12,SUMIFS('ON Data'!M:M,'ON Data'!$D:$D,$A$4,'ON Data'!$E:$E,6),SUMIFS('ON Data'!M:M,'ON Data'!$E:$E,6))</f>
        <v>0</v>
      </c>
      <c r="I20" s="427">
        <f xml:space="preserve">
IF($A$4&lt;=12,SUMIFS('ON Data'!N:N,'ON Data'!$D:$D,$A$4,'ON Data'!$E:$E,6),SUMIFS('ON Data'!N:N,'ON Data'!$E:$E,6))</f>
        <v>0</v>
      </c>
      <c r="J20" s="427">
        <f xml:space="preserve">
IF($A$4&lt;=12,SUMIFS('ON Data'!O:O,'ON Data'!$D:$D,$A$4,'ON Data'!$E:$E,6),SUMIFS('ON Data'!O:O,'ON Data'!$E:$E,6))</f>
        <v>0</v>
      </c>
      <c r="K20" s="427">
        <f xml:space="preserve">
IF($A$4&lt;=12,SUMIFS('ON Data'!P:P,'ON Data'!$D:$D,$A$4,'ON Data'!$E:$E,6),SUMIFS('ON Data'!P:P,'ON Data'!$E:$E,6))</f>
        <v>0</v>
      </c>
      <c r="L20" s="427">
        <f xml:space="preserve">
IF($A$4&lt;=12,SUMIFS('ON Data'!Q:Q,'ON Data'!$D:$D,$A$4,'ON Data'!$E:$E,6),SUMIFS('ON Data'!Q:Q,'ON Data'!$E:$E,6))</f>
        <v>0</v>
      </c>
      <c r="M20" s="427">
        <f xml:space="preserve">
IF($A$4&lt;=12,SUMIFS('ON Data'!R:R,'ON Data'!$D:$D,$A$4,'ON Data'!$E:$E,6),SUMIFS('ON Data'!R:R,'ON Data'!$E:$E,6))</f>
        <v>81090</v>
      </c>
      <c r="N20" s="427">
        <f xml:space="preserve">
IF($A$4&lt;=12,SUMIFS('ON Data'!S:S,'ON Data'!$D:$D,$A$4,'ON Data'!$E:$E,6),SUMIFS('ON Data'!S:S,'ON Data'!$E:$E,6))</f>
        <v>0</v>
      </c>
      <c r="O20" s="427">
        <f xml:space="preserve">
IF($A$4&lt;=12,SUMIFS('ON Data'!T:T,'ON Data'!$D:$D,$A$4,'ON Data'!$E:$E,6),SUMIFS('ON Data'!T:T,'ON Data'!$E:$E,6))</f>
        <v>0</v>
      </c>
      <c r="P20" s="427">
        <f xml:space="preserve">
IF($A$4&lt;=12,SUMIFS('ON Data'!U:U,'ON Data'!$D:$D,$A$4,'ON Data'!$E:$E,6),SUMIFS('ON Data'!U:U,'ON Data'!$E:$E,6))</f>
        <v>0</v>
      </c>
      <c r="Q20" s="427">
        <f xml:space="preserve">
IF($A$4&lt;=12,SUMIFS('ON Data'!V:V,'ON Data'!$D:$D,$A$4,'ON Data'!$E:$E,6),SUMIFS('ON Data'!V:V,'ON Data'!$E:$E,6))</f>
        <v>0</v>
      </c>
      <c r="R20" s="427">
        <f xml:space="preserve">
IF($A$4&lt;=12,SUMIFS('ON Data'!W:W,'ON Data'!$D:$D,$A$4,'ON Data'!$E:$E,6),SUMIFS('ON Data'!W:W,'ON Data'!$E:$E,6))</f>
        <v>0</v>
      </c>
      <c r="S20" s="427">
        <f xml:space="preserve">
IF($A$4&lt;=12,SUMIFS('ON Data'!X:X,'ON Data'!$D:$D,$A$4,'ON Data'!$E:$E,6),SUMIFS('ON Data'!X:X,'ON Data'!$E:$E,6))</f>
        <v>0</v>
      </c>
      <c r="T20" s="427">
        <f xml:space="preserve">
IF($A$4&lt;=12,SUMIFS('ON Data'!Y:Y,'ON Data'!$D:$D,$A$4,'ON Data'!$E:$E,6),SUMIFS('ON Data'!Y:Y,'ON Data'!$E:$E,6))</f>
        <v>0</v>
      </c>
      <c r="U20" s="427">
        <f xml:space="preserve">
IF($A$4&lt;=12,SUMIFS('ON Data'!Z:Z,'ON Data'!$D:$D,$A$4,'ON Data'!$E:$E,6),SUMIFS('ON Data'!Z:Z,'ON Data'!$E:$E,6))</f>
        <v>0</v>
      </c>
      <c r="V20" s="427">
        <f xml:space="preserve">
IF($A$4&lt;=12,SUMIFS('ON Data'!AA:AA,'ON Data'!$D:$D,$A$4,'ON Data'!$E:$E,6),SUMIFS('ON Data'!AA:AA,'ON Data'!$E:$E,6))</f>
        <v>0</v>
      </c>
      <c r="W20" s="427">
        <f xml:space="preserve">
IF($A$4&lt;=12,SUMIFS('ON Data'!AB:AB,'ON Data'!$D:$D,$A$4,'ON Data'!$E:$E,6),SUMIFS('ON Data'!AB:AB,'ON Data'!$E:$E,6))</f>
        <v>0</v>
      </c>
      <c r="X20" s="427">
        <f xml:space="preserve">
IF($A$4&lt;=12,SUMIFS('ON Data'!AC:AC,'ON Data'!$D:$D,$A$4,'ON Data'!$E:$E,6),SUMIFS('ON Data'!AC:AC,'ON Data'!$E:$E,6))</f>
        <v>0</v>
      </c>
      <c r="Y20" s="427">
        <f xml:space="preserve">
IF($A$4&lt;=12,SUMIFS('ON Data'!AD:AD,'ON Data'!$D:$D,$A$4,'ON Data'!$E:$E,6),SUMIFS('ON Data'!AD:AD,'ON Data'!$E:$E,6))</f>
        <v>0</v>
      </c>
      <c r="Z20" s="427">
        <f xml:space="preserve">
IF($A$4&lt;=12,SUMIFS('ON Data'!AE:AE,'ON Data'!$D:$D,$A$4,'ON Data'!$E:$E,6),SUMIFS('ON Data'!AE:AE,'ON Data'!$E:$E,6))</f>
        <v>104910</v>
      </c>
      <c r="AA20" s="427">
        <f xml:space="preserve">
IF($A$4&lt;=12,SUMIFS('ON Data'!AF:AF,'ON Data'!$D:$D,$A$4,'ON Data'!$E:$E,6),SUMIFS('ON Data'!AF:AF,'ON Data'!$E:$E,6))</f>
        <v>0</v>
      </c>
      <c r="AB20" s="427">
        <f xml:space="preserve">
IF($A$4&lt;=12,SUMIFS('ON Data'!AG:AG,'ON Data'!$D:$D,$A$4,'ON Data'!$E:$E,6),SUMIFS('ON Data'!AG:AG,'ON Data'!$E:$E,6))</f>
        <v>0</v>
      </c>
      <c r="AC20" s="427">
        <f xml:space="preserve">
IF($A$4&lt;=12,SUMIFS('ON Data'!AH:AH,'ON Data'!$D:$D,$A$4,'ON Data'!$E:$E,6),SUMIFS('ON Data'!AH:AH,'ON Data'!$E:$E,6))</f>
        <v>705209</v>
      </c>
      <c r="AD20" s="427">
        <f xml:space="preserve">
IF($A$4&lt;=12,SUMIFS('ON Data'!AI:AI,'ON Data'!$D:$D,$A$4,'ON Data'!$E:$E,6),SUMIFS('ON Data'!AI:AI,'ON Data'!$E:$E,6))</f>
        <v>0</v>
      </c>
      <c r="AE20" s="427">
        <f xml:space="preserve">
IF($A$4&lt;=12,SUMIFS('ON Data'!AJ:AJ,'ON Data'!$D:$D,$A$4,'ON Data'!$E:$E,6),SUMIFS('ON Data'!AJ:AJ,'ON Data'!$E:$E,6))</f>
        <v>0</v>
      </c>
      <c r="AF20" s="427">
        <f xml:space="preserve">
IF($A$4&lt;=12,SUMIFS('ON Data'!AK:AK,'ON Data'!$D:$D,$A$4,'ON Data'!$E:$E,6),SUMIFS('ON Data'!AK:AK,'ON Data'!$E:$E,6))</f>
        <v>0</v>
      </c>
      <c r="AG20" s="741">
        <f xml:space="preserve">
IF($A$4&lt;=12,SUMIFS('ON Data'!AM:AM,'ON Data'!$D:$D,$A$4,'ON Data'!$E:$E,6),SUMIFS('ON Data'!AM:AM,'ON Data'!$E:$E,6))</f>
        <v>164919</v>
      </c>
      <c r="AH20" s="746"/>
    </row>
    <row r="21" spans="1:34" ht="15" hidden="1" outlineLevel="1" thickBot="1" x14ac:dyDescent="0.35">
      <c r="A21" s="393" t="s">
        <v>132</v>
      </c>
      <c r="B21" s="413"/>
      <c r="C21" s="414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415"/>
      <c r="AA21" s="415"/>
      <c r="AB21" s="415"/>
      <c r="AC21" s="415"/>
      <c r="AD21" s="415"/>
      <c r="AE21" s="415"/>
      <c r="AF21" s="415"/>
      <c r="AG21" s="737"/>
      <c r="AH21" s="746"/>
    </row>
    <row r="22" spans="1:34" ht="15" hidden="1" outlineLevel="1" thickBot="1" x14ac:dyDescent="0.35">
      <c r="A22" s="393" t="s">
        <v>96</v>
      </c>
      <c r="B22" s="413"/>
      <c r="C22" s="414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  <c r="AA22" s="415"/>
      <c r="AB22" s="415"/>
      <c r="AC22" s="415"/>
      <c r="AD22" s="415"/>
      <c r="AE22" s="415"/>
      <c r="AF22" s="415"/>
      <c r="AG22" s="737"/>
      <c r="AH22" s="746"/>
    </row>
    <row r="23" spans="1:34" ht="15" hidden="1" outlineLevel="1" thickBot="1" x14ac:dyDescent="0.35">
      <c r="A23" s="401" t="s">
        <v>69</v>
      </c>
      <c r="B23" s="416"/>
      <c r="C23" s="417"/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  <c r="AC23" s="418"/>
      <c r="AD23" s="418"/>
      <c r="AE23" s="418"/>
      <c r="AF23" s="418"/>
      <c r="AG23" s="738"/>
      <c r="AH23" s="746"/>
    </row>
    <row r="24" spans="1:34" x14ac:dyDescent="0.3">
      <c r="A24" s="395" t="s">
        <v>268</v>
      </c>
      <c r="B24" s="442" t="s">
        <v>3</v>
      </c>
      <c r="C24" s="747" t="s">
        <v>279</v>
      </c>
      <c r="D24" s="722"/>
      <c r="E24" s="723"/>
      <c r="F24" s="723" t="s">
        <v>280</v>
      </c>
      <c r="G24" s="723"/>
      <c r="H24" s="723"/>
      <c r="I24" s="723"/>
      <c r="J24" s="723"/>
      <c r="K24" s="723"/>
      <c r="L24" s="723"/>
      <c r="M24" s="723"/>
      <c r="N24" s="723"/>
      <c r="O24" s="723"/>
      <c r="P24" s="723"/>
      <c r="Q24" s="723"/>
      <c r="R24" s="723"/>
      <c r="S24" s="723"/>
      <c r="T24" s="723"/>
      <c r="U24" s="723"/>
      <c r="V24" s="723"/>
      <c r="W24" s="723"/>
      <c r="X24" s="723"/>
      <c r="Y24" s="723"/>
      <c r="Z24" s="723"/>
      <c r="AA24" s="723"/>
      <c r="AB24" s="723"/>
      <c r="AC24" s="723"/>
      <c r="AD24" s="723"/>
      <c r="AE24" s="723"/>
      <c r="AF24" s="723"/>
      <c r="AG24" s="742" t="s">
        <v>281</v>
      </c>
      <c r="AH24" s="746"/>
    </row>
    <row r="25" spans="1:34" x14ac:dyDescent="0.3">
      <c r="A25" s="396" t="s">
        <v>94</v>
      </c>
      <c r="B25" s="413">
        <f xml:space="preserve">
SUM(C25:AG25)</f>
        <v>35220</v>
      </c>
      <c r="C25" s="748">
        <f xml:space="preserve">
IF($A$4&lt;=12,SUMIFS('ON Data'!H:H,'ON Data'!$D:$D,$A$4,'ON Data'!$E:$E,10),SUMIFS('ON Data'!H:H,'ON Data'!$E:$E,10))</f>
        <v>14820</v>
      </c>
      <c r="D25" s="724"/>
      <c r="E25" s="725"/>
      <c r="F25" s="725">
        <f xml:space="preserve">
IF($A$4&lt;=12,SUMIFS('ON Data'!K:K,'ON Data'!$D:$D,$A$4,'ON Data'!$E:$E,10),SUMIFS('ON Data'!K:K,'ON Data'!$E:$E,10))</f>
        <v>20400</v>
      </c>
      <c r="G25" s="725"/>
      <c r="H25" s="725"/>
      <c r="I25" s="725"/>
      <c r="J25" s="725"/>
      <c r="K25" s="725"/>
      <c r="L25" s="725"/>
      <c r="M25" s="725"/>
      <c r="N25" s="725"/>
      <c r="O25" s="725"/>
      <c r="P25" s="725"/>
      <c r="Q25" s="725"/>
      <c r="R25" s="725"/>
      <c r="S25" s="725"/>
      <c r="T25" s="725"/>
      <c r="U25" s="725"/>
      <c r="V25" s="725"/>
      <c r="W25" s="725"/>
      <c r="X25" s="725"/>
      <c r="Y25" s="725"/>
      <c r="Z25" s="725"/>
      <c r="AA25" s="725"/>
      <c r="AB25" s="725"/>
      <c r="AC25" s="725"/>
      <c r="AD25" s="725"/>
      <c r="AE25" s="725"/>
      <c r="AF25" s="725"/>
      <c r="AG25" s="743">
        <f xml:space="preserve">
IF($A$4&lt;=12,SUMIFS('ON Data'!AM:AM,'ON Data'!$D:$D,$A$4,'ON Data'!$E:$E,10),SUMIFS('ON Data'!AM:AM,'ON Data'!$E:$E,10))</f>
        <v>0</v>
      </c>
      <c r="AH25" s="746"/>
    </row>
    <row r="26" spans="1:34" x14ac:dyDescent="0.3">
      <c r="A26" s="402" t="s">
        <v>278</v>
      </c>
      <c r="B26" s="422">
        <f xml:space="preserve">
SUM(C26:AG26)</f>
        <v>31663.25</v>
      </c>
      <c r="C26" s="748">
        <f xml:space="preserve">
IF($A$4&lt;=12,SUMIFS('ON Data'!H:H,'ON Data'!$D:$D,$A$4,'ON Data'!$E:$E,11),SUMIFS('ON Data'!H:H,'ON Data'!$E:$E,11))</f>
        <v>14163.25</v>
      </c>
      <c r="D26" s="724"/>
      <c r="E26" s="725"/>
      <c r="F26" s="726">
        <f xml:space="preserve">
IF($A$4&lt;=12,SUMIFS('ON Data'!K:K,'ON Data'!$D:$D,$A$4,'ON Data'!$E:$E,11),SUMIFS('ON Data'!K:K,'ON Data'!$E:$E,11))</f>
        <v>17500</v>
      </c>
      <c r="G26" s="726"/>
      <c r="H26" s="726"/>
      <c r="I26" s="726"/>
      <c r="J26" s="726"/>
      <c r="K26" s="726"/>
      <c r="L26" s="726"/>
      <c r="M26" s="726"/>
      <c r="N26" s="726"/>
      <c r="O26" s="726"/>
      <c r="P26" s="726"/>
      <c r="Q26" s="726"/>
      <c r="R26" s="726"/>
      <c r="S26" s="726"/>
      <c r="T26" s="726"/>
      <c r="U26" s="726"/>
      <c r="V26" s="726"/>
      <c r="W26" s="726"/>
      <c r="X26" s="726"/>
      <c r="Y26" s="726"/>
      <c r="Z26" s="726"/>
      <c r="AA26" s="726"/>
      <c r="AB26" s="726"/>
      <c r="AC26" s="726"/>
      <c r="AD26" s="726"/>
      <c r="AE26" s="726"/>
      <c r="AF26" s="726"/>
      <c r="AG26" s="743">
        <f xml:space="preserve">
IF($A$4&lt;=12,SUMIFS('ON Data'!AM:AM,'ON Data'!$D:$D,$A$4,'ON Data'!$E:$E,11),SUMIFS('ON Data'!AM:AM,'ON Data'!$E:$E,11))</f>
        <v>0</v>
      </c>
      <c r="AH26" s="746"/>
    </row>
    <row r="27" spans="1:34" x14ac:dyDescent="0.3">
      <c r="A27" s="402" t="s">
        <v>96</v>
      </c>
      <c r="B27" s="443">
        <f xml:space="preserve">
IF(B26=0,0,B25/B26)</f>
        <v>1.1123305409267843</v>
      </c>
      <c r="C27" s="749">
        <f xml:space="preserve">
IF(C26=0,0,C25/C26)</f>
        <v>1.0463700068840132</v>
      </c>
      <c r="D27" s="727"/>
      <c r="E27" s="728"/>
      <c r="F27" s="728">
        <f xml:space="preserve">
IF(F26=0,0,F25/F26)</f>
        <v>1.1657142857142857</v>
      </c>
      <c r="G27" s="728"/>
      <c r="H27" s="728"/>
      <c r="I27" s="728"/>
      <c r="J27" s="728"/>
      <c r="K27" s="728"/>
      <c r="L27" s="728"/>
      <c r="M27" s="728"/>
      <c r="N27" s="728"/>
      <c r="O27" s="728"/>
      <c r="P27" s="728"/>
      <c r="Q27" s="728"/>
      <c r="R27" s="728"/>
      <c r="S27" s="728"/>
      <c r="T27" s="728"/>
      <c r="U27" s="728"/>
      <c r="V27" s="728"/>
      <c r="W27" s="728"/>
      <c r="X27" s="728"/>
      <c r="Y27" s="728"/>
      <c r="Z27" s="728"/>
      <c r="AA27" s="728"/>
      <c r="AB27" s="728"/>
      <c r="AC27" s="728"/>
      <c r="AD27" s="728"/>
      <c r="AE27" s="728"/>
      <c r="AF27" s="728"/>
      <c r="AG27" s="744">
        <f xml:space="preserve">
IF(AG26=0,0,AG25/AG26)</f>
        <v>0</v>
      </c>
      <c r="AH27" s="746"/>
    </row>
    <row r="28" spans="1:34" ht="15" thickBot="1" x14ac:dyDescent="0.35">
      <c r="A28" s="402" t="s">
        <v>277</v>
      </c>
      <c r="B28" s="422">
        <f xml:space="preserve">
SUM(C28:AG28)</f>
        <v>-3556.75</v>
      </c>
      <c r="C28" s="750">
        <f xml:space="preserve">
C26-C25</f>
        <v>-656.75</v>
      </c>
      <c r="D28" s="729"/>
      <c r="E28" s="730"/>
      <c r="F28" s="730">
        <f xml:space="preserve">
F26-F25</f>
        <v>-2900</v>
      </c>
      <c r="G28" s="730"/>
      <c r="H28" s="730"/>
      <c r="I28" s="730"/>
      <c r="J28" s="730"/>
      <c r="K28" s="730"/>
      <c r="L28" s="730"/>
      <c r="M28" s="730"/>
      <c r="N28" s="730"/>
      <c r="O28" s="730"/>
      <c r="P28" s="730"/>
      <c r="Q28" s="730"/>
      <c r="R28" s="730"/>
      <c r="S28" s="730"/>
      <c r="T28" s="730"/>
      <c r="U28" s="730"/>
      <c r="V28" s="730"/>
      <c r="W28" s="730"/>
      <c r="X28" s="730"/>
      <c r="Y28" s="730"/>
      <c r="Z28" s="730"/>
      <c r="AA28" s="730"/>
      <c r="AB28" s="730"/>
      <c r="AC28" s="730"/>
      <c r="AD28" s="730"/>
      <c r="AE28" s="730"/>
      <c r="AF28" s="730"/>
      <c r="AG28" s="745">
        <f xml:space="preserve">
AG26-AG25</f>
        <v>0</v>
      </c>
      <c r="AH28" s="746"/>
    </row>
    <row r="29" spans="1:34" x14ac:dyDescent="0.3">
      <c r="A29" s="403"/>
      <c r="B29" s="403"/>
      <c r="C29" s="404"/>
      <c r="D29" s="403"/>
      <c r="E29" s="403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3"/>
      <c r="AF29" s="403"/>
      <c r="AG29" s="403"/>
    </row>
    <row r="30" spans="1:34" x14ac:dyDescent="0.3">
      <c r="A30" s="229" t="s">
        <v>203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80"/>
    </row>
    <row r="31" spans="1:34" x14ac:dyDescent="0.3">
      <c r="A31" s="230" t="s">
        <v>275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80"/>
    </row>
    <row r="32" spans="1:34" ht="14.4" customHeight="1" x14ac:dyDescent="0.3">
      <c r="A32" s="439" t="s">
        <v>272</v>
      </c>
      <c r="B32" s="440"/>
      <c r="C32" s="440"/>
      <c r="D32" s="440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440"/>
      <c r="R32" s="440"/>
      <c r="S32" s="440"/>
      <c r="T32" s="440"/>
      <c r="U32" s="440"/>
      <c r="V32" s="440"/>
      <c r="W32" s="440"/>
      <c r="X32" s="440"/>
      <c r="Y32" s="440"/>
      <c r="Z32" s="440"/>
      <c r="AA32" s="440"/>
      <c r="AB32" s="440"/>
      <c r="AC32" s="440"/>
      <c r="AD32" s="440"/>
      <c r="AE32" s="440"/>
      <c r="AF32" s="440"/>
    </row>
    <row r="33" spans="1:1" x14ac:dyDescent="0.3">
      <c r="A33" s="441" t="s">
        <v>282</v>
      </c>
    </row>
    <row r="34" spans="1:1" x14ac:dyDescent="0.3">
      <c r="A34" s="441" t="s">
        <v>283</v>
      </c>
    </row>
    <row r="35" spans="1:1" x14ac:dyDescent="0.3">
      <c r="A35" s="441" t="s">
        <v>284</v>
      </c>
    </row>
    <row r="36" spans="1:1" x14ac:dyDescent="0.3">
      <c r="A36" s="441" t="s">
        <v>285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0" priority="2" operator="greaterThan">
      <formula>1</formula>
    </cfRule>
  </conditionalFormatting>
  <conditionalFormatting sqref="C28 AG28 F28">
    <cfRule type="cellIs" dxfId="19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28"/>
  <sheetViews>
    <sheetView showGridLines="0" showRowColHeaders="0" workbookViewId="0"/>
  </sheetViews>
  <sheetFormatPr defaultRowHeight="14.4" x14ac:dyDescent="0.3"/>
  <cols>
    <col min="1" max="16384" width="8.88671875" style="382"/>
  </cols>
  <sheetData>
    <row r="1" spans="1:40" x14ac:dyDescent="0.3">
      <c r="A1" s="382" t="s">
        <v>3580</v>
      </c>
    </row>
    <row r="2" spans="1:40" x14ac:dyDescent="0.3">
      <c r="A2" s="386" t="s">
        <v>321</v>
      </c>
    </row>
    <row r="3" spans="1:40" x14ac:dyDescent="0.3">
      <c r="A3" s="382" t="s">
        <v>242</v>
      </c>
      <c r="B3" s="407">
        <v>2014</v>
      </c>
      <c r="D3" s="383">
        <f>MAX(D5:D1048576)</f>
        <v>3</v>
      </c>
      <c r="F3" s="383">
        <f>SUMIF($E5:$E1048576,"&lt;10",F5:F1048576)</f>
        <v>7171662.75</v>
      </c>
      <c r="G3" s="383">
        <f t="shared" ref="G3:AN3" si="0">SUMIF($E5:$E1048576,"&lt;10",G5:G1048576)</f>
        <v>8127</v>
      </c>
      <c r="H3" s="383">
        <f t="shared" si="0"/>
        <v>4131509</v>
      </c>
      <c r="I3" s="383">
        <f t="shared" si="0"/>
        <v>0</v>
      </c>
      <c r="J3" s="383">
        <f t="shared" si="0"/>
        <v>0</v>
      </c>
      <c r="K3" s="383">
        <f t="shared" si="0"/>
        <v>1959093.5</v>
      </c>
      <c r="L3" s="383">
        <f t="shared" si="0"/>
        <v>0</v>
      </c>
      <c r="M3" s="383">
        <f t="shared" si="0"/>
        <v>0</v>
      </c>
      <c r="N3" s="383">
        <f t="shared" si="0"/>
        <v>0</v>
      </c>
      <c r="O3" s="383">
        <f t="shared" si="0"/>
        <v>0</v>
      </c>
      <c r="P3" s="383">
        <f t="shared" si="0"/>
        <v>0</v>
      </c>
      <c r="Q3" s="383">
        <f t="shared" si="0"/>
        <v>0</v>
      </c>
      <c r="R3" s="383">
        <f t="shared" si="0"/>
        <v>81573</v>
      </c>
      <c r="S3" s="383">
        <f t="shared" si="0"/>
        <v>0</v>
      </c>
      <c r="T3" s="383">
        <f t="shared" si="0"/>
        <v>0</v>
      </c>
      <c r="U3" s="383">
        <f t="shared" si="0"/>
        <v>0</v>
      </c>
      <c r="V3" s="383">
        <f t="shared" si="0"/>
        <v>0</v>
      </c>
      <c r="W3" s="383">
        <f t="shared" si="0"/>
        <v>0</v>
      </c>
      <c r="X3" s="383">
        <f t="shared" si="0"/>
        <v>0</v>
      </c>
      <c r="Y3" s="383">
        <f t="shared" si="0"/>
        <v>0</v>
      </c>
      <c r="Z3" s="383">
        <f t="shared" si="0"/>
        <v>0</v>
      </c>
      <c r="AA3" s="383">
        <f t="shared" si="0"/>
        <v>0</v>
      </c>
      <c r="AB3" s="383">
        <f t="shared" si="0"/>
        <v>0</v>
      </c>
      <c r="AC3" s="383">
        <f t="shared" si="0"/>
        <v>0</v>
      </c>
      <c r="AD3" s="383">
        <f t="shared" si="0"/>
        <v>0</v>
      </c>
      <c r="AE3" s="383">
        <f t="shared" si="0"/>
        <v>105908</v>
      </c>
      <c r="AF3" s="383">
        <f t="shared" si="0"/>
        <v>0</v>
      </c>
      <c r="AG3" s="383">
        <f t="shared" si="0"/>
        <v>0</v>
      </c>
      <c r="AH3" s="383">
        <f t="shared" si="0"/>
        <v>711228.25</v>
      </c>
      <c r="AI3" s="383">
        <f t="shared" si="0"/>
        <v>0</v>
      </c>
      <c r="AJ3" s="383">
        <f t="shared" si="0"/>
        <v>0</v>
      </c>
      <c r="AK3" s="383">
        <f t="shared" si="0"/>
        <v>0</v>
      </c>
      <c r="AL3" s="383">
        <f t="shared" si="0"/>
        <v>0</v>
      </c>
      <c r="AM3" s="383">
        <f t="shared" si="0"/>
        <v>174224</v>
      </c>
      <c r="AN3" s="383">
        <f t="shared" si="0"/>
        <v>0</v>
      </c>
    </row>
    <row r="4" spans="1:40" x14ac:dyDescent="0.3">
      <c r="A4" s="382" t="s">
        <v>243</v>
      </c>
      <c r="B4" s="407">
        <v>1</v>
      </c>
      <c r="C4" s="384" t="s">
        <v>5</v>
      </c>
      <c r="D4" s="385" t="s">
        <v>68</v>
      </c>
      <c r="E4" s="385" t="s">
        <v>237</v>
      </c>
      <c r="F4" s="385" t="s">
        <v>3</v>
      </c>
      <c r="G4" s="385" t="s">
        <v>238</v>
      </c>
      <c r="H4" s="385" t="s">
        <v>239</v>
      </c>
      <c r="I4" s="385" t="s">
        <v>240</v>
      </c>
      <c r="J4" s="385" t="s">
        <v>241</v>
      </c>
      <c r="K4" s="385">
        <v>305</v>
      </c>
      <c r="L4" s="385">
        <v>306</v>
      </c>
      <c r="M4" s="385">
        <v>408</v>
      </c>
      <c r="N4" s="385">
        <v>409</v>
      </c>
      <c r="O4" s="385">
        <v>410</v>
      </c>
      <c r="P4" s="385">
        <v>415</v>
      </c>
      <c r="Q4" s="385">
        <v>416</v>
      </c>
      <c r="R4" s="385">
        <v>418</v>
      </c>
      <c r="S4" s="385">
        <v>419</v>
      </c>
      <c r="T4" s="385">
        <v>420</v>
      </c>
      <c r="U4" s="385">
        <v>421</v>
      </c>
      <c r="V4" s="385">
        <v>522</v>
      </c>
      <c r="W4" s="385">
        <v>523</v>
      </c>
      <c r="X4" s="385">
        <v>524</v>
      </c>
      <c r="Y4" s="385">
        <v>525</v>
      </c>
      <c r="Z4" s="385">
        <v>526</v>
      </c>
      <c r="AA4" s="385">
        <v>527</v>
      </c>
      <c r="AB4" s="385">
        <v>528</v>
      </c>
      <c r="AC4" s="385">
        <v>629</v>
      </c>
      <c r="AD4" s="385">
        <v>630</v>
      </c>
      <c r="AE4" s="385">
        <v>636</v>
      </c>
      <c r="AF4" s="385">
        <v>637</v>
      </c>
      <c r="AG4" s="385">
        <v>640</v>
      </c>
      <c r="AH4" s="385">
        <v>642</v>
      </c>
      <c r="AI4" s="385">
        <v>743</v>
      </c>
      <c r="AJ4" s="385">
        <v>745</v>
      </c>
      <c r="AK4" s="385">
        <v>746</v>
      </c>
      <c r="AL4" s="385">
        <v>747</v>
      </c>
      <c r="AM4" s="385">
        <v>930</v>
      </c>
      <c r="AN4" s="385">
        <v>940</v>
      </c>
    </row>
    <row r="5" spans="1:40" x14ac:dyDescent="0.3">
      <c r="A5" s="382" t="s">
        <v>244</v>
      </c>
      <c r="B5" s="407">
        <v>2</v>
      </c>
      <c r="C5" s="382">
        <v>31</v>
      </c>
      <c r="D5" s="382">
        <v>1</v>
      </c>
      <c r="E5" s="382">
        <v>1</v>
      </c>
      <c r="F5" s="382">
        <v>59</v>
      </c>
      <c r="G5" s="382">
        <v>0</v>
      </c>
      <c r="H5" s="382">
        <v>16</v>
      </c>
      <c r="I5" s="382">
        <v>0</v>
      </c>
      <c r="J5" s="382">
        <v>0</v>
      </c>
      <c r="K5" s="382">
        <v>24</v>
      </c>
      <c r="L5" s="382">
        <v>0</v>
      </c>
      <c r="M5" s="382">
        <v>0</v>
      </c>
      <c r="N5" s="382">
        <v>0</v>
      </c>
      <c r="O5" s="382">
        <v>0</v>
      </c>
      <c r="P5" s="382">
        <v>0</v>
      </c>
      <c r="Q5" s="382">
        <v>0</v>
      </c>
      <c r="R5" s="382">
        <v>1</v>
      </c>
      <c r="S5" s="382">
        <v>0</v>
      </c>
      <c r="T5" s="382">
        <v>0</v>
      </c>
      <c r="U5" s="382">
        <v>0</v>
      </c>
      <c r="V5" s="382">
        <v>0</v>
      </c>
      <c r="W5" s="382">
        <v>0</v>
      </c>
      <c r="X5" s="382">
        <v>0</v>
      </c>
      <c r="Y5" s="382">
        <v>0</v>
      </c>
      <c r="Z5" s="382">
        <v>0</v>
      </c>
      <c r="AA5" s="382">
        <v>0</v>
      </c>
      <c r="AB5" s="382">
        <v>0</v>
      </c>
      <c r="AC5" s="382">
        <v>0</v>
      </c>
      <c r="AD5" s="382">
        <v>0</v>
      </c>
      <c r="AE5" s="382">
        <v>2</v>
      </c>
      <c r="AF5" s="382">
        <v>0</v>
      </c>
      <c r="AG5" s="382">
        <v>0</v>
      </c>
      <c r="AH5" s="382">
        <v>13</v>
      </c>
      <c r="AI5" s="382">
        <v>0</v>
      </c>
      <c r="AJ5" s="382">
        <v>0</v>
      </c>
      <c r="AK5" s="382">
        <v>0</v>
      </c>
      <c r="AL5" s="382">
        <v>0</v>
      </c>
      <c r="AM5" s="382">
        <v>3</v>
      </c>
      <c r="AN5" s="382">
        <v>0</v>
      </c>
    </row>
    <row r="6" spans="1:40" x14ac:dyDescent="0.3">
      <c r="A6" s="382" t="s">
        <v>245</v>
      </c>
      <c r="B6" s="407">
        <v>3</v>
      </c>
      <c r="C6" s="382">
        <v>31</v>
      </c>
      <c r="D6" s="382">
        <v>1</v>
      </c>
      <c r="E6" s="382">
        <v>2</v>
      </c>
      <c r="F6" s="382">
        <v>9745</v>
      </c>
      <c r="G6" s="382">
        <v>0</v>
      </c>
      <c r="H6" s="382">
        <v>2808</v>
      </c>
      <c r="I6" s="382">
        <v>0</v>
      </c>
      <c r="J6" s="382">
        <v>0</v>
      </c>
      <c r="K6" s="382">
        <v>3902.5</v>
      </c>
      <c r="L6" s="382">
        <v>0</v>
      </c>
      <c r="M6" s="382">
        <v>0</v>
      </c>
      <c r="N6" s="382">
        <v>0</v>
      </c>
      <c r="O6" s="382">
        <v>0</v>
      </c>
      <c r="P6" s="382">
        <v>0</v>
      </c>
      <c r="Q6" s="382">
        <v>0</v>
      </c>
      <c r="R6" s="382">
        <v>172.5</v>
      </c>
      <c r="S6" s="382">
        <v>0</v>
      </c>
      <c r="T6" s="382">
        <v>0</v>
      </c>
      <c r="U6" s="382">
        <v>0</v>
      </c>
      <c r="V6" s="382">
        <v>0</v>
      </c>
      <c r="W6" s="382">
        <v>0</v>
      </c>
      <c r="X6" s="382">
        <v>0</v>
      </c>
      <c r="Y6" s="382">
        <v>0</v>
      </c>
      <c r="Z6" s="382">
        <v>0</v>
      </c>
      <c r="AA6" s="382">
        <v>0</v>
      </c>
      <c r="AB6" s="382">
        <v>0</v>
      </c>
      <c r="AC6" s="382">
        <v>0</v>
      </c>
      <c r="AD6" s="382">
        <v>0</v>
      </c>
      <c r="AE6" s="382">
        <v>356.5</v>
      </c>
      <c r="AF6" s="382">
        <v>0</v>
      </c>
      <c r="AG6" s="382">
        <v>0</v>
      </c>
      <c r="AH6" s="382">
        <v>2145.5</v>
      </c>
      <c r="AI6" s="382">
        <v>0</v>
      </c>
      <c r="AJ6" s="382">
        <v>0</v>
      </c>
      <c r="AK6" s="382">
        <v>0</v>
      </c>
      <c r="AL6" s="382">
        <v>0</v>
      </c>
      <c r="AM6" s="382">
        <v>360</v>
      </c>
      <c r="AN6" s="382">
        <v>0</v>
      </c>
    </row>
    <row r="7" spans="1:40" x14ac:dyDescent="0.3">
      <c r="A7" s="382" t="s">
        <v>246</v>
      </c>
      <c r="B7" s="407">
        <v>4</v>
      </c>
      <c r="C7" s="382">
        <v>31</v>
      </c>
      <c r="D7" s="382">
        <v>1</v>
      </c>
      <c r="E7" s="382">
        <v>3</v>
      </c>
      <c r="F7" s="382">
        <v>36</v>
      </c>
      <c r="G7" s="382">
        <v>0</v>
      </c>
      <c r="H7" s="382">
        <v>36</v>
      </c>
      <c r="I7" s="382">
        <v>0</v>
      </c>
      <c r="J7" s="382">
        <v>0</v>
      </c>
      <c r="K7" s="382">
        <v>0</v>
      </c>
      <c r="L7" s="382">
        <v>0</v>
      </c>
      <c r="M7" s="382">
        <v>0</v>
      </c>
      <c r="N7" s="382">
        <v>0</v>
      </c>
      <c r="O7" s="382">
        <v>0</v>
      </c>
      <c r="P7" s="382">
        <v>0</v>
      </c>
      <c r="Q7" s="382">
        <v>0</v>
      </c>
      <c r="R7" s="382">
        <v>0</v>
      </c>
      <c r="S7" s="382">
        <v>0</v>
      </c>
      <c r="T7" s="382">
        <v>0</v>
      </c>
      <c r="U7" s="382">
        <v>0</v>
      </c>
      <c r="V7" s="382">
        <v>0</v>
      </c>
      <c r="W7" s="382">
        <v>0</v>
      </c>
      <c r="X7" s="382">
        <v>0</v>
      </c>
      <c r="Y7" s="382">
        <v>0</v>
      </c>
      <c r="Z7" s="382">
        <v>0</v>
      </c>
      <c r="AA7" s="382">
        <v>0</v>
      </c>
      <c r="AB7" s="382">
        <v>0</v>
      </c>
      <c r="AC7" s="382">
        <v>0</v>
      </c>
      <c r="AD7" s="382">
        <v>0</v>
      </c>
      <c r="AE7" s="382">
        <v>0</v>
      </c>
      <c r="AF7" s="382">
        <v>0</v>
      </c>
      <c r="AG7" s="382">
        <v>0</v>
      </c>
      <c r="AH7" s="382">
        <v>0</v>
      </c>
      <c r="AI7" s="382">
        <v>0</v>
      </c>
      <c r="AJ7" s="382">
        <v>0</v>
      </c>
      <c r="AK7" s="382">
        <v>0</v>
      </c>
      <c r="AL7" s="382">
        <v>0</v>
      </c>
      <c r="AM7" s="382">
        <v>0</v>
      </c>
      <c r="AN7" s="382">
        <v>0</v>
      </c>
    </row>
    <row r="8" spans="1:40" x14ac:dyDescent="0.3">
      <c r="A8" s="382" t="s">
        <v>247</v>
      </c>
      <c r="B8" s="407">
        <v>5</v>
      </c>
      <c r="C8" s="382">
        <v>31</v>
      </c>
      <c r="D8" s="382">
        <v>1</v>
      </c>
      <c r="E8" s="382">
        <v>4</v>
      </c>
      <c r="F8" s="382">
        <v>160</v>
      </c>
      <c r="G8" s="382">
        <v>0</v>
      </c>
      <c r="H8" s="382">
        <v>160</v>
      </c>
      <c r="I8" s="382">
        <v>0</v>
      </c>
      <c r="J8" s="382">
        <v>0</v>
      </c>
      <c r="K8" s="382">
        <v>0</v>
      </c>
      <c r="L8" s="382">
        <v>0</v>
      </c>
      <c r="M8" s="382">
        <v>0</v>
      </c>
      <c r="N8" s="382">
        <v>0</v>
      </c>
      <c r="O8" s="382">
        <v>0</v>
      </c>
      <c r="P8" s="382">
        <v>0</v>
      </c>
      <c r="Q8" s="382">
        <v>0</v>
      </c>
      <c r="R8" s="382">
        <v>0</v>
      </c>
      <c r="S8" s="382">
        <v>0</v>
      </c>
      <c r="T8" s="382">
        <v>0</v>
      </c>
      <c r="U8" s="382">
        <v>0</v>
      </c>
      <c r="V8" s="382">
        <v>0</v>
      </c>
      <c r="W8" s="382">
        <v>0</v>
      </c>
      <c r="X8" s="382">
        <v>0</v>
      </c>
      <c r="Y8" s="382">
        <v>0</v>
      </c>
      <c r="Z8" s="382">
        <v>0</v>
      </c>
      <c r="AA8" s="382">
        <v>0</v>
      </c>
      <c r="AB8" s="382">
        <v>0</v>
      </c>
      <c r="AC8" s="382">
        <v>0</v>
      </c>
      <c r="AD8" s="382">
        <v>0</v>
      </c>
      <c r="AE8" s="382">
        <v>0</v>
      </c>
      <c r="AF8" s="382">
        <v>0</v>
      </c>
      <c r="AG8" s="382">
        <v>0</v>
      </c>
      <c r="AH8" s="382">
        <v>0</v>
      </c>
      <c r="AI8" s="382">
        <v>0</v>
      </c>
      <c r="AJ8" s="382">
        <v>0</v>
      </c>
      <c r="AK8" s="382">
        <v>0</v>
      </c>
      <c r="AL8" s="382">
        <v>0</v>
      </c>
      <c r="AM8" s="382">
        <v>0</v>
      </c>
      <c r="AN8" s="382">
        <v>0</v>
      </c>
    </row>
    <row r="9" spans="1:40" x14ac:dyDescent="0.3">
      <c r="A9" s="382" t="s">
        <v>248</v>
      </c>
      <c r="B9" s="407">
        <v>6</v>
      </c>
      <c r="C9" s="382">
        <v>31</v>
      </c>
      <c r="D9" s="382">
        <v>1</v>
      </c>
      <c r="E9" s="382">
        <v>6</v>
      </c>
      <c r="F9" s="382">
        <v>2379609</v>
      </c>
      <c r="G9" s="382">
        <v>0</v>
      </c>
      <c r="H9" s="382">
        <v>1366845</v>
      </c>
      <c r="I9" s="382">
        <v>0</v>
      </c>
      <c r="J9" s="382">
        <v>0</v>
      </c>
      <c r="K9" s="382">
        <v>659913</v>
      </c>
      <c r="L9" s="382">
        <v>0</v>
      </c>
      <c r="M9" s="382">
        <v>0</v>
      </c>
      <c r="N9" s="382">
        <v>0</v>
      </c>
      <c r="O9" s="382">
        <v>0</v>
      </c>
      <c r="P9" s="382">
        <v>0</v>
      </c>
      <c r="Q9" s="382">
        <v>0</v>
      </c>
      <c r="R9" s="382">
        <v>27676</v>
      </c>
      <c r="S9" s="382">
        <v>0</v>
      </c>
      <c r="T9" s="382">
        <v>0</v>
      </c>
      <c r="U9" s="382">
        <v>0</v>
      </c>
      <c r="V9" s="382">
        <v>0</v>
      </c>
      <c r="W9" s="382">
        <v>0</v>
      </c>
      <c r="X9" s="382">
        <v>0</v>
      </c>
      <c r="Y9" s="382">
        <v>0</v>
      </c>
      <c r="Z9" s="382">
        <v>0</v>
      </c>
      <c r="AA9" s="382">
        <v>0</v>
      </c>
      <c r="AB9" s="382">
        <v>0</v>
      </c>
      <c r="AC9" s="382">
        <v>0</v>
      </c>
      <c r="AD9" s="382">
        <v>0</v>
      </c>
      <c r="AE9" s="382">
        <v>35585</v>
      </c>
      <c r="AF9" s="382">
        <v>0</v>
      </c>
      <c r="AG9" s="382">
        <v>0</v>
      </c>
      <c r="AH9" s="382">
        <v>241011</v>
      </c>
      <c r="AI9" s="382">
        <v>0</v>
      </c>
      <c r="AJ9" s="382">
        <v>0</v>
      </c>
      <c r="AK9" s="382">
        <v>0</v>
      </c>
      <c r="AL9" s="382">
        <v>0</v>
      </c>
      <c r="AM9" s="382">
        <v>48579</v>
      </c>
      <c r="AN9" s="382">
        <v>0</v>
      </c>
    </row>
    <row r="10" spans="1:40" x14ac:dyDescent="0.3">
      <c r="A10" s="382" t="s">
        <v>249</v>
      </c>
      <c r="B10" s="407">
        <v>7</v>
      </c>
      <c r="C10" s="382">
        <v>31</v>
      </c>
      <c r="D10" s="382">
        <v>1</v>
      </c>
      <c r="E10" s="382">
        <v>9</v>
      </c>
      <c r="F10" s="382">
        <v>12000</v>
      </c>
      <c r="G10" s="382">
        <v>0</v>
      </c>
      <c r="H10" s="382">
        <v>0</v>
      </c>
      <c r="I10" s="382">
        <v>0</v>
      </c>
      <c r="J10" s="382">
        <v>0</v>
      </c>
      <c r="K10" s="382">
        <v>4000</v>
      </c>
      <c r="L10" s="382">
        <v>0</v>
      </c>
      <c r="M10" s="382">
        <v>0</v>
      </c>
      <c r="N10" s="382">
        <v>0</v>
      </c>
      <c r="O10" s="382">
        <v>0</v>
      </c>
      <c r="P10" s="382">
        <v>0</v>
      </c>
      <c r="Q10" s="382">
        <v>0</v>
      </c>
      <c r="R10" s="382">
        <v>0</v>
      </c>
      <c r="S10" s="382">
        <v>0</v>
      </c>
      <c r="T10" s="382">
        <v>0</v>
      </c>
      <c r="U10" s="382">
        <v>0</v>
      </c>
      <c r="V10" s="382">
        <v>0</v>
      </c>
      <c r="W10" s="382">
        <v>0</v>
      </c>
      <c r="X10" s="382">
        <v>0</v>
      </c>
      <c r="Y10" s="382">
        <v>0</v>
      </c>
      <c r="Z10" s="382">
        <v>0</v>
      </c>
      <c r="AA10" s="382">
        <v>0</v>
      </c>
      <c r="AB10" s="382">
        <v>0</v>
      </c>
      <c r="AC10" s="382">
        <v>0</v>
      </c>
      <c r="AD10" s="382">
        <v>0</v>
      </c>
      <c r="AE10" s="382">
        <v>0</v>
      </c>
      <c r="AF10" s="382">
        <v>0</v>
      </c>
      <c r="AG10" s="382">
        <v>0</v>
      </c>
      <c r="AH10" s="382">
        <v>0</v>
      </c>
      <c r="AI10" s="382">
        <v>0</v>
      </c>
      <c r="AJ10" s="382">
        <v>0</v>
      </c>
      <c r="AK10" s="382">
        <v>0</v>
      </c>
      <c r="AL10" s="382">
        <v>0</v>
      </c>
      <c r="AM10" s="382">
        <v>8000</v>
      </c>
      <c r="AN10" s="382">
        <v>0</v>
      </c>
    </row>
    <row r="11" spans="1:40" x14ac:dyDescent="0.3">
      <c r="A11" s="382" t="s">
        <v>250</v>
      </c>
      <c r="B11" s="407">
        <v>8</v>
      </c>
      <c r="C11" s="382">
        <v>31</v>
      </c>
      <c r="D11" s="382">
        <v>1</v>
      </c>
      <c r="E11" s="382">
        <v>10</v>
      </c>
      <c r="F11" s="382">
        <v>13600</v>
      </c>
      <c r="G11" s="382">
        <v>0</v>
      </c>
      <c r="H11" s="382">
        <v>0</v>
      </c>
      <c r="I11" s="382">
        <v>0</v>
      </c>
      <c r="J11" s="382">
        <v>0</v>
      </c>
      <c r="K11" s="382">
        <v>13600</v>
      </c>
      <c r="L11" s="382">
        <v>0</v>
      </c>
      <c r="M11" s="382">
        <v>0</v>
      </c>
      <c r="N11" s="382">
        <v>0</v>
      </c>
      <c r="O11" s="382">
        <v>0</v>
      </c>
      <c r="P11" s="382">
        <v>0</v>
      </c>
      <c r="Q11" s="382">
        <v>0</v>
      </c>
      <c r="R11" s="382">
        <v>0</v>
      </c>
      <c r="S11" s="382">
        <v>0</v>
      </c>
      <c r="T11" s="382">
        <v>0</v>
      </c>
      <c r="U11" s="382">
        <v>0</v>
      </c>
      <c r="V11" s="382">
        <v>0</v>
      </c>
      <c r="W11" s="382">
        <v>0</v>
      </c>
      <c r="X11" s="382">
        <v>0</v>
      </c>
      <c r="Y11" s="382">
        <v>0</v>
      </c>
      <c r="Z11" s="382">
        <v>0</v>
      </c>
      <c r="AA11" s="382">
        <v>0</v>
      </c>
      <c r="AB11" s="382">
        <v>0</v>
      </c>
      <c r="AC11" s="382">
        <v>0</v>
      </c>
      <c r="AD11" s="382">
        <v>0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  <c r="AL11" s="382">
        <v>0</v>
      </c>
      <c r="AM11" s="382">
        <v>0</v>
      </c>
      <c r="AN11" s="382">
        <v>0</v>
      </c>
    </row>
    <row r="12" spans="1:40" x14ac:dyDescent="0.3">
      <c r="A12" s="382" t="s">
        <v>251</v>
      </c>
      <c r="B12" s="407">
        <v>9</v>
      </c>
      <c r="C12" s="382">
        <v>31</v>
      </c>
      <c r="D12" s="382">
        <v>1</v>
      </c>
      <c r="E12" s="382">
        <v>11</v>
      </c>
      <c r="F12" s="382">
        <v>10554.416666666666</v>
      </c>
      <c r="G12" s="382">
        <v>0</v>
      </c>
      <c r="H12" s="382">
        <v>4721.083333333333</v>
      </c>
      <c r="I12" s="382">
        <v>0</v>
      </c>
      <c r="J12" s="382">
        <v>0</v>
      </c>
      <c r="K12" s="382">
        <v>5833.333333333333</v>
      </c>
      <c r="L12" s="382">
        <v>0</v>
      </c>
      <c r="M12" s="382">
        <v>0</v>
      </c>
      <c r="N12" s="382">
        <v>0</v>
      </c>
      <c r="O12" s="382">
        <v>0</v>
      </c>
      <c r="P12" s="382">
        <v>0</v>
      </c>
      <c r="Q12" s="382">
        <v>0</v>
      </c>
      <c r="R12" s="382">
        <v>0</v>
      </c>
      <c r="S12" s="382">
        <v>0</v>
      </c>
      <c r="T12" s="382">
        <v>0</v>
      </c>
      <c r="U12" s="382">
        <v>0</v>
      </c>
      <c r="V12" s="382">
        <v>0</v>
      </c>
      <c r="W12" s="382">
        <v>0</v>
      </c>
      <c r="X12" s="382">
        <v>0</v>
      </c>
      <c r="Y12" s="382">
        <v>0</v>
      </c>
      <c r="Z12" s="382">
        <v>0</v>
      </c>
      <c r="AA12" s="382">
        <v>0</v>
      </c>
      <c r="AB12" s="382">
        <v>0</v>
      </c>
      <c r="AC12" s="382">
        <v>0</v>
      </c>
      <c r="AD12" s="382">
        <v>0</v>
      </c>
      <c r="AE12" s="382">
        <v>0</v>
      </c>
      <c r="AF12" s="382">
        <v>0</v>
      </c>
      <c r="AG12" s="382">
        <v>0</v>
      </c>
      <c r="AH12" s="382">
        <v>0</v>
      </c>
      <c r="AI12" s="382">
        <v>0</v>
      </c>
      <c r="AJ12" s="382">
        <v>0</v>
      </c>
      <c r="AK12" s="382">
        <v>0</v>
      </c>
      <c r="AL12" s="382">
        <v>0</v>
      </c>
      <c r="AM12" s="382">
        <v>0</v>
      </c>
      <c r="AN12" s="382">
        <v>0</v>
      </c>
    </row>
    <row r="13" spans="1:40" x14ac:dyDescent="0.3">
      <c r="A13" s="382" t="s">
        <v>252</v>
      </c>
      <c r="B13" s="407">
        <v>10</v>
      </c>
      <c r="C13" s="382">
        <v>31</v>
      </c>
      <c r="D13" s="382">
        <v>2</v>
      </c>
      <c r="E13" s="382">
        <v>1</v>
      </c>
      <c r="F13" s="382">
        <v>60</v>
      </c>
      <c r="G13" s="382">
        <v>0</v>
      </c>
      <c r="H13" s="382">
        <v>16</v>
      </c>
      <c r="I13" s="382">
        <v>0</v>
      </c>
      <c r="J13" s="382">
        <v>0</v>
      </c>
      <c r="K13" s="382">
        <v>25</v>
      </c>
      <c r="L13" s="382">
        <v>0</v>
      </c>
      <c r="M13" s="382">
        <v>0</v>
      </c>
      <c r="N13" s="382">
        <v>0</v>
      </c>
      <c r="O13" s="382">
        <v>0</v>
      </c>
      <c r="P13" s="382">
        <v>0</v>
      </c>
      <c r="Q13" s="382">
        <v>0</v>
      </c>
      <c r="R13" s="382">
        <v>1</v>
      </c>
      <c r="S13" s="382">
        <v>0</v>
      </c>
      <c r="T13" s="382">
        <v>0</v>
      </c>
      <c r="U13" s="382">
        <v>0</v>
      </c>
      <c r="V13" s="382">
        <v>0</v>
      </c>
      <c r="W13" s="382">
        <v>0</v>
      </c>
      <c r="X13" s="382">
        <v>0</v>
      </c>
      <c r="Y13" s="382">
        <v>0</v>
      </c>
      <c r="Z13" s="382">
        <v>0</v>
      </c>
      <c r="AA13" s="382">
        <v>0</v>
      </c>
      <c r="AB13" s="382">
        <v>0</v>
      </c>
      <c r="AC13" s="382">
        <v>0</v>
      </c>
      <c r="AD13" s="382">
        <v>0</v>
      </c>
      <c r="AE13" s="382">
        <v>2</v>
      </c>
      <c r="AF13" s="382">
        <v>0</v>
      </c>
      <c r="AG13" s="382">
        <v>0</v>
      </c>
      <c r="AH13" s="382">
        <v>13</v>
      </c>
      <c r="AI13" s="382">
        <v>0</v>
      </c>
      <c r="AJ13" s="382">
        <v>0</v>
      </c>
      <c r="AK13" s="382">
        <v>0</v>
      </c>
      <c r="AL13" s="382">
        <v>0</v>
      </c>
      <c r="AM13" s="382">
        <v>3</v>
      </c>
      <c r="AN13" s="382">
        <v>0</v>
      </c>
    </row>
    <row r="14" spans="1:40" x14ac:dyDescent="0.3">
      <c r="A14" s="382" t="s">
        <v>253</v>
      </c>
      <c r="B14" s="407">
        <v>11</v>
      </c>
      <c r="C14" s="382">
        <v>31</v>
      </c>
      <c r="D14" s="382">
        <v>2</v>
      </c>
      <c r="E14" s="382">
        <v>2</v>
      </c>
      <c r="F14" s="382">
        <v>8510.75</v>
      </c>
      <c r="G14" s="382">
        <v>0</v>
      </c>
      <c r="H14" s="382">
        <v>2360</v>
      </c>
      <c r="I14" s="382">
        <v>0</v>
      </c>
      <c r="J14" s="382">
        <v>0</v>
      </c>
      <c r="K14" s="382">
        <v>3468.5</v>
      </c>
      <c r="L14" s="382">
        <v>0</v>
      </c>
      <c r="M14" s="382">
        <v>0</v>
      </c>
      <c r="N14" s="382">
        <v>0</v>
      </c>
      <c r="O14" s="382">
        <v>0</v>
      </c>
      <c r="P14" s="382">
        <v>0</v>
      </c>
      <c r="Q14" s="382">
        <v>0</v>
      </c>
      <c r="R14" s="382">
        <v>150</v>
      </c>
      <c r="S14" s="382">
        <v>0</v>
      </c>
      <c r="T14" s="382">
        <v>0</v>
      </c>
      <c r="U14" s="382">
        <v>0</v>
      </c>
      <c r="V14" s="382">
        <v>0</v>
      </c>
      <c r="W14" s="382">
        <v>0</v>
      </c>
      <c r="X14" s="382">
        <v>0</v>
      </c>
      <c r="Y14" s="382">
        <v>0</v>
      </c>
      <c r="Z14" s="382">
        <v>0</v>
      </c>
      <c r="AA14" s="382">
        <v>0</v>
      </c>
      <c r="AB14" s="382">
        <v>0</v>
      </c>
      <c r="AC14" s="382">
        <v>0</v>
      </c>
      <c r="AD14" s="382">
        <v>0</v>
      </c>
      <c r="AE14" s="382">
        <v>310</v>
      </c>
      <c r="AF14" s="382">
        <v>0</v>
      </c>
      <c r="AG14" s="382">
        <v>0</v>
      </c>
      <c r="AH14" s="382">
        <v>1766.25</v>
      </c>
      <c r="AI14" s="382">
        <v>0</v>
      </c>
      <c r="AJ14" s="382">
        <v>0</v>
      </c>
      <c r="AK14" s="382">
        <v>0</v>
      </c>
      <c r="AL14" s="382">
        <v>0</v>
      </c>
      <c r="AM14" s="382">
        <v>456</v>
      </c>
      <c r="AN14" s="382">
        <v>0</v>
      </c>
    </row>
    <row r="15" spans="1:40" x14ac:dyDescent="0.3">
      <c r="A15" s="382" t="s">
        <v>254</v>
      </c>
      <c r="B15" s="407">
        <v>12</v>
      </c>
      <c r="C15" s="382">
        <v>31</v>
      </c>
      <c r="D15" s="382">
        <v>2</v>
      </c>
      <c r="E15" s="382">
        <v>3</v>
      </c>
      <c r="F15" s="382">
        <v>6</v>
      </c>
      <c r="G15" s="382">
        <v>0</v>
      </c>
      <c r="H15" s="382">
        <v>6</v>
      </c>
      <c r="I15" s="382">
        <v>0</v>
      </c>
      <c r="J15" s="382">
        <v>0</v>
      </c>
      <c r="K15" s="382">
        <v>0</v>
      </c>
      <c r="L15" s="382">
        <v>0</v>
      </c>
      <c r="M15" s="382">
        <v>0</v>
      </c>
      <c r="N15" s="382">
        <v>0</v>
      </c>
      <c r="O15" s="382">
        <v>0</v>
      </c>
      <c r="P15" s="382">
        <v>0</v>
      </c>
      <c r="Q15" s="382">
        <v>0</v>
      </c>
      <c r="R15" s="382">
        <v>0</v>
      </c>
      <c r="S15" s="382">
        <v>0</v>
      </c>
      <c r="T15" s="382">
        <v>0</v>
      </c>
      <c r="U15" s="382">
        <v>0</v>
      </c>
      <c r="V15" s="382">
        <v>0</v>
      </c>
      <c r="W15" s="382">
        <v>0</v>
      </c>
      <c r="X15" s="382">
        <v>0</v>
      </c>
      <c r="Y15" s="382">
        <v>0</v>
      </c>
      <c r="Z15" s="382">
        <v>0</v>
      </c>
      <c r="AA15" s="382">
        <v>0</v>
      </c>
      <c r="AB15" s="382">
        <v>0</v>
      </c>
      <c r="AC15" s="382">
        <v>0</v>
      </c>
      <c r="AD15" s="382">
        <v>0</v>
      </c>
      <c r="AE15" s="382">
        <v>0</v>
      </c>
      <c r="AF15" s="382">
        <v>0</v>
      </c>
      <c r="AG15" s="382">
        <v>0</v>
      </c>
      <c r="AH15" s="382">
        <v>0</v>
      </c>
      <c r="AI15" s="382">
        <v>0</v>
      </c>
      <c r="AJ15" s="382">
        <v>0</v>
      </c>
      <c r="AK15" s="382">
        <v>0</v>
      </c>
      <c r="AL15" s="382">
        <v>0</v>
      </c>
      <c r="AM15" s="382">
        <v>0</v>
      </c>
      <c r="AN15" s="382">
        <v>0</v>
      </c>
    </row>
    <row r="16" spans="1:40" x14ac:dyDescent="0.3">
      <c r="A16" s="382" t="s">
        <v>242</v>
      </c>
      <c r="B16" s="407">
        <v>2014</v>
      </c>
      <c r="C16" s="382">
        <v>31</v>
      </c>
      <c r="D16" s="382">
        <v>2</v>
      </c>
      <c r="E16" s="382">
        <v>4</v>
      </c>
      <c r="F16" s="382">
        <v>165</v>
      </c>
      <c r="G16" s="382">
        <v>0</v>
      </c>
      <c r="H16" s="382">
        <v>165</v>
      </c>
      <c r="I16" s="382">
        <v>0</v>
      </c>
      <c r="J16" s="382">
        <v>0</v>
      </c>
      <c r="K16" s="382">
        <v>0</v>
      </c>
      <c r="L16" s="382">
        <v>0</v>
      </c>
      <c r="M16" s="382">
        <v>0</v>
      </c>
      <c r="N16" s="382">
        <v>0</v>
      </c>
      <c r="O16" s="382">
        <v>0</v>
      </c>
      <c r="P16" s="382">
        <v>0</v>
      </c>
      <c r="Q16" s="382">
        <v>0</v>
      </c>
      <c r="R16" s="382">
        <v>0</v>
      </c>
      <c r="S16" s="382">
        <v>0</v>
      </c>
      <c r="T16" s="382">
        <v>0</v>
      </c>
      <c r="U16" s="382">
        <v>0</v>
      </c>
      <c r="V16" s="382">
        <v>0</v>
      </c>
      <c r="W16" s="382">
        <v>0</v>
      </c>
      <c r="X16" s="382">
        <v>0</v>
      </c>
      <c r="Y16" s="382">
        <v>0</v>
      </c>
      <c r="Z16" s="382">
        <v>0</v>
      </c>
      <c r="AA16" s="382">
        <v>0</v>
      </c>
      <c r="AB16" s="382">
        <v>0</v>
      </c>
      <c r="AC16" s="382">
        <v>0</v>
      </c>
      <c r="AD16" s="382">
        <v>0</v>
      </c>
      <c r="AE16" s="382">
        <v>0</v>
      </c>
      <c r="AF16" s="382">
        <v>0</v>
      </c>
      <c r="AG16" s="382">
        <v>0</v>
      </c>
      <c r="AH16" s="382">
        <v>0</v>
      </c>
      <c r="AI16" s="382">
        <v>0</v>
      </c>
      <c r="AJ16" s="382">
        <v>0</v>
      </c>
      <c r="AK16" s="382">
        <v>0</v>
      </c>
      <c r="AL16" s="382">
        <v>0</v>
      </c>
      <c r="AM16" s="382">
        <v>0</v>
      </c>
      <c r="AN16" s="382">
        <v>0</v>
      </c>
    </row>
    <row r="17" spans="3:40" x14ac:dyDescent="0.3">
      <c r="C17" s="382">
        <v>31</v>
      </c>
      <c r="D17" s="382">
        <v>2</v>
      </c>
      <c r="E17" s="382">
        <v>5</v>
      </c>
      <c r="F17" s="382">
        <v>12</v>
      </c>
      <c r="G17" s="382">
        <v>12</v>
      </c>
      <c r="H17" s="382">
        <v>0</v>
      </c>
      <c r="I17" s="382">
        <v>0</v>
      </c>
      <c r="J17" s="382">
        <v>0</v>
      </c>
      <c r="K17" s="382">
        <v>0</v>
      </c>
      <c r="L17" s="382">
        <v>0</v>
      </c>
      <c r="M17" s="382">
        <v>0</v>
      </c>
      <c r="N17" s="382">
        <v>0</v>
      </c>
      <c r="O17" s="382">
        <v>0</v>
      </c>
      <c r="P17" s="382">
        <v>0</v>
      </c>
      <c r="Q17" s="382">
        <v>0</v>
      </c>
      <c r="R17" s="382">
        <v>0</v>
      </c>
      <c r="S17" s="382">
        <v>0</v>
      </c>
      <c r="T17" s="382">
        <v>0</v>
      </c>
      <c r="U17" s="382">
        <v>0</v>
      </c>
      <c r="V17" s="382">
        <v>0</v>
      </c>
      <c r="W17" s="382">
        <v>0</v>
      </c>
      <c r="X17" s="382">
        <v>0</v>
      </c>
      <c r="Y17" s="382">
        <v>0</v>
      </c>
      <c r="Z17" s="382">
        <v>0</v>
      </c>
      <c r="AA17" s="382">
        <v>0</v>
      </c>
      <c r="AB17" s="382">
        <v>0</v>
      </c>
      <c r="AC17" s="382">
        <v>0</v>
      </c>
      <c r="AD17" s="382">
        <v>0</v>
      </c>
      <c r="AE17" s="382">
        <v>0</v>
      </c>
      <c r="AF17" s="382">
        <v>0</v>
      </c>
      <c r="AG17" s="382">
        <v>0</v>
      </c>
      <c r="AH17" s="382">
        <v>0</v>
      </c>
      <c r="AI17" s="382">
        <v>0</v>
      </c>
      <c r="AJ17" s="382">
        <v>0</v>
      </c>
      <c r="AK17" s="382">
        <v>0</v>
      </c>
      <c r="AL17" s="382">
        <v>0</v>
      </c>
      <c r="AM17" s="382">
        <v>0</v>
      </c>
      <c r="AN17" s="382">
        <v>0</v>
      </c>
    </row>
    <row r="18" spans="3:40" x14ac:dyDescent="0.3">
      <c r="C18" s="382">
        <v>31</v>
      </c>
      <c r="D18" s="382">
        <v>2</v>
      </c>
      <c r="E18" s="382">
        <v>6</v>
      </c>
      <c r="F18" s="382">
        <v>2327592</v>
      </c>
      <c r="G18" s="382">
        <v>3600</v>
      </c>
      <c r="H18" s="382">
        <v>1351993</v>
      </c>
      <c r="I18" s="382">
        <v>0</v>
      </c>
      <c r="J18" s="382">
        <v>0</v>
      </c>
      <c r="K18" s="382">
        <v>622802</v>
      </c>
      <c r="L18" s="382">
        <v>0</v>
      </c>
      <c r="M18" s="382">
        <v>0</v>
      </c>
      <c r="N18" s="382">
        <v>0</v>
      </c>
      <c r="O18" s="382">
        <v>0</v>
      </c>
      <c r="P18" s="382">
        <v>0</v>
      </c>
      <c r="Q18" s="382">
        <v>0</v>
      </c>
      <c r="R18" s="382">
        <v>25508</v>
      </c>
      <c r="S18" s="382">
        <v>0</v>
      </c>
      <c r="T18" s="382">
        <v>0</v>
      </c>
      <c r="U18" s="382">
        <v>0</v>
      </c>
      <c r="V18" s="382">
        <v>0</v>
      </c>
      <c r="W18" s="382">
        <v>0</v>
      </c>
      <c r="X18" s="382">
        <v>0</v>
      </c>
      <c r="Y18" s="382">
        <v>0</v>
      </c>
      <c r="Z18" s="382">
        <v>0</v>
      </c>
      <c r="AA18" s="382">
        <v>0</v>
      </c>
      <c r="AB18" s="382">
        <v>0</v>
      </c>
      <c r="AC18" s="382">
        <v>0</v>
      </c>
      <c r="AD18" s="382">
        <v>0</v>
      </c>
      <c r="AE18" s="382">
        <v>34310</v>
      </c>
      <c r="AF18" s="382">
        <v>0</v>
      </c>
      <c r="AG18" s="382">
        <v>0</v>
      </c>
      <c r="AH18" s="382">
        <v>231143</v>
      </c>
      <c r="AI18" s="382">
        <v>0</v>
      </c>
      <c r="AJ18" s="382">
        <v>0</v>
      </c>
      <c r="AK18" s="382">
        <v>0</v>
      </c>
      <c r="AL18" s="382">
        <v>0</v>
      </c>
      <c r="AM18" s="382">
        <v>58236</v>
      </c>
      <c r="AN18" s="382">
        <v>0</v>
      </c>
    </row>
    <row r="19" spans="3:40" x14ac:dyDescent="0.3">
      <c r="C19" s="382">
        <v>31</v>
      </c>
      <c r="D19" s="382">
        <v>2</v>
      </c>
      <c r="E19" s="382">
        <v>10</v>
      </c>
      <c r="F19" s="382">
        <v>21620</v>
      </c>
      <c r="G19" s="382">
        <v>0</v>
      </c>
      <c r="H19" s="382">
        <v>14820</v>
      </c>
      <c r="I19" s="382">
        <v>0</v>
      </c>
      <c r="J19" s="382">
        <v>0</v>
      </c>
      <c r="K19" s="382">
        <v>6800</v>
      </c>
      <c r="L19" s="382">
        <v>0</v>
      </c>
      <c r="M19" s="382">
        <v>0</v>
      </c>
      <c r="N19" s="382">
        <v>0</v>
      </c>
      <c r="O19" s="382">
        <v>0</v>
      </c>
      <c r="P19" s="382">
        <v>0</v>
      </c>
      <c r="Q19" s="382">
        <v>0</v>
      </c>
      <c r="R19" s="382">
        <v>0</v>
      </c>
      <c r="S19" s="382">
        <v>0</v>
      </c>
      <c r="T19" s="382">
        <v>0</v>
      </c>
      <c r="U19" s="382">
        <v>0</v>
      </c>
      <c r="V19" s="382">
        <v>0</v>
      </c>
      <c r="W19" s="382">
        <v>0</v>
      </c>
      <c r="X19" s="382">
        <v>0</v>
      </c>
      <c r="Y19" s="382">
        <v>0</v>
      </c>
      <c r="Z19" s="382">
        <v>0</v>
      </c>
      <c r="AA19" s="382">
        <v>0</v>
      </c>
      <c r="AB19" s="382">
        <v>0</v>
      </c>
      <c r="AC19" s="382">
        <v>0</v>
      </c>
      <c r="AD19" s="382">
        <v>0</v>
      </c>
      <c r="AE19" s="382">
        <v>0</v>
      </c>
      <c r="AF19" s="382">
        <v>0</v>
      </c>
      <c r="AG19" s="382">
        <v>0</v>
      </c>
      <c r="AH19" s="382">
        <v>0</v>
      </c>
      <c r="AI19" s="382">
        <v>0</v>
      </c>
      <c r="AJ19" s="382">
        <v>0</v>
      </c>
      <c r="AK19" s="382">
        <v>0</v>
      </c>
      <c r="AL19" s="382">
        <v>0</v>
      </c>
      <c r="AM19" s="382">
        <v>0</v>
      </c>
      <c r="AN19" s="382">
        <v>0</v>
      </c>
    </row>
    <row r="20" spans="3:40" x14ac:dyDescent="0.3">
      <c r="C20" s="382">
        <v>31</v>
      </c>
      <c r="D20" s="382">
        <v>2</v>
      </c>
      <c r="E20" s="382">
        <v>11</v>
      </c>
      <c r="F20" s="382">
        <v>10554.416666666666</v>
      </c>
      <c r="G20" s="382">
        <v>0</v>
      </c>
      <c r="H20" s="382">
        <v>4721.083333333333</v>
      </c>
      <c r="I20" s="382">
        <v>0</v>
      </c>
      <c r="J20" s="382">
        <v>0</v>
      </c>
      <c r="K20" s="382">
        <v>5833.333333333333</v>
      </c>
      <c r="L20" s="382">
        <v>0</v>
      </c>
      <c r="M20" s="382">
        <v>0</v>
      </c>
      <c r="N20" s="382">
        <v>0</v>
      </c>
      <c r="O20" s="382">
        <v>0</v>
      </c>
      <c r="P20" s="382">
        <v>0</v>
      </c>
      <c r="Q20" s="382">
        <v>0</v>
      </c>
      <c r="R20" s="382">
        <v>0</v>
      </c>
      <c r="S20" s="382">
        <v>0</v>
      </c>
      <c r="T20" s="382">
        <v>0</v>
      </c>
      <c r="U20" s="382">
        <v>0</v>
      </c>
      <c r="V20" s="382">
        <v>0</v>
      </c>
      <c r="W20" s="382">
        <v>0</v>
      </c>
      <c r="X20" s="382">
        <v>0</v>
      </c>
      <c r="Y20" s="382">
        <v>0</v>
      </c>
      <c r="Z20" s="382">
        <v>0</v>
      </c>
      <c r="AA20" s="382">
        <v>0</v>
      </c>
      <c r="AB20" s="382">
        <v>0</v>
      </c>
      <c r="AC20" s="382">
        <v>0</v>
      </c>
      <c r="AD20" s="382">
        <v>0</v>
      </c>
      <c r="AE20" s="382">
        <v>0</v>
      </c>
      <c r="AF20" s="382">
        <v>0</v>
      </c>
      <c r="AG20" s="382">
        <v>0</v>
      </c>
      <c r="AH20" s="382">
        <v>0</v>
      </c>
      <c r="AI20" s="382">
        <v>0</v>
      </c>
      <c r="AJ20" s="382">
        <v>0</v>
      </c>
      <c r="AK20" s="382">
        <v>0</v>
      </c>
      <c r="AL20" s="382">
        <v>0</v>
      </c>
      <c r="AM20" s="382">
        <v>0</v>
      </c>
      <c r="AN20" s="382">
        <v>0</v>
      </c>
    </row>
    <row r="21" spans="3:40" x14ac:dyDescent="0.3">
      <c r="C21" s="382">
        <v>31</v>
      </c>
      <c r="D21" s="382">
        <v>3</v>
      </c>
      <c r="E21" s="382">
        <v>1</v>
      </c>
      <c r="F21" s="382">
        <v>62</v>
      </c>
      <c r="G21" s="382">
        <v>0</v>
      </c>
      <c r="H21" s="382">
        <v>16</v>
      </c>
      <c r="I21" s="382">
        <v>0</v>
      </c>
      <c r="J21" s="382">
        <v>0</v>
      </c>
      <c r="K21" s="382">
        <v>27</v>
      </c>
      <c r="L21" s="382">
        <v>0</v>
      </c>
      <c r="M21" s="382">
        <v>0</v>
      </c>
      <c r="N21" s="382">
        <v>0</v>
      </c>
      <c r="O21" s="382">
        <v>0</v>
      </c>
      <c r="P21" s="382">
        <v>0</v>
      </c>
      <c r="Q21" s="382">
        <v>0</v>
      </c>
      <c r="R21" s="382">
        <v>1</v>
      </c>
      <c r="S21" s="382">
        <v>0</v>
      </c>
      <c r="T21" s="382">
        <v>0</v>
      </c>
      <c r="U21" s="382">
        <v>0</v>
      </c>
      <c r="V21" s="382">
        <v>0</v>
      </c>
      <c r="W21" s="382">
        <v>0</v>
      </c>
      <c r="X21" s="382">
        <v>0</v>
      </c>
      <c r="Y21" s="382">
        <v>0</v>
      </c>
      <c r="Z21" s="382">
        <v>0</v>
      </c>
      <c r="AA21" s="382">
        <v>0</v>
      </c>
      <c r="AB21" s="382">
        <v>0</v>
      </c>
      <c r="AC21" s="382">
        <v>0</v>
      </c>
      <c r="AD21" s="382">
        <v>0</v>
      </c>
      <c r="AE21" s="382">
        <v>2</v>
      </c>
      <c r="AF21" s="382">
        <v>0</v>
      </c>
      <c r="AG21" s="382">
        <v>0</v>
      </c>
      <c r="AH21" s="382">
        <v>13</v>
      </c>
      <c r="AI21" s="382">
        <v>0</v>
      </c>
      <c r="AJ21" s="382">
        <v>0</v>
      </c>
      <c r="AK21" s="382">
        <v>0</v>
      </c>
      <c r="AL21" s="382">
        <v>0</v>
      </c>
      <c r="AM21" s="382">
        <v>3</v>
      </c>
      <c r="AN21" s="382">
        <v>0</v>
      </c>
    </row>
    <row r="22" spans="3:40" x14ac:dyDescent="0.3">
      <c r="C22" s="382">
        <v>31</v>
      </c>
      <c r="D22" s="382">
        <v>3</v>
      </c>
      <c r="E22" s="382">
        <v>2</v>
      </c>
      <c r="F22" s="382">
        <v>9194</v>
      </c>
      <c r="G22" s="382">
        <v>0</v>
      </c>
      <c r="H22" s="382">
        <v>2560</v>
      </c>
      <c r="I22" s="382">
        <v>0</v>
      </c>
      <c r="J22" s="382">
        <v>0</v>
      </c>
      <c r="K22" s="382">
        <v>3602.5</v>
      </c>
      <c r="L22" s="382">
        <v>0</v>
      </c>
      <c r="M22" s="382">
        <v>0</v>
      </c>
      <c r="N22" s="382">
        <v>0</v>
      </c>
      <c r="O22" s="382">
        <v>0</v>
      </c>
      <c r="P22" s="382">
        <v>0</v>
      </c>
      <c r="Q22" s="382">
        <v>0</v>
      </c>
      <c r="R22" s="382">
        <v>157.5</v>
      </c>
      <c r="S22" s="382">
        <v>0</v>
      </c>
      <c r="T22" s="382">
        <v>0</v>
      </c>
      <c r="U22" s="382">
        <v>0</v>
      </c>
      <c r="V22" s="382">
        <v>0</v>
      </c>
      <c r="W22" s="382">
        <v>0</v>
      </c>
      <c r="X22" s="382">
        <v>0</v>
      </c>
      <c r="Y22" s="382">
        <v>0</v>
      </c>
      <c r="Z22" s="382">
        <v>0</v>
      </c>
      <c r="AA22" s="382">
        <v>0</v>
      </c>
      <c r="AB22" s="382">
        <v>0</v>
      </c>
      <c r="AC22" s="382">
        <v>0</v>
      </c>
      <c r="AD22" s="382">
        <v>0</v>
      </c>
      <c r="AE22" s="382">
        <v>325.5</v>
      </c>
      <c r="AF22" s="382">
        <v>0</v>
      </c>
      <c r="AG22" s="382">
        <v>0</v>
      </c>
      <c r="AH22" s="382">
        <v>2068.5</v>
      </c>
      <c r="AI22" s="382">
        <v>0</v>
      </c>
      <c r="AJ22" s="382">
        <v>0</v>
      </c>
      <c r="AK22" s="382">
        <v>0</v>
      </c>
      <c r="AL22" s="382">
        <v>0</v>
      </c>
      <c r="AM22" s="382">
        <v>480</v>
      </c>
      <c r="AN22" s="382">
        <v>0</v>
      </c>
    </row>
    <row r="23" spans="3:40" x14ac:dyDescent="0.3">
      <c r="C23" s="382">
        <v>31</v>
      </c>
      <c r="D23" s="382">
        <v>3</v>
      </c>
      <c r="E23" s="382">
        <v>3</v>
      </c>
      <c r="F23" s="382">
        <v>28</v>
      </c>
      <c r="G23" s="382">
        <v>0</v>
      </c>
      <c r="H23" s="382">
        <v>28</v>
      </c>
      <c r="I23" s="382">
        <v>0</v>
      </c>
      <c r="J23" s="382">
        <v>0</v>
      </c>
      <c r="K23" s="382">
        <v>0</v>
      </c>
      <c r="L23" s="382">
        <v>0</v>
      </c>
      <c r="M23" s="382">
        <v>0</v>
      </c>
      <c r="N23" s="382">
        <v>0</v>
      </c>
      <c r="O23" s="382">
        <v>0</v>
      </c>
      <c r="P23" s="382">
        <v>0</v>
      </c>
      <c r="Q23" s="382">
        <v>0</v>
      </c>
      <c r="R23" s="382">
        <v>0</v>
      </c>
      <c r="S23" s="382">
        <v>0</v>
      </c>
      <c r="T23" s="382">
        <v>0</v>
      </c>
      <c r="U23" s="382">
        <v>0</v>
      </c>
      <c r="V23" s="382">
        <v>0</v>
      </c>
      <c r="W23" s="382">
        <v>0</v>
      </c>
      <c r="X23" s="382">
        <v>0</v>
      </c>
      <c r="Y23" s="382">
        <v>0</v>
      </c>
      <c r="Z23" s="382">
        <v>0</v>
      </c>
      <c r="AA23" s="382">
        <v>0</v>
      </c>
      <c r="AB23" s="382">
        <v>0</v>
      </c>
      <c r="AC23" s="382">
        <v>0</v>
      </c>
      <c r="AD23" s="382">
        <v>0</v>
      </c>
      <c r="AE23" s="382">
        <v>0</v>
      </c>
      <c r="AF23" s="382">
        <v>0</v>
      </c>
      <c r="AG23" s="382">
        <v>0</v>
      </c>
      <c r="AH23" s="382">
        <v>0</v>
      </c>
      <c r="AI23" s="382">
        <v>0</v>
      </c>
      <c r="AJ23" s="382">
        <v>0</v>
      </c>
      <c r="AK23" s="382">
        <v>0</v>
      </c>
      <c r="AL23" s="382">
        <v>0</v>
      </c>
      <c r="AM23" s="382">
        <v>0</v>
      </c>
      <c r="AN23" s="382">
        <v>0</v>
      </c>
    </row>
    <row r="24" spans="3:40" x14ac:dyDescent="0.3">
      <c r="C24" s="382">
        <v>31</v>
      </c>
      <c r="D24" s="382">
        <v>3</v>
      </c>
      <c r="E24" s="382">
        <v>4</v>
      </c>
      <c r="F24" s="382">
        <v>144</v>
      </c>
      <c r="G24" s="382">
        <v>0</v>
      </c>
      <c r="H24" s="382">
        <v>144</v>
      </c>
      <c r="I24" s="382">
        <v>0</v>
      </c>
      <c r="J24" s="382">
        <v>0</v>
      </c>
      <c r="K24" s="382">
        <v>0</v>
      </c>
      <c r="L24" s="382">
        <v>0</v>
      </c>
      <c r="M24" s="382">
        <v>0</v>
      </c>
      <c r="N24" s="382">
        <v>0</v>
      </c>
      <c r="O24" s="382">
        <v>0</v>
      </c>
      <c r="P24" s="382">
        <v>0</v>
      </c>
      <c r="Q24" s="382">
        <v>0</v>
      </c>
      <c r="R24" s="382">
        <v>0</v>
      </c>
      <c r="S24" s="382">
        <v>0</v>
      </c>
      <c r="T24" s="382">
        <v>0</v>
      </c>
      <c r="U24" s="382">
        <v>0</v>
      </c>
      <c r="V24" s="382">
        <v>0</v>
      </c>
      <c r="W24" s="382">
        <v>0</v>
      </c>
      <c r="X24" s="382">
        <v>0</v>
      </c>
      <c r="Y24" s="382">
        <v>0</v>
      </c>
      <c r="Z24" s="382">
        <v>0</v>
      </c>
      <c r="AA24" s="382">
        <v>0</v>
      </c>
      <c r="AB24" s="382">
        <v>0</v>
      </c>
      <c r="AC24" s="382">
        <v>0</v>
      </c>
      <c r="AD24" s="382">
        <v>0</v>
      </c>
      <c r="AE24" s="382">
        <v>0</v>
      </c>
      <c r="AF24" s="382">
        <v>0</v>
      </c>
      <c r="AG24" s="382">
        <v>0</v>
      </c>
      <c r="AH24" s="382">
        <v>0</v>
      </c>
      <c r="AI24" s="382">
        <v>0</v>
      </c>
      <c r="AJ24" s="382">
        <v>0</v>
      </c>
      <c r="AK24" s="382">
        <v>0</v>
      </c>
      <c r="AL24" s="382">
        <v>0</v>
      </c>
      <c r="AM24" s="382">
        <v>0</v>
      </c>
      <c r="AN24" s="382">
        <v>0</v>
      </c>
    </row>
    <row r="25" spans="3:40" x14ac:dyDescent="0.3">
      <c r="C25" s="382">
        <v>31</v>
      </c>
      <c r="D25" s="382">
        <v>3</v>
      </c>
      <c r="E25" s="382">
        <v>5</v>
      </c>
      <c r="F25" s="382">
        <v>15</v>
      </c>
      <c r="G25" s="382">
        <v>15</v>
      </c>
      <c r="H25" s="382">
        <v>0</v>
      </c>
      <c r="I25" s="382">
        <v>0</v>
      </c>
      <c r="J25" s="382">
        <v>0</v>
      </c>
      <c r="K25" s="382">
        <v>0</v>
      </c>
      <c r="L25" s="382">
        <v>0</v>
      </c>
      <c r="M25" s="382">
        <v>0</v>
      </c>
      <c r="N25" s="382">
        <v>0</v>
      </c>
      <c r="O25" s="382">
        <v>0</v>
      </c>
      <c r="P25" s="382">
        <v>0</v>
      </c>
      <c r="Q25" s="382">
        <v>0</v>
      </c>
      <c r="R25" s="382">
        <v>0</v>
      </c>
      <c r="S25" s="382">
        <v>0</v>
      </c>
      <c r="T25" s="382">
        <v>0</v>
      </c>
      <c r="U25" s="382">
        <v>0</v>
      </c>
      <c r="V25" s="382">
        <v>0</v>
      </c>
      <c r="W25" s="382">
        <v>0</v>
      </c>
      <c r="X25" s="382">
        <v>0</v>
      </c>
      <c r="Y25" s="382">
        <v>0</v>
      </c>
      <c r="Z25" s="382">
        <v>0</v>
      </c>
      <c r="AA25" s="382">
        <v>0</v>
      </c>
      <c r="AB25" s="382">
        <v>0</v>
      </c>
      <c r="AC25" s="382">
        <v>0</v>
      </c>
      <c r="AD25" s="382">
        <v>0</v>
      </c>
      <c r="AE25" s="382">
        <v>0</v>
      </c>
      <c r="AF25" s="382">
        <v>0</v>
      </c>
      <c r="AG25" s="382">
        <v>0</v>
      </c>
      <c r="AH25" s="382">
        <v>0</v>
      </c>
      <c r="AI25" s="382">
        <v>0</v>
      </c>
      <c r="AJ25" s="382">
        <v>0</v>
      </c>
      <c r="AK25" s="382">
        <v>0</v>
      </c>
      <c r="AL25" s="382">
        <v>0</v>
      </c>
      <c r="AM25" s="382">
        <v>0</v>
      </c>
      <c r="AN25" s="382">
        <v>0</v>
      </c>
    </row>
    <row r="26" spans="3:40" x14ac:dyDescent="0.3">
      <c r="C26" s="382">
        <v>31</v>
      </c>
      <c r="D26" s="382">
        <v>3</v>
      </c>
      <c r="E26" s="382">
        <v>6</v>
      </c>
      <c r="F26" s="382">
        <v>2393965</v>
      </c>
      <c r="G26" s="382">
        <v>4500</v>
      </c>
      <c r="H26" s="382">
        <v>1374056</v>
      </c>
      <c r="I26" s="382">
        <v>0</v>
      </c>
      <c r="J26" s="382">
        <v>0</v>
      </c>
      <c r="K26" s="382">
        <v>661329</v>
      </c>
      <c r="L26" s="382">
        <v>0</v>
      </c>
      <c r="M26" s="382">
        <v>0</v>
      </c>
      <c r="N26" s="382">
        <v>0</v>
      </c>
      <c r="O26" s="382">
        <v>0</v>
      </c>
      <c r="P26" s="382">
        <v>0</v>
      </c>
      <c r="Q26" s="382">
        <v>0</v>
      </c>
      <c r="R26" s="382">
        <v>27906</v>
      </c>
      <c r="S26" s="382">
        <v>0</v>
      </c>
      <c r="T26" s="382">
        <v>0</v>
      </c>
      <c r="U26" s="382">
        <v>0</v>
      </c>
      <c r="V26" s="382">
        <v>0</v>
      </c>
      <c r="W26" s="382">
        <v>0</v>
      </c>
      <c r="X26" s="382">
        <v>0</v>
      </c>
      <c r="Y26" s="382">
        <v>0</v>
      </c>
      <c r="Z26" s="382">
        <v>0</v>
      </c>
      <c r="AA26" s="382">
        <v>0</v>
      </c>
      <c r="AB26" s="382">
        <v>0</v>
      </c>
      <c r="AC26" s="382">
        <v>0</v>
      </c>
      <c r="AD26" s="382">
        <v>0</v>
      </c>
      <c r="AE26" s="382">
        <v>35015</v>
      </c>
      <c r="AF26" s="382">
        <v>0</v>
      </c>
      <c r="AG26" s="382">
        <v>0</v>
      </c>
      <c r="AH26" s="382">
        <v>233055</v>
      </c>
      <c r="AI26" s="382">
        <v>0</v>
      </c>
      <c r="AJ26" s="382">
        <v>0</v>
      </c>
      <c r="AK26" s="382">
        <v>0</v>
      </c>
      <c r="AL26" s="382">
        <v>0</v>
      </c>
      <c r="AM26" s="382">
        <v>58104</v>
      </c>
      <c r="AN26" s="382">
        <v>0</v>
      </c>
    </row>
    <row r="27" spans="3:40" x14ac:dyDescent="0.3">
      <c r="C27" s="382">
        <v>31</v>
      </c>
      <c r="D27" s="382">
        <v>3</v>
      </c>
      <c r="E27" s="382">
        <v>9</v>
      </c>
      <c r="F27" s="382">
        <v>30300</v>
      </c>
      <c r="G27" s="382">
        <v>0</v>
      </c>
      <c r="H27" s="382">
        <v>30300</v>
      </c>
      <c r="I27" s="382">
        <v>0</v>
      </c>
      <c r="J27" s="382">
        <v>0</v>
      </c>
      <c r="K27" s="382">
        <v>0</v>
      </c>
      <c r="L27" s="382">
        <v>0</v>
      </c>
      <c r="M27" s="382">
        <v>0</v>
      </c>
      <c r="N27" s="382">
        <v>0</v>
      </c>
      <c r="O27" s="382">
        <v>0</v>
      </c>
      <c r="P27" s="382">
        <v>0</v>
      </c>
      <c r="Q27" s="382">
        <v>0</v>
      </c>
      <c r="R27" s="382">
        <v>0</v>
      </c>
      <c r="S27" s="382">
        <v>0</v>
      </c>
      <c r="T27" s="382">
        <v>0</v>
      </c>
      <c r="U27" s="382">
        <v>0</v>
      </c>
      <c r="V27" s="382">
        <v>0</v>
      </c>
      <c r="W27" s="382">
        <v>0</v>
      </c>
      <c r="X27" s="382">
        <v>0</v>
      </c>
      <c r="Y27" s="382">
        <v>0</v>
      </c>
      <c r="Z27" s="382">
        <v>0</v>
      </c>
      <c r="AA27" s="382">
        <v>0</v>
      </c>
      <c r="AB27" s="382">
        <v>0</v>
      </c>
      <c r="AC27" s="382">
        <v>0</v>
      </c>
      <c r="AD27" s="382">
        <v>0</v>
      </c>
      <c r="AE27" s="382">
        <v>0</v>
      </c>
      <c r="AF27" s="382">
        <v>0</v>
      </c>
      <c r="AG27" s="382">
        <v>0</v>
      </c>
      <c r="AH27" s="382">
        <v>0</v>
      </c>
      <c r="AI27" s="382">
        <v>0</v>
      </c>
      <c r="AJ27" s="382">
        <v>0</v>
      </c>
      <c r="AK27" s="382">
        <v>0</v>
      </c>
      <c r="AL27" s="382">
        <v>0</v>
      </c>
      <c r="AM27" s="382">
        <v>0</v>
      </c>
      <c r="AN27" s="382">
        <v>0</v>
      </c>
    </row>
    <row r="28" spans="3:40" x14ac:dyDescent="0.3">
      <c r="C28" s="382">
        <v>31</v>
      </c>
      <c r="D28" s="382">
        <v>3</v>
      </c>
      <c r="E28" s="382">
        <v>11</v>
      </c>
      <c r="F28" s="382">
        <v>10554.416666666666</v>
      </c>
      <c r="G28" s="382">
        <v>0</v>
      </c>
      <c r="H28" s="382">
        <v>4721.083333333333</v>
      </c>
      <c r="I28" s="382">
        <v>0</v>
      </c>
      <c r="J28" s="382">
        <v>0</v>
      </c>
      <c r="K28" s="382">
        <v>5833.333333333333</v>
      </c>
      <c r="L28" s="382">
        <v>0</v>
      </c>
      <c r="M28" s="382">
        <v>0</v>
      </c>
      <c r="N28" s="382">
        <v>0</v>
      </c>
      <c r="O28" s="382">
        <v>0</v>
      </c>
      <c r="P28" s="382">
        <v>0</v>
      </c>
      <c r="Q28" s="382">
        <v>0</v>
      </c>
      <c r="R28" s="382">
        <v>0</v>
      </c>
      <c r="S28" s="382">
        <v>0</v>
      </c>
      <c r="T28" s="382">
        <v>0</v>
      </c>
      <c r="U28" s="382">
        <v>0</v>
      </c>
      <c r="V28" s="382">
        <v>0</v>
      </c>
      <c r="W28" s="382">
        <v>0</v>
      </c>
      <c r="X28" s="382">
        <v>0</v>
      </c>
      <c r="Y28" s="382">
        <v>0</v>
      </c>
      <c r="Z28" s="382">
        <v>0</v>
      </c>
      <c r="AA28" s="382">
        <v>0</v>
      </c>
      <c r="AB28" s="382">
        <v>0</v>
      </c>
      <c r="AC28" s="382">
        <v>0</v>
      </c>
      <c r="AD28" s="382">
        <v>0</v>
      </c>
      <c r="AE28" s="382">
        <v>0</v>
      </c>
      <c r="AF28" s="382">
        <v>0</v>
      </c>
      <c r="AG28" s="382">
        <v>0</v>
      </c>
      <c r="AH28" s="382">
        <v>0</v>
      </c>
      <c r="AI28" s="382">
        <v>0</v>
      </c>
      <c r="AJ28" s="382">
        <v>0</v>
      </c>
      <c r="AK28" s="382">
        <v>0</v>
      </c>
      <c r="AL28" s="382">
        <v>0</v>
      </c>
      <c r="AM28" s="382">
        <v>0</v>
      </c>
      <c r="AN28" s="38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80" bestFit="1" customWidth="1"/>
    <col min="2" max="2" width="11.6640625" style="280" hidden="1" customWidth="1"/>
    <col min="3" max="4" width="11" style="282" customWidth="1"/>
    <col min="5" max="5" width="11" style="283" customWidth="1"/>
    <col min="6" max="16384" width="8.88671875" style="280"/>
  </cols>
  <sheetData>
    <row r="1" spans="1:5" ht="18.600000000000001" thickBot="1" x14ac:dyDescent="0.4">
      <c r="A1" s="458" t="s">
        <v>152</v>
      </c>
      <c r="B1" s="458"/>
      <c r="C1" s="459"/>
      <c r="D1" s="459"/>
      <c r="E1" s="459"/>
    </row>
    <row r="2" spans="1:5" ht="14.4" customHeight="1" thickBot="1" x14ac:dyDescent="0.35">
      <c r="A2" s="386" t="s">
        <v>321</v>
      </c>
      <c r="B2" s="281"/>
    </row>
    <row r="3" spans="1:5" ht="14.4" customHeight="1" thickBot="1" x14ac:dyDescent="0.35">
      <c r="A3" s="284"/>
      <c r="C3" s="285" t="s">
        <v>132</v>
      </c>
      <c r="D3" s="286" t="s">
        <v>94</v>
      </c>
      <c r="E3" s="287" t="s">
        <v>96</v>
      </c>
    </row>
    <row r="4" spans="1:5" ht="14.4" customHeight="1" thickBot="1" x14ac:dyDescent="0.35">
      <c r="A4" s="288" t="str">
        <f>HYPERLINK("#HI!A1","NÁKLADY CELKEM (v tisících Kč)")</f>
        <v>NÁKLADY CELKEM (v tisících Kč)</v>
      </c>
      <c r="B4" s="289"/>
      <c r="C4" s="290">
        <f ca="1">IF(ISERROR(VLOOKUP("Náklady celkem",INDIRECT("HI!$A:$G"),6,0)),0,VLOOKUP("Náklady celkem",INDIRECT("HI!$A:$G"),6,0))</f>
        <v>15206.5</v>
      </c>
      <c r="D4" s="290">
        <f ca="1">IF(ISERROR(VLOOKUP("Náklady celkem",INDIRECT("HI!$A:$G"),5,0)),0,VLOOKUP("Náklady celkem",INDIRECT("HI!$A:$G"),5,0))</f>
        <v>14464.989130000025</v>
      </c>
      <c r="E4" s="291">
        <f ca="1">IF(C4=0,0,D4/C4)</f>
        <v>0.9512372426265101</v>
      </c>
    </row>
    <row r="5" spans="1:5" ht="14.4" customHeight="1" x14ac:dyDescent="0.3">
      <c r="A5" s="292" t="s">
        <v>195</v>
      </c>
      <c r="B5" s="293"/>
      <c r="C5" s="294"/>
      <c r="D5" s="294"/>
      <c r="E5" s="295"/>
    </row>
    <row r="6" spans="1:5" ht="14.4" customHeight="1" x14ac:dyDescent="0.3">
      <c r="A6" s="296" t="s">
        <v>200</v>
      </c>
      <c r="B6" s="297"/>
      <c r="C6" s="298"/>
      <c r="D6" s="298"/>
      <c r="E6" s="295"/>
    </row>
    <row r="7" spans="1:5" ht="14.4" customHeight="1" x14ac:dyDescent="0.3">
      <c r="A7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7" t="s">
        <v>137</v>
      </c>
      <c r="C7" s="298">
        <f>IF(ISERROR(HI!F5),"",HI!F5)</f>
        <v>513.75</v>
      </c>
      <c r="D7" s="298">
        <f>IF(ISERROR(HI!E5),"",HI!E5)</f>
        <v>527.47383000000002</v>
      </c>
      <c r="E7" s="295">
        <f t="shared" ref="E7:E14" si="0">IF(C7=0,0,D7/C7)</f>
        <v>1.0267130510948905</v>
      </c>
    </row>
    <row r="8" spans="1:5" ht="14.4" customHeight="1" x14ac:dyDescent="0.3">
      <c r="A8" s="299" t="str">
        <f>HYPERLINK("#'LŽ PL'!A1","% plnění pozitivního listu")</f>
        <v>% plnění pozitivního listu</v>
      </c>
      <c r="B8" s="297" t="s">
        <v>187</v>
      </c>
      <c r="C8" s="300">
        <v>0.9</v>
      </c>
      <c r="D8" s="300">
        <f>IF(ISERROR(VLOOKUP("celkem",'LŽ PL'!$A:$F,5,0)),0,VLOOKUP("celkem",'LŽ PL'!$A:$F,5,0))</f>
        <v>0.99796236560275609</v>
      </c>
      <c r="E8" s="295">
        <f t="shared" si="0"/>
        <v>1.1088470728919513</v>
      </c>
    </row>
    <row r="9" spans="1:5" ht="14.4" customHeight="1" x14ac:dyDescent="0.3">
      <c r="A9" s="301" t="s">
        <v>196</v>
      </c>
      <c r="B9" s="297"/>
      <c r="C9" s="298"/>
      <c r="D9" s="298"/>
      <c r="E9" s="295"/>
    </row>
    <row r="10" spans="1:5" ht="14.4" customHeight="1" x14ac:dyDescent="0.3">
      <c r="A10" s="299" t="str">
        <f>HYPERLINK("#'Léky Recepty'!A1","% záchytu v lékárně (Úhrada Kč)")</f>
        <v>% záchytu v lékárně (Úhrada Kč)</v>
      </c>
      <c r="B10" s="297" t="s">
        <v>142</v>
      </c>
      <c r="C10" s="300">
        <v>0.6</v>
      </c>
      <c r="D10" s="300">
        <f>IF(ISERROR(VLOOKUP("Celkem",'Léky Recepty'!B:H,5,0)),0,VLOOKUP("Celkem",'Léky Recepty'!B:H,5,0))</f>
        <v>0.80788650170636489</v>
      </c>
      <c r="E10" s="295">
        <f t="shared" si="0"/>
        <v>1.3464775028439415</v>
      </c>
    </row>
    <row r="11" spans="1:5" ht="14.4" customHeight="1" x14ac:dyDescent="0.3">
      <c r="A11" s="299" t="str">
        <f>HYPERLINK("#'LRp PL'!A1","% plnění pozitivního listu")</f>
        <v>% plnění pozitivního listu</v>
      </c>
      <c r="B11" s="297" t="s">
        <v>188</v>
      </c>
      <c r="C11" s="300">
        <v>0.8</v>
      </c>
      <c r="D11" s="300">
        <f>IF(ISERROR(VLOOKUP("Celkem",'LRp PL'!A:F,5,0)),0,VLOOKUP("Celkem",'LRp PL'!A:F,5,0))</f>
        <v>0.98633742783671663</v>
      </c>
      <c r="E11" s="295">
        <f t="shared" si="0"/>
        <v>1.2329217847958958</v>
      </c>
    </row>
    <row r="12" spans="1:5" ht="14.4" customHeight="1" x14ac:dyDescent="0.3">
      <c r="A12" s="301" t="s">
        <v>197</v>
      </c>
      <c r="B12" s="297"/>
      <c r="C12" s="298"/>
      <c r="D12" s="298"/>
      <c r="E12" s="295"/>
    </row>
    <row r="13" spans="1:5" ht="14.4" customHeight="1" x14ac:dyDescent="0.3">
      <c r="A13" s="302" t="s">
        <v>201</v>
      </c>
      <c r="B13" s="297"/>
      <c r="C13" s="294"/>
      <c r="D13" s="294"/>
      <c r="E13" s="295"/>
    </row>
    <row r="14" spans="1:5" ht="14.4" customHeight="1" x14ac:dyDescent="0.3">
      <c r="A14" s="30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97" t="s">
        <v>137</v>
      </c>
      <c r="C14" s="298">
        <f>IF(ISERROR(HI!F6),"",HI!F6)</f>
        <v>3256.25</v>
      </c>
      <c r="D14" s="298">
        <f>IF(ISERROR(HI!E6),"",HI!E6)</f>
        <v>2918.1325800000041</v>
      </c>
      <c r="E14" s="295">
        <f t="shared" si="0"/>
        <v>0.89616355623800503</v>
      </c>
    </row>
    <row r="15" spans="1:5" ht="14.4" customHeight="1" thickBot="1" x14ac:dyDescent="0.35">
      <c r="A15" s="304" t="str">
        <f>HYPERLINK("#HI!A1","Osobní náklady")</f>
        <v>Osobní náklady</v>
      </c>
      <c r="B15" s="297"/>
      <c r="C15" s="294">
        <f ca="1">IF(ISERROR(VLOOKUP("Osobní náklady (Kč) *",INDIRECT("HI!$A:$G"),6,0)),0,VLOOKUP("Osobní náklady (Kč) *",INDIRECT("HI!$A:$G"),6,0))</f>
        <v>9907.25</v>
      </c>
      <c r="D15" s="294">
        <f ca="1">IF(ISERROR(VLOOKUP("Osobní náklady (Kč) *",INDIRECT("HI!$A:$G"),5,0)),0,VLOOKUP("Osobní náklady (Kč) *",INDIRECT("HI!$A:$G"),5,0))</f>
        <v>9584.2099300000173</v>
      </c>
      <c r="E15" s="295">
        <f ca="1">IF(C15=0,0,D15/C15)</f>
        <v>0.96739356834641477</v>
      </c>
    </row>
    <row r="16" spans="1:5" ht="14.4" customHeight="1" thickBot="1" x14ac:dyDescent="0.35">
      <c r="A16" s="308"/>
      <c r="B16" s="309"/>
      <c r="C16" s="310"/>
      <c r="D16" s="310"/>
      <c r="E16" s="311"/>
    </row>
    <row r="17" spans="1:5" ht="14.4" customHeight="1" thickBot="1" x14ac:dyDescent="0.35">
      <c r="A17" s="312" t="str">
        <f>HYPERLINK("#HI!A1","VÝNOSY CELKEM (v tisících)")</f>
        <v>VÝNOSY CELKEM (v tisících)</v>
      </c>
      <c r="B17" s="313"/>
      <c r="C17" s="314">
        <f ca="1">IF(ISERROR(VLOOKUP("Výnosy celkem",INDIRECT("HI!$A:$G"),6,0)),0,VLOOKUP("Výnosy celkem",INDIRECT("HI!$A:$G"),6,0))</f>
        <v>14739.996999999998</v>
      </c>
      <c r="D17" s="314">
        <f ca="1">IF(ISERROR(VLOOKUP("Výnosy celkem",INDIRECT("HI!$A:$G"),5,0)),0,VLOOKUP("Výnosy celkem",INDIRECT("HI!$A:$G"),5,0))</f>
        <v>12334.448999999999</v>
      </c>
      <c r="E17" s="315">
        <f t="shared" ref="E17:E27" ca="1" si="1">IF(C17=0,0,D17/C17)</f>
        <v>0.83680132363663307</v>
      </c>
    </row>
    <row r="18" spans="1:5" ht="14.4" customHeight="1" x14ac:dyDescent="0.3">
      <c r="A18" s="316" t="str">
        <f>HYPERLINK("#HI!A1","Ambulance (body za výkony + Kč za ZUM a ZULP)")</f>
        <v>Ambulance (body za výkony + Kč za ZUM a ZULP)</v>
      </c>
      <c r="B18" s="293"/>
      <c r="C18" s="294">
        <f ca="1">IF(ISERROR(VLOOKUP("Ambulance *",INDIRECT("HI!$A:$G"),6,0)),0,VLOOKUP("Ambulance *",INDIRECT("HI!$A:$G"),6,0))</f>
        <v>732.75699999999995</v>
      </c>
      <c r="D18" s="294">
        <f ca="1">IF(ISERROR(VLOOKUP("Ambulance *",INDIRECT("HI!$A:$G"),5,0)),0,VLOOKUP("Ambulance *",INDIRECT("HI!$A:$G"),5,0))</f>
        <v>673.56899999999996</v>
      </c>
      <c r="E18" s="295">
        <f t="shared" ca="1" si="1"/>
        <v>0.91922560958134825</v>
      </c>
    </row>
    <row r="19" spans="1:5" ht="14.4" customHeight="1" x14ac:dyDescent="0.3">
      <c r="A19" s="317" t="str">
        <f>HYPERLINK("#'ZV Vykáz.-A'!A1","Zdravotní výkony vykázané u ambulantních pacientů (min. 100 %)")</f>
        <v>Zdravotní výkony vykázané u ambulantních pacientů (min. 100 %)</v>
      </c>
      <c r="B19" s="280" t="s">
        <v>154</v>
      </c>
      <c r="C19" s="300">
        <v>1</v>
      </c>
      <c r="D19" s="300">
        <f>IF(ISERROR(VLOOKUP("Celkem:",'ZV Vykáz.-A'!$A:$S,7,0)),"",VLOOKUP("Celkem:",'ZV Vykáz.-A'!$A:$S,7,0))</f>
        <v>0.91922560958134825</v>
      </c>
      <c r="E19" s="295">
        <f t="shared" si="1"/>
        <v>0.91922560958134825</v>
      </c>
    </row>
    <row r="20" spans="1:5" ht="14.4" customHeight="1" x14ac:dyDescent="0.3">
      <c r="A20" s="317" t="str">
        <f>HYPERLINK("#'ZV Vykáz.-H'!A1","Zdravotní výkony vykázané u hospitalizovaných pacientů (max. 85 %)")</f>
        <v>Zdravotní výkony vykázané u hospitalizovaných pacientů (max. 85 %)</v>
      </c>
      <c r="B20" s="280" t="s">
        <v>156</v>
      </c>
      <c r="C20" s="300">
        <v>0.85</v>
      </c>
      <c r="D20" s="300">
        <f>IF(ISERROR(VLOOKUP("Celkem:",'ZV Vykáz.-H'!$A:$S,7,0)),"",VLOOKUP("Celkem:",'ZV Vykáz.-H'!$A:$S,7,0))</f>
        <v>1.0103466136544264</v>
      </c>
      <c r="E20" s="295">
        <f t="shared" si="1"/>
        <v>1.1886430748875605</v>
      </c>
    </row>
    <row r="21" spans="1:5" ht="14.4" customHeight="1" x14ac:dyDescent="0.3">
      <c r="A21" s="318" t="str">
        <f>HYPERLINK("#HI!A1","Hospitalizace (casemix * 30000)")</f>
        <v>Hospitalizace (casemix * 30000)</v>
      </c>
      <c r="B21" s="297"/>
      <c r="C21" s="294">
        <f ca="1">IF(ISERROR(VLOOKUP("Hospitalizace *",INDIRECT("HI!$A:$G"),6,0)),0,VLOOKUP("Hospitalizace *",INDIRECT("HI!$A:$G"),6,0))</f>
        <v>14007.239999999998</v>
      </c>
      <c r="D21" s="294">
        <f ca="1">IF(ISERROR(VLOOKUP("Hospitalizace *",INDIRECT("HI!$A:$G"),5,0)),0,VLOOKUP("Hospitalizace *",INDIRECT("HI!$A:$G"),5,0))</f>
        <v>11660.88</v>
      </c>
      <c r="E21" s="295">
        <f ca="1">IF(C21=0,0,D21/C21)</f>
        <v>0.83248948400969791</v>
      </c>
    </row>
    <row r="22" spans="1:5" ht="14.4" customHeight="1" x14ac:dyDescent="0.3">
      <c r="A22" s="317" t="str">
        <f>HYPERLINK("#'CaseMix'!A1","Casemix (min. 100 %)")</f>
        <v>Casemix (min. 100 %)</v>
      </c>
      <c r="B22" s="297" t="s">
        <v>71</v>
      </c>
      <c r="C22" s="300">
        <v>1</v>
      </c>
      <c r="D22" s="300">
        <f>IF(ISERROR(VLOOKUP("Celkem",CaseMix!A:M,5,0)),0,VLOOKUP("Celkem",CaseMix!A:M,5,0))</f>
        <v>0.8324894840096978</v>
      </c>
      <c r="E22" s="295">
        <f t="shared" si="1"/>
        <v>0.8324894840096978</v>
      </c>
    </row>
    <row r="23" spans="1:5" ht="14.4" customHeight="1" x14ac:dyDescent="0.3">
      <c r="A23" s="319" t="str">
        <f>HYPERLINK("#'CaseMix'!A1","DRG mimo vyjmenované baze")</f>
        <v>DRG mimo vyjmenované baze</v>
      </c>
      <c r="B23" s="297" t="s">
        <v>71</v>
      </c>
      <c r="C23" s="300">
        <v>1</v>
      </c>
      <c r="D23" s="300">
        <f>IF(ISERROR(CaseMix!E26),"",CaseMix!E26)</f>
        <v>0.8324894840096978</v>
      </c>
      <c r="E23" s="295">
        <f t="shared" si="1"/>
        <v>0.8324894840096978</v>
      </c>
    </row>
    <row r="24" spans="1:5" ht="14.4" customHeight="1" x14ac:dyDescent="0.3">
      <c r="A24" s="319" t="str">
        <f>HYPERLINK("#'CaseMix'!A1","Vyjmenované baze DRG")</f>
        <v>Vyjmenované baze DRG</v>
      </c>
      <c r="B24" s="297" t="s">
        <v>71</v>
      </c>
      <c r="C24" s="300">
        <v>1</v>
      </c>
      <c r="D24" s="300">
        <f>IF(ISERROR(CaseMix!E39),"",CaseMix!E39)</f>
        <v>0</v>
      </c>
      <c r="E24" s="295">
        <f t="shared" si="1"/>
        <v>0</v>
      </c>
    </row>
    <row r="25" spans="1:5" ht="14.4" customHeight="1" x14ac:dyDescent="0.3">
      <c r="A25" s="317" t="str">
        <f>HYPERLINK("#'CaseMix'!A1","Počet hospitalizací ukončených na pracovišti (min. 95 %)")</f>
        <v>Počet hospitalizací ukončených na pracovišti (min. 95 %)</v>
      </c>
      <c r="B25" s="297" t="s">
        <v>71</v>
      </c>
      <c r="C25" s="300">
        <v>0.95</v>
      </c>
      <c r="D25" s="300">
        <f>IF(ISERROR(CaseMix!I13),"",CaseMix!I13)</f>
        <v>0.85450819672131151</v>
      </c>
      <c r="E25" s="295">
        <f t="shared" si="1"/>
        <v>0.89948231233822273</v>
      </c>
    </row>
    <row r="26" spans="1:5" ht="14.4" customHeight="1" x14ac:dyDescent="0.3">
      <c r="A26" s="317" t="str">
        <f>HYPERLINK("#'ALOS'!A1","Průměrná délka hospitalizace (max. 100 % republikového průměru)")</f>
        <v>Průměrná délka hospitalizace (max. 100 % republikového průměru)</v>
      </c>
      <c r="B26" s="297" t="s">
        <v>86</v>
      </c>
      <c r="C26" s="300">
        <v>1</v>
      </c>
      <c r="D26" s="320">
        <f>IF(ISERROR(INDEX(ALOS!$E:$E,COUNT(ALOS!$E:$E)+32)),0,INDEX(ALOS!$E:$E,COUNT(ALOS!$E:$E)+32))</f>
        <v>0.80213796290714734</v>
      </c>
      <c r="E26" s="295">
        <f t="shared" si="1"/>
        <v>0.80213796290714734</v>
      </c>
    </row>
    <row r="27" spans="1:5" ht="27.6" x14ac:dyDescent="0.3">
      <c r="A27" s="32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7" s="297" t="s">
        <v>151</v>
      </c>
      <c r="C27" s="300">
        <f>IF(E22&gt;1,95%,95%-2*ABS(C22-D22))</f>
        <v>0.61497896801939556</v>
      </c>
      <c r="D27" s="300">
        <f>IF(ISERROR(VLOOKUP("Celkem:",'ZV Vyžád.'!$A:$M,7,0)),"",VLOOKUP("Celkem:",'ZV Vyžád.'!$A:$M,7,0))</f>
        <v>1.2372477081938986</v>
      </c>
      <c r="E27" s="295">
        <f t="shared" si="1"/>
        <v>2.0118536934337525</v>
      </c>
    </row>
    <row r="28" spans="1:5" ht="14.4" customHeight="1" thickBot="1" x14ac:dyDescent="0.35">
      <c r="A28" s="322" t="s">
        <v>198</v>
      </c>
      <c r="B28" s="305"/>
      <c r="C28" s="306"/>
      <c r="D28" s="306"/>
      <c r="E28" s="307"/>
    </row>
    <row r="29" spans="1:5" ht="14.4" customHeight="1" thickBot="1" x14ac:dyDescent="0.35">
      <c r="A29" s="323"/>
      <c r="B29" s="324"/>
      <c r="C29" s="325"/>
      <c r="D29" s="325"/>
      <c r="E29" s="326"/>
    </row>
    <row r="30" spans="1:5" ht="14.4" customHeight="1" thickBot="1" x14ac:dyDescent="0.35">
      <c r="A30" s="327" t="s">
        <v>199</v>
      </c>
      <c r="B30" s="328"/>
      <c r="C30" s="329"/>
      <c r="D30" s="329"/>
      <c r="E30" s="330"/>
    </row>
  </sheetData>
  <mergeCells count="1">
    <mergeCell ref="A1:E1"/>
  </mergeCells>
  <conditionalFormatting sqref="E22:E25 E17 E19 E8 E10:E11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9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8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7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6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22:E25 E8 E10:E11">
    <cfRule type="cellIs" dxfId="75" priority="16" operator="lessThan">
      <formula>1</formula>
    </cfRule>
  </conditionalFormatting>
  <conditionalFormatting sqref="E26:E27 E4 E7 E14 E20">
    <cfRule type="cellIs" dxfId="74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5.4414062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525" t="s">
        <v>3587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</row>
    <row r="3" spans="1:19" ht="14.4" customHeight="1" thickBot="1" x14ac:dyDescent="0.35">
      <c r="A3" s="353" t="s">
        <v>160</v>
      </c>
      <c r="B3" s="354">
        <f>SUBTOTAL(9,B6:B1048576)</f>
        <v>732757</v>
      </c>
      <c r="C3" s="355">
        <f t="shared" ref="C3:R3" si="0">SUBTOTAL(9,C6:C1048576)</f>
        <v>3</v>
      </c>
      <c r="D3" s="355">
        <f t="shared" si="0"/>
        <v>651691</v>
      </c>
      <c r="E3" s="355">
        <f t="shared" si="0"/>
        <v>1.6365845982652549</v>
      </c>
      <c r="F3" s="355">
        <f t="shared" si="0"/>
        <v>673569</v>
      </c>
      <c r="G3" s="356">
        <f>IF(B3&lt;&gt;0,F3/B3,"")</f>
        <v>0.91922560958134825</v>
      </c>
      <c r="H3" s="357">
        <f t="shared" si="0"/>
        <v>27295</v>
      </c>
      <c r="I3" s="355">
        <f t="shared" si="0"/>
        <v>1</v>
      </c>
      <c r="J3" s="355">
        <f t="shared" si="0"/>
        <v>22458.35</v>
      </c>
      <c r="K3" s="355">
        <f t="shared" si="0"/>
        <v>0.82280087928191969</v>
      </c>
      <c r="L3" s="355">
        <f t="shared" si="0"/>
        <v>9400.9199999999983</v>
      </c>
      <c r="M3" s="358">
        <f>IF(H3&lt;&gt;0,L3/H3,"")</f>
        <v>0.34441912438175482</v>
      </c>
      <c r="N3" s="354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123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1"/>
      <c r="B5" s="752">
        <v>2012</v>
      </c>
      <c r="C5" s="753"/>
      <c r="D5" s="753">
        <v>2013</v>
      </c>
      <c r="E5" s="753"/>
      <c r="F5" s="753">
        <v>2014</v>
      </c>
      <c r="G5" s="754" t="s">
        <v>2</v>
      </c>
      <c r="H5" s="752">
        <v>2012</v>
      </c>
      <c r="I5" s="753"/>
      <c r="J5" s="753">
        <v>2013</v>
      </c>
      <c r="K5" s="753"/>
      <c r="L5" s="753">
        <v>2014</v>
      </c>
      <c r="M5" s="754" t="s">
        <v>2</v>
      </c>
      <c r="N5" s="752">
        <v>2012</v>
      </c>
      <c r="O5" s="753"/>
      <c r="P5" s="753">
        <v>2013</v>
      </c>
      <c r="Q5" s="753"/>
      <c r="R5" s="753">
        <v>2014</v>
      </c>
      <c r="S5" s="754" t="s">
        <v>2</v>
      </c>
    </row>
    <row r="6" spans="1:19" ht="14.4" customHeight="1" x14ac:dyDescent="0.3">
      <c r="A6" s="656" t="s">
        <v>3581</v>
      </c>
      <c r="B6" s="755">
        <v>249</v>
      </c>
      <c r="C6" s="625">
        <v>1</v>
      </c>
      <c r="D6" s="755">
        <v>186</v>
      </c>
      <c r="E6" s="625">
        <v>0.74698795180722888</v>
      </c>
      <c r="F6" s="755"/>
      <c r="G6" s="646"/>
      <c r="H6" s="755"/>
      <c r="I6" s="625"/>
      <c r="J6" s="755"/>
      <c r="K6" s="625"/>
      <c r="L6" s="755"/>
      <c r="M6" s="646"/>
      <c r="N6" s="755"/>
      <c r="O6" s="625"/>
      <c r="P6" s="755"/>
      <c r="Q6" s="625"/>
      <c r="R6" s="755"/>
      <c r="S6" s="678"/>
    </row>
    <row r="7" spans="1:19" ht="14.4" customHeight="1" x14ac:dyDescent="0.3">
      <c r="A7" s="718" t="s">
        <v>3582</v>
      </c>
      <c r="B7" s="756">
        <v>148</v>
      </c>
      <c r="C7" s="696">
        <v>1</v>
      </c>
      <c r="D7" s="756"/>
      <c r="E7" s="696"/>
      <c r="F7" s="756"/>
      <c r="G7" s="701"/>
      <c r="H7" s="756"/>
      <c r="I7" s="696"/>
      <c r="J7" s="756"/>
      <c r="K7" s="696"/>
      <c r="L7" s="756"/>
      <c r="M7" s="701"/>
      <c r="N7" s="756"/>
      <c r="O7" s="696"/>
      <c r="P7" s="756"/>
      <c r="Q7" s="696"/>
      <c r="R7" s="756"/>
      <c r="S7" s="702"/>
    </row>
    <row r="8" spans="1:19" ht="14.4" customHeight="1" thickBot="1" x14ac:dyDescent="0.35">
      <c r="A8" s="758" t="s">
        <v>3583</v>
      </c>
      <c r="B8" s="757">
        <v>732360</v>
      </c>
      <c r="C8" s="704">
        <v>1</v>
      </c>
      <c r="D8" s="757">
        <v>651505</v>
      </c>
      <c r="E8" s="704">
        <v>0.88959664645802605</v>
      </c>
      <c r="F8" s="757">
        <v>673569</v>
      </c>
      <c r="G8" s="709">
        <v>0.91972390627560219</v>
      </c>
      <c r="H8" s="757">
        <v>27295</v>
      </c>
      <c r="I8" s="704">
        <v>1</v>
      </c>
      <c r="J8" s="757">
        <v>22458.35</v>
      </c>
      <c r="K8" s="704">
        <v>0.82280087928191969</v>
      </c>
      <c r="L8" s="757">
        <v>9400.9199999999983</v>
      </c>
      <c r="M8" s="709">
        <v>0.34441912438175482</v>
      </c>
      <c r="N8" s="757"/>
      <c r="O8" s="704"/>
      <c r="P8" s="757"/>
      <c r="Q8" s="704"/>
      <c r="R8" s="757"/>
      <c r="S8" s="710"/>
    </row>
    <row r="9" spans="1:19" ht="14.4" customHeight="1" x14ac:dyDescent="0.3">
      <c r="A9" s="759" t="s">
        <v>3584</v>
      </c>
    </row>
    <row r="10" spans="1:19" ht="14.4" customHeight="1" x14ac:dyDescent="0.3">
      <c r="A10" s="760" t="s">
        <v>3585</v>
      </c>
    </row>
    <row r="11" spans="1:19" ht="14.4" customHeight="1" x14ac:dyDescent="0.3">
      <c r="A11" s="759" t="s">
        <v>3586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01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7" bestFit="1" customWidth="1"/>
    <col min="2" max="2" width="2.109375" style="257" bestFit="1" customWidth="1"/>
    <col min="3" max="3" width="8" style="257" bestFit="1" customWidth="1"/>
    <col min="4" max="4" width="50.88671875" style="257" bestFit="1" customWidth="1"/>
    <col min="5" max="6" width="11.109375" style="340" customWidth="1"/>
    <col min="7" max="8" width="9.33203125" style="257" hidden="1" customWidth="1"/>
    <col min="9" max="10" width="11.109375" style="340" customWidth="1"/>
    <col min="11" max="12" width="9.33203125" style="257" hidden="1" customWidth="1"/>
    <col min="13" max="14" width="11.109375" style="340" customWidth="1"/>
    <col min="15" max="15" width="11.109375" style="343" customWidth="1"/>
    <col min="16" max="16" width="11.109375" style="340" customWidth="1"/>
    <col min="17" max="16384" width="8.88671875" style="257"/>
  </cols>
  <sheetData>
    <row r="1" spans="1:16" ht="18.600000000000001" customHeight="1" thickBot="1" x14ac:dyDescent="0.4">
      <c r="A1" s="458" t="s">
        <v>3754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4.4" customHeight="1" thickBot="1" x14ac:dyDescent="0.35">
      <c r="A2" s="386" t="s">
        <v>321</v>
      </c>
      <c r="B2" s="258"/>
      <c r="C2" s="258"/>
      <c r="D2" s="258"/>
      <c r="E2" s="361"/>
      <c r="F2" s="361"/>
      <c r="G2" s="258"/>
      <c r="H2" s="258"/>
      <c r="I2" s="361"/>
      <c r="J2" s="361"/>
      <c r="K2" s="258"/>
      <c r="L2" s="258"/>
      <c r="M2" s="361"/>
      <c r="N2" s="361"/>
      <c r="O2" s="362"/>
      <c r="P2" s="361"/>
    </row>
    <row r="3" spans="1:16" ht="14.4" customHeight="1" thickBot="1" x14ac:dyDescent="0.35">
      <c r="D3" s="112" t="s">
        <v>160</v>
      </c>
      <c r="E3" s="214">
        <f t="shared" ref="E3:N3" si="0">SUBTOTAL(9,E6:E1048576)</f>
        <v>8296.4</v>
      </c>
      <c r="F3" s="215">
        <f t="shared" si="0"/>
        <v>760052</v>
      </c>
      <c r="G3" s="78"/>
      <c r="H3" s="78"/>
      <c r="I3" s="215">
        <f t="shared" si="0"/>
        <v>8311.4</v>
      </c>
      <c r="J3" s="215">
        <f t="shared" si="0"/>
        <v>674149.35</v>
      </c>
      <c r="K3" s="78"/>
      <c r="L3" s="78"/>
      <c r="M3" s="215">
        <f t="shared" si="0"/>
        <v>8221.6</v>
      </c>
      <c r="N3" s="215">
        <f t="shared" si="0"/>
        <v>682969.91999999993</v>
      </c>
      <c r="O3" s="79">
        <f>IF(F3=0,0,N3/F3)</f>
        <v>0.89858314957397645</v>
      </c>
      <c r="P3" s="216">
        <f>IF(M3=0,0,N3/M3)</f>
        <v>83.070195582368385</v>
      </c>
    </row>
    <row r="4" spans="1:16" ht="14.4" customHeight="1" x14ac:dyDescent="0.3">
      <c r="A4" s="531" t="s">
        <v>119</v>
      </c>
      <c r="B4" s="532" t="s">
        <v>120</v>
      </c>
      <c r="C4" s="533" t="s">
        <v>121</v>
      </c>
      <c r="D4" s="534" t="s">
        <v>81</v>
      </c>
      <c r="E4" s="535">
        <v>2012</v>
      </c>
      <c r="F4" s="536"/>
      <c r="G4" s="213"/>
      <c r="H4" s="213"/>
      <c r="I4" s="535">
        <v>2013</v>
      </c>
      <c r="J4" s="536"/>
      <c r="K4" s="213"/>
      <c r="L4" s="213"/>
      <c r="M4" s="535">
        <v>2014</v>
      </c>
      <c r="N4" s="536"/>
      <c r="O4" s="537" t="s">
        <v>2</v>
      </c>
      <c r="P4" s="530" t="s">
        <v>122</v>
      </c>
    </row>
    <row r="5" spans="1:16" ht="14.4" customHeight="1" thickBot="1" x14ac:dyDescent="0.35">
      <c r="A5" s="761"/>
      <c r="B5" s="762"/>
      <c r="C5" s="763"/>
      <c r="D5" s="764"/>
      <c r="E5" s="765" t="s">
        <v>91</v>
      </c>
      <c r="F5" s="766" t="s">
        <v>14</v>
      </c>
      <c r="G5" s="767"/>
      <c r="H5" s="767"/>
      <c r="I5" s="765" t="s">
        <v>91</v>
      </c>
      <c r="J5" s="766" t="s">
        <v>14</v>
      </c>
      <c r="K5" s="767"/>
      <c r="L5" s="767"/>
      <c r="M5" s="765" t="s">
        <v>91</v>
      </c>
      <c r="N5" s="766" t="s">
        <v>14</v>
      </c>
      <c r="O5" s="768"/>
      <c r="P5" s="769"/>
    </row>
    <row r="6" spans="1:16" ht="14.4" customHeight="1" x14ac:dyDescent="0.3">
      <c r="A6" s="624" t="s">
        <v>3588</v>
      </c>
      <c r="B6" s="625" t="s">
        <v>3589</v>
      </c>
      <c r="C6" s="625" t="s">
        <v>3590</v>
      </c>
      <c r="D6" s="625" t="s">
        <v>3591</v>
      </c>
      <c r="E6" s="628">
        <v>1</v>
      </c>
      <c r="F6" s="628">
        <v>249</v>
      </c>
      <c r="G6" s="625">
        <v>1</v>
      </c>
      <c r="H6" s="625">
        <v>249</v>
      </c>
      <c r="I6" s="628"/>
      <c r="J6" s="628"/>
      <c r="K6" s="625"/>
      <c r="L6" s="625"/>
      <c r="M6" s="628"/>
      <c r="N6" s="628"/>
      <c r="O6" s="646"/>
      <c r="P6" s="629"/>
    </row>
    <row r="7" spans="1:16" ht="14.4" customHeight="1" x14ac:dyDescent="0.3">
      <c r="A7" s="695" t="s">
        <v>3588</v>
      </c>
      <c r="B7" s="696" t="s">
        <v>3589</v>
      </c>
      <c r="C7" s="696" t="s">
        <v>3592</v>
      </c>
      <c r="D7" s="696" t="s">
        <v>3593</v>
      </c>
      <c r="E7" s="711"/>
      <c r="F7" s="711"/>
      <c r="G7" s="696"/>
      <c r="H7" s="696"/>
      <c r="I7" s="711">
        <v>1</v>
      </c>
      <c r="J7" s="711">
        <v>186</v>
      </c>
      <c r="K7" s="696"/>
      <c r="L7" s="696">
        <v>186</v>
      </c>
      <c r="M7" s="711"/>
      <c r="N7" s="711"/>
      <c r="O7" s="701"/>
      <c r="P7" s="712"/>
    </row>
    <row r="8" spans="1:16" ht="14.4" customHeight="1" x14ac:dyDescent="0.3">
      <c r="A8" s="695" t="s">
        <v>3594</v>
      </c>
      <c r="B8" s="696" t="s">
        <v>3589</v>
      </c>
      <c r="C8" s="696" t="s">
        <v>3595</v>
      </c>
      <c r="D8" s="696" t="s">
        <v>3596</v>
      </c>
      <c r="E8" s="711">
        <v>1</v>
      </c>
      <c r="F8" s="711">
        <v>148</v>
      </c>
      <c r="G8" s="696">
        <v>1</v>
      </c>
      <c r="H8" s="696">
        <v>148</v>
      </c>
      <c r="I8" s="711"/>
      <c r="J8" s="711"/>
      <c r="K8" s="696"/>
      <c r="L8" s="696"/>
      <c r="M8" s="711"/>
      <c r="N8" s="711"/>
      <c r="O8" s="701"/>
      <c r="P8" s="712"/>
    </row>
    <row r="9" spans="1:16" ht="14.4" customHeight="1" x14ac:dyDescent="0.3">
      <c r="A9" s="695" t="s">
        <v>3597</v>
      </c>
      <c r="B9" s="696" t="s">
        <v>3598</v>
      </c>
      <c r="C9" s="696" t="s">
        <v>3599</v>
      </c>
      <c r="D9" s="696" t="s">
        <v>3600</v>
      </c>
      <c r="E9" s="711">
        <v>19.400000000000002</v>
      </c>
      <c r="F9" s="711">
        <v>2824.6499999999992</v>
      </c>
      <c r="G9" s="696">
        <v>1</v>
      </c>
      <c r="H9" s="696">
        <v>145.60051546391747</v>
      </c>
      <c r="I9" s="711">
        <v>16.399999999999999</v>
      </c>
      <c r="J9" s="711">
        <v>2589.67</v>
      </c>
      <c r="K9" s="696">
        <v>0.91681093232789934</v>
      </c>
      <c r="L9" s="696">
        <v>157.9067073170732</v>
      </c>
      <c r="M9" s="711">
        <v>12.8</v>
      </c>
      <c r="N9" s="711">
        <v>2021.29</v>
      </c>
      <c r="O9" s="701">
        <v>0.71558954206715897</v>
      </c>
      <c r="P9" s="712">
        <v>157.91328124999998</v>
      </c>
    </row>
    <row r="10" spans="1:16" ht="14.4" customHeight="1" x14ac:dyDescent="0.3">
      <c r="A10" s="695" t="s">
        <v>3597</v>
      </c>
      <c r="B10" s="696" t="s">
        <v>3598</v>
      </c>
      <c r="C10" s="696" t="s">
        <v>3601</v>
      </c>
      <c r="D10" s="696" t="s">
        <v>3602</v>
      </c>
      <c r="E10" s="711">
        <v>0.2</v>
      </c>
      <c r="F10" s="711">
        <v>13.94</v>
      </c>
      <c r="G10" s="696">
        <v>1</v>
      </c>
      <c r="H10" s="696">
        <v>69.699999999999989</v>
      </c>
      <c r="I10" s="711"/>
      <c r="J10" s="711"/>
      <c r="K10" s="696"/>
      <c r="L10" s="696"/>
      <c r="M10" s="711"/>
      <c r="N10" s="711"/>
      <c r="O10" s="701"/>
      <c r="P10" s="712"/>
    </row>
    <row r="11" spans="1:16" ht="14.4" customHeight="1" x14ac:dyDescent="0.3">
      <c r="A11" s="695" t="s">
        <v>3597</v>
      </c>
      <c r="B11" s="696" t="s">
        <v>3598</v>
      </c>
      <c r="C11" s="696" t="s">
        <v>3603</v>
      </c>
      <c r="D11" s="696" t="s">
        <v>1016</v>
      </c>
      <c r="E11" s="711"/>
      <c r="F11" s="711"/>
      <c r="G11" s="696"/>
      <c r="H11" s="696"/>
      <c r="I11" s="711"/>
      <c r="J11" s="711"/>
      <c r="K11" s="696"/>
      <c r="L11" s="696"/>
      <c r="M11" s="711">
        <v>4</v>
      </c>
      <c r="N11" s="711">
        <v>4628.4399999999996</v>
      </c>
      <c r="O11" s="701"/>
      <c r="P11" s="712">
        <v>1157.1099999999999</v>
      </c>
    </row>
    <row r="12" spans="1:16" ht="14.4" customHeight="1" x14ac:dyDescent="0.3">
      <c r="A12" s="695" t="s">
        <v>3597</v>
      </c>
      <c r="B12" s="696" t="s">
        <v>3598</v>
      </c>
      <c r="C12" s="696" t="s">
        <v>3604</v>
      </c>
      <c r="D12" s="696" t="s">
        <v>3605</v>
      </c>
      <c r="E12" s="711"/>
      <c r="F12" s="711"/>
      <c r="G12" s="696"/>
      <c r="H12" s="696"/>
      <c r="I12" s="711"/>
      <c r="J12" s="711"/>
      <c r="K12" s="696"/>
      <c r="L12" s="696"/>
      <c r="M12" s="711">
        <v>0.2</v>
      </c>
      <c r="N12" s="711">
        <v>5.37</v>
      </c>
      <c r="O12" s="701"/>
      <c r="P12" s="712">
        <v>26.849999999999998</v>
      </c>
    </row>
    <row r="13" spans="1:16" ht="14.4" customHeight="1" x14ac:dyDescent="0.3">
      <c r="A13" s="695" t="s">
        <v>3597</v>
      </c>
      <c r="B13" s="696" t="s">
        <v>3598</v>
      </c>
      <c r="C13" s="696" t="s">
        <v>3606</v>
      </c>
      <c r="D13" s="696" t="s">
        <v>3607</v>
      </c>
      <c r="E13" s="711">
        <v>1</v>
      </c>
      <c r="F13" s="711">
        <v>87.43</v>
      </c>
      <c r="G13" s="696">
        <v>1</v>
      </c>
      <c r="H13" s="696">
        <v>87.43</v>
      </c>
      <c r="I13" s="711"/>
      <c r="J13" s="711"/>
      <c r="K13" s="696"/>
      <c r="L13" s="696"/>
      <c r="M13" s="711"/>
      <c r="N13" s="711"/>
      <c r="O13" s="701"/>
      <c r="P13" s="712"/>
    </row>
    <row r="14" spans="1:16" ht="14.4" customHeight="1" x14ac:dyDescent="0.3">
      <c r="A14" s="695" t="s">
        <v>3597</v>
      </c>
      <c r="B14" s="696" t="s">
        <v>3598</v>
      </c>
      <c r="C14" s="696" t="s">
        <v>3608</v>
      </c>
      <c r="D14" s="696" t="s">
        <v>3609</v>
      </c>
      <c r="E14" s="711"/>
      <c r="F14" s="711"/>
      <c r="G14" s="696"/>
      <c r="H14" s="696"/>
      <c r="I14" s="711">
        <v>0.2</v>
      </c>
      <c r="J14" s="711">
        <v>6.48</v>
      </c>
      <c r="K14" s="696"/>
      <c r="L14" s="696">
        <v>32.4</v>
      </c>
      <c r="M14" s="711"/>
      <c r="N14" s="711"/>
      <c r="O14" s="701"/>
      <c r="P14" s="712"/>
    </row>
    <row r="15" spans="1:16" ht="14.4" customHeight="1" x14ac:dyDescent="0.3">
      <c r="A15" s="695" t="s">
        <v>3597</v>
      </c>
      <c r="B15" s="696" t="s">
        <v>3598</v>
      </c>
      <c r="C15" s="696" t="s">
        <v>3610</v>
      </c>
      <c r="D15" s="696" t="s">
        <v>3611</v>
      </c>
      <c r="E15" s="711"/>
      <c r="F15" s="711"/>
      <c r="G15" s="696"/>
      <c r="H15" s="696"/>
      <c r="I15" s="711">
        <v>0.2</v>
      </c>
      <c r="J15" s="711">
        <v>15.42</v>
      </c>
      <c r="K15" s="696"/>
      <c r="L15" s="696">
        <v>77.099999999999994</v>
      </c>
      <c r="M15" s="711"/>
      <c r="N15" s="711"/>
      <c r="O15" s="701"/>
      <c r="P15" s="712"/>
    </row>
    <row r="16" spans="1:16" ht="14.4" customHeight="1" x14ac:dyDescent="0.3">
      <c r="A16" s="695" t="s">
        <v>3597</v>
      </c>
      <c r="B16" s="696" t="s">
        <v>3598</v>
      </c>
      <c r="C16" s="696" t="s">
        <v>3612</v>
      </c>
      <c r="D16" s="696" t="s">
        <v>1068</v>
      </c>
      <c r="E16" s="711">
        <v>0.8</v>
      </c>
      <c r="F16" s="711">
        <v>174.85000000000002</v>
      </c>
      <c r="G16" s="696">
        <v>1</v>
      </c>
      <c r="H16" s="696">
        <v>218.56250000000003</v>
      </c>
      <c r="I16" s="711"/>
      <c r="J16" s="711"/>
      <c r="K16" s="696"/>
      <c r="L16" s="696"/>
      <c r="M16" s="711"/>
      <c r="N16" s="711"/>
      <c r="O16" s="701"/>
      <c r="P16" s="712"/>
    </row>
    <row r="17" spans="1:16" ht="14.4" customHeight="1" x14ac:dyDescent="0.3">
      <c r="A17" s="695" t="s">
        <v>3597</v>
      </c>
      <c r="B17" s="696" t="s">
        <v>3598</v>
      </c>
      <c r="C17" s="696" t="s">
        <v>3613</v>
      </c>
      <c r="D17" s="696" t="s">
        <v>1068</v>
      </c>
      <c r="E17" s="711">
        <v>3</v>
      </c>
      <c r="F17" s="711">
        <v>131.13</v>
      </c>
      <c r="G17" s="696">
        <v>1</v>
      </c>
      <c r="H17" s="696">
        <v>43.71</v>
      </c>
      <c r="I17" s="711">
        <v>1</v>
      </c>
      <c r="J17" s="711">
        <v>44.1</v>
      </c>
      <c r="K17" s="696">
        <v>0.33630748112560055</v>
      </c>
      <c r="L17" s="696">
        <v>44.1</v>
      </c>
      <c r="M17" s="711">
        <v>3</v>
      </c>
      <c r="N17" s="711">
        <v>132.30000000000001</v>
      </c>
      <c r="O17" s="701">
        <v>1.0089224433768018</v>
      </c>
      <c r="P17" s="712">
        <v>44.1</v>
      </c>
    </row>
    <row r="18" spans="1:16" ht="14.4" customHeight="1" x14ac:dyDescent="0.3">
      <c r="A18" s="695" t="s">
        <v>3597</v>
      </c>
      <c r="B18" s="696" t="s">
        <v>3598</v>
      </c>
      <c r="C18" s="696" t="s">
        <v>3614</v>
      </c>
      <c r="D18" s="696" t="s">
        <v>3615</v>
      </c>
      <c r="E18" s="711"/>
      <c r="F18" s="711"/>
      <c r="G18" s="696"/>
      <c r="H18" s="696"/>
      <c r="I18" s="711">
        <v>0.2</v>
      </c>
      <c r="J18" s="711">
        <v>14.38</v>
      </c>
      <c r="K18" s="696"/>
      <c r="L18" s="696">
        <v>71.900000000000006</v>
      </c>
      <c r="M18" s="711"/>
      <c r="N18" s="711"/>
      <c r="O18" s="701"/>
      <c r="P18" s="712"/>
    </row>
    <row r="19" spans="1:16" ht="14.4" customHeight="1" x14ac:dyDescent="0.3">
      <c r="A19" s="695" t="s">
        <v>3597</v>
      </c>
      <c r="B19" s="696" t="s">
        <v>3598</v>
      </c>
      <c r="C19" s="696" t="s">
        <v>3616</v>
      </c>
      <c r="D19" s="696" t="s">
        <v>3617</v>
      </c>
      <c r="E19" s="711"/>
      <c r="F19" s="711"/>
      <c r="G19" s="696"/>
      <c r="H19" s="696"/>
      <c r="I19" s="711"/>
      <c r="J19" s="711"/>
      <c r="K19" s="696"/>
      <c r="L19" s="696"/>
      <c r="M19" s="711">
        <v>4</v>
      </c>
      <c r="N19" s="711">
        <v>15.12</v>
      </c>
      <c r="O19" s="701"/>
      <c r="P19" s="712">
        <v>3.78</v>
      </c>
    </row>
    <row r="20" spans="1:16" ht="14.4" customHeight="1" x14ac:dyDescent="0.3">
      <c r="A20" s="695" t="s">
        <v>3597</v>
      </c>
      <c r="B20" s="696" t="s">
        <v>3598</v>
      </c>
      <c r="C20" s="696" t="s">
        <v>3618</v>
      </c>
      <c r="D20" s="696" t="s">
        <v>1068</v>
      </c>
      <c r="E20" s="711"/>
      <c r="F20" s="711"/>
      <c r="G20" s="696"/>
      <c r="H20" s="696"/>
      <c r="I20" s="711">
        <v>0.4</v>
      </c>
      <c r="J20" s="711">
        <v>88.2</v>
      </c>
      <c r="K20" s="696"/>
      <c r="L20" s="696">
        <v>220.5</v>
      </c>
      <c r="M20" s="711">
        <v>0.60000000000000009</v>
      </c>
      <c r="N20" s="711">
        <v>132.30000000000001</v>
      </c>
      <c r="O20" s="701"/>
      <c r="P20" s="712">
        <v>220.5</v>
      </c>
    </row>
    <row r="21" spans="1:16" ht="14.4" customHeight="1" x14ac:dyDescent="0.3">
      <c r="A21" s="695" t="s">
        <v>3597</v>
      </c>
      <c r="B21" s="696" t="s">
        <v>3598</v>
      </c>
      <c r="C21" s="696" t="s">
        <v>3619</v>
      </c>
      <c r="D21" s="696" t="s">
        <v>1068</v>
      </c>
      <c r="E21" s="711"/>
      <c r="F21" s="711"/>
      <c r="G21" s="696"/>
      <c r="H21" s="696"/>
      <c r="I21" s="711">
        <v>1</v>
      </c>
      <c r="J21" s="711">
        <v>44.1</v>
      </c>
      <c r="K21" s="696"/>
      <c r="L21" s="696">
        <v>44.1</v>
      </c>
      <c r="M21" s="711">
        <v>1</v>
      </c>
      <c r="N21" s="711">
        <v>44.1</v>
      </c>
      <c r="O21" s="701"/>
      <c r="P21" s="712">
        <v>44.1</v>
      </c>
    </row>
    <row r="22" spans="1:16" ht="14.4" customHeight="1" x14ac:dyDescent="0.3">
      <c r="A22" s="695" t="s">
        <v>3597</v>
      </c>
      <c r="B22" s="696" t="s">
        <v>3620</v>
      </c>
      <c r="C22" s="696" t="s">
        <v>3621</v>
      </c>
      <c r="D22" s="696" t="s">
        <v>3584</v>
      </c>
      <c r="E22" s="711">
        <v>18</v>
      </c>
      <c r="F22" s="711">
        <v>1260</v>
      </c>
      <c r="G22" s="696">
        <v>1</v>
      </c>
      <c r="H22" s="696">
        <v>70</v>
      </c>
      <c r="I22" s="711">
        <v>12</v>
      </c>
      <c r="J22" s="711">
        <v>840</v>
      </c>
      <c r="K22" s="696">
        <v>0.66666666666666663</v>
      </c>
      <c r="L22" s="696">
        <v>70</v>
      </c>
      <c r="M22" s="711">
        <v>3</v>
      </c>
      <c r="N22" s="711">
        <v>210</v>
      </c>
      <c r="O22" s="701">
        <v>0.16666666666666666</v>
      </c>
      <c r="P22" s="712">
        <v>70</v>
      </c>
    </row>
    <row r="23" spans="1:16" ht="14.4" customHeight="1" x14ac:dyDescent="0.3">
      <c r="A23" s="695" t="s">
        <v>3597</v>
      </c>
      <c r="B23" s="696" t="s">
        <v>3620</v>
      </c>
      <c r="C23" s="696" t="s">
        <v>3622</v>
      </c>
      <c r="D23" s="696" t="s">
        <v>3584</v>
      </c>
      <c r="E23" s="711">
        <v>4</v>
      </c>
      <c r="F23" s="711">
        <v>280</v>
      </c>
      <c r="G23" s="696">
        <v>1</v>
      </c>
      <c r="H23" s="696">
        <v>70</v>
      </c>
      <c r="I23" s="711"/>
      <c r="J23" s="711"/>
      <c r="K23" s="696"/>
      <c r="L23" s="696"/>
      <c r="M23" s="711"/>
      <c r="N23" s="711"/>
      <c r="O23" s="701"/>
      <c r="P23" s="712"/>
    </row>
    <row r="24" spans="1:16" ht="14.4" customHeight="1" x14ac:dyDescent="0.3">
      <c r="A24" s="695" t="s">
        <v>3597</v>
      </c>
      <c r="B24" s="696" t="s">
        <v>3620</v>
      </c>
      <c r="C24" s="696" t="s">
        <v>3623</v>
      </c>
      <c r="D24" s="696" t="s">
        <v>3584</v>
      </c>
      <c r="E24" s="711">
        <v>68</v>
      </c>
      <c r="F24" s="711">
        <v>5100</v>
      </c>
      <c r="G24" s="696">
        <v>1</v>
      </c>
      <c r="H24" s="696">
        <v>75</v>
      </c>
      <c r="I24" s="711">
        <v>55</v>
      </c>
      <c r="J24" s="711">
        <v>4125</v>
      </c>
      <c r="K24" s="696">
        <v>0.80882352941176472</v>
      </c>
      <c r="L24" s="696">
        <v>75</v>
      </c>
      <c r="M24" s="711">
        <v>10</v>
      </c>
      <c r="N24" s="711">
        <v>750</v>
      </c>
      <c r="O24" s="701">
        <v>0.14705882352941177</v>
      </c>
      <c r="P24" s="712">
        <v>75</v>
      </c>
    </row>
    <row r="25" spans="1:16" ht="14.4" customHeight="1" x14ac:dyDescent="0.3">
      <c r="A25" s="695" t="s">
        <v>3597</v>
      </c>
      <c r="B25" s="696" t="s">
        <v>3620</v>
      </c>
      <c r="C25" s="696" t="s">
        <v>3624</v>
      </c>
      <c r="D25" s="696" t="s">
        <v>3584</v>
      </c>
      <c r="E25" s="711">
        <v>9</v>
      </c>
      <c r="F25" s="711">
        <v>675</v>
      </c>
      <c r="G25" s="696">
        <v>1</v>
      </c>
      <c r="H25" s="696">
        <v>75</v>
      </c>
      <c r="I25" s="711">
        <v>5</v>
      </c>
      <c r="J25" s="711">
        <v>375</v>
      </c>
      <c r="K25" s="696">
        <v>0.55555555555555558</v>
      </c>
      <c r="L25" s="696">
        <v>75</v>
      </c>
      <c r="M25" s="711"/>
      <c r="N25" s="711"/>
      <c r="O25" s="701"/>
      <c r="P25" s="712"/>
    </row>
    <row r="26" spans="1:16" ht="14.4" customHeight="1" x14ac:dyDescent="0.3">
      <c r="A26" s="695" t="s">
        <v>3597</v>
      </c>
      <c r="B26" s="696" t="s">
        <v>3620</v>
      </c>
      <c r="C26" s="696" t="s">
        <v>3625</v>
      </c>
      <c r="D26" s="696" t="s">
        <v>3584</v>
      </c>
      <c r="E26" s="711">
        <v>6</v>
      </c>
      <c r="F26" s="711">
        <v>882</v>
      </c>
      <c r="G26" s="696">
        <v>1</v>
      </c>
      <c r="H26" s="696">
        <v>147</v>
      </c>
      <c r="I26" s="711">
        <v>8</v>
      </c>
      <c r="J26" s="711">
        <v>1176</v>
      </c>
      <c r="K26" s="696">
        <v>1.3333333333333333</v>
      </c>
      <c r="L26" s="696">
        <v>147</v>
      </c>
      <c r="M26" s="711"/>
      <c r="N26" s="711"/>
      <c r="O26" s="701"/>
      <c r="P26" s="712"/>
    </row>
    <row r="27" spans="1:16" ht="14.4" customHeight="1" x14ac:dyDescent="0.3">
      <c r="A27" s="695" t="s">
        <v>3597</v>
      </c>
      <c r="B27" s="696" t="s">
        <v>3620</v>
      </c>
      <c r="C27" s="696" t="s">
        <v>3626</v>
      </c>
      <c r="D27" s="696" t="s">
        <v>3584</v>
      </c>
      <c r="E27" s="711"/>
      <c r="F27" s="711"/>
      <c r="G27" s="696"/>
      <c r="H27" s="696"/>
      <c r="I27" s="711">
        <v>1</v>
      </c>
      <c r="J27" s="711">
        <v>147</v>
      </c>
      <c r="K27" s="696"/>
      <c r="L27" s="696">
        <v>147</v>
      </c>
      <c r="M27" s="711"/>
      <c r="N27" s="711"/>
      <c r="O27" s="701"/>
      <c r="P27" s="712"/>
    </row>
    <row r="28" spans="1:16" ht="14.4" customHeight="1" x14ac:dyDescent="0.3">
      <c r="A28" s="695" t="s">
        <v>3597</v>
      </c>
      <c r="B28" s="696" t="s">
        <v>3620</v>
      </c>
      <c r="C28" s="696" t="s">
        <v>3627</v>
      </c>
      <c r="D28" s="696" t="s">
        <v>3584</v>
      </c>
      <c r="E28" s="711">
        <v>10</v>
      </c>
      <c r="F28" s="711">
        <v>1870</v>
      </c>
      <c r="G28" s="696">
        <v>1</v>
      </c>
      <c r="H28" s="696">
        <v>187</v>
      </c>
      <c r="I28" s="711">
        <v>5</v>
      </c>
      <c r="J28" s="711">
        <v>935</v>
      </c>
      <c r="K28" s="696">
        <v>0.5</v>
      </c>
      <c r="L28" s="696">
        <v>187</v>
      </c>
      <c r="M28" s="711"/>
      <c r="N28" s="711"/>
      <c r="O28" s="701"/>
      <c r="P28" s="712"/>
    </row>
    <row r="29" spans="1:16" ht="14.4" customHeight="1" x14ac:dyDescent="0.3">
      <c r="A29" s="695" t="s">
        <v>3597</v>
      </c>
      <c r="B29" s="696" t="s">
        <v>3620</v>
      </c>
      <c r="C29" s="696" t="s">
        <v>3628</v>
      </c>
      <c r="D29" s="696" t="s">
        <v>3584</v>
      </c>
      <c r="E29" s="711">
        <v>4</v>
      </c>
      <c r="F29" s="711">
        <v>748</v>
      </c>
      <c r="G29" s="696">
        <v>1</v>
      </c>
      <c r="H29" s="696">
        <v>187</v>
      </c>
      <c r="I29" s="711">
        <v>5</v>
      </c>
      <c r="J29" s="711">
        <v>935</v>
      </c>
      <c r="K29" s="696">
        <v>1.25</v>
      </c>
      <c r="L29" s="696">
        <v>187</v>
      </c>
      <c r="M29" s="711"/>
      <c r="N29" s="711"/>
      <c r="O29" s="701"/>
      <c r="P29" s="712"/>
    </row>
    <row r="30" spans="1:16" ht="14.4" customHeight="1" x14ac:dyDescent="0.3">
      <c r="A30" s="695" t="s">
        <v>3597</v>
      </c>
      <c r="B30" s="696" t="s">
        <v>3620</v>
      </c>
      <c r="C30" s="696" t="s">
        <v>3629</v>
      </c>
      <c r="D30" s="696" t="s">
        <v>3584</v>
      </c>
      <c r="E30" s="711">
        <v>12</v>
      </c>
      <c r="F30" s="711">
        <v>1788</v>
      </c>
      <c r="G30" s="696">
        <v>1</v>
      </c>
      <c r="H30" s="696">
        <v>149</v>
      </c>
      <c r="I30" s="711">
        <v>3</v>
      </c>
      <c r="J30" s="711">
        <v>447</v>
      </c>
      <c r="K30" s="696">
        <v>0.25</v>
      </c>
      <c r="L30" s="696">
        <v>149</v>
      </c>
      <c r="M30" s="711">
        <v>2</v>
      </c>
      <c r="N30" s="711">
        <v>298</v>
      </c>
      <c r="O30" s="701">
        <v>0.16666666666666666</v>
      </c>
      <c r="P30" s="712">
        <v>149</v>
      </c>
    </row>
    <row r="31" spans="1:16" ht="14.4" customHeight="1" x14ac:dyDescent="0.3">
      <c r="A31" s="695" t="s">
        <v>3597</v>
      </c>
      <c r="B31" s="696" t="s">
        <v>3620</v>
      </c>
      <c r="C31" s="696" t="s">
        <v>3630</v>
      </c>
      <c r="D31" s="696" t="s">
        <v>3584</v>
      </c>
      <c r="E31" s="711">
        <v>1</v>
      </c>
      <c r="F31" s="711">
        <v>149</v>
      </c>
      <c r="G31" s="696">
        <v>1</v>
      </c>
      <c r="H31" s="696">
        <v>149</v>
      </c>
      <c r="I31" s="711">
        <v>1</v>
      </c>
      <c r="J31" s="711">
        <v>149</v>
      </c>
      <c r="K31" s="696">
        <v>1</v>
      </c>
      <c r="L31" s="696">
        <v>149</v>
      </c>
      <c r="M31" s="711"/>
      <c r="N31" s="711"/>
      <c r="O31" s="701"/>
      <c r="P31" s="712"/>
    </row>
    <row r="32" spans="1:16" ht="14.4" customHeight="1" x14ac:dyDescent="0.3">
      <c r="A32" s="695" t="s">
        <v>3597</v>
      </c>
      <c r="B32" s="696" t="s">
        <v>3620</v>
      </c>
      <c r="C32" s="696" t="s">
        <v>3631</v>
      </c>
      <c r="D32" s="696" t="s">
        <v>3584</v>
      </c>
      <c r="E32" s="711">
        <v>46</v>
      </c>
      <c r="F32" s="711">
        <v>8924</v>
      </c>
      <c r="G32" s="696">
        <v>1</v>
      </c>
      <c r="H32" s="696">
        <v>194</v>
      </c>
      <c r="I32" s="711">
        <v>40</v>
      </c>
      <c r="J32" s="711">
        <v>7760</v>
      </c>
      <c r="K32" s="696">
        <v>0.86956521739130432</v>
      </c>
      <c r="L32" s="696">
        <v>194</v>
      </c>
      <c r="M32" s="711">
        <v>6</v>
      </c>
      <c r="N32" s="711">
        <v>1164</v>
      </c>
      <c r="O32" s="701">
        <v>0.13043478260869565</v>
      </c>
      <c r="P32" s="712">
        <v>194</v>
      </c>
    </row>
    <row r="33" spans="1:16" ht="14.4" customHeight="1" x14ac:dyDescent="0.3">
      <c r="A33" s="695" t="s">
        <v>3597</v>
      </c>
      <c r="B33" s="696" t="s">
        <v>3620</v>
      </c>
      <c r="C33" s="696" t="s">
        <v>3632</v>
      </c>
      <c r="D33" s="696" t="s">
        <v>3584</v>
      </c>
      <c r="E33" s="711">
        <v>4</v>
      </c>
      <c r="F33" s="711">
        <v>776</v>
      </c>
      <c r="G33" s="696">
        <v>1</v>
      </c>
      <c r="H33" s="696">
        <v>194</v>
      </c>
      <c r="I33" s="711">
        <v>10</v>
      </c>
      <c r="J33" s="711">
        <v>1940</v>
      </c>
      <c r="K33" s="696">
        <v>2.5</v>
      </c>
      <c r="L33" s="696">
        <v>194</v>
      </c>
      <c r="M33" s="711"/>
      <c r="N33" s="711"/>
      <c r="O33" s="701"/>
      <c r="P33" s="712"/>
    </row>
    <row r="34" spans="1:16" ht="14.4" customHeight="1" x14ac:dyDescent="0.3">
      <c r="A34" s="695" t="s">
        <v>3597</v>
      </c>
      <c r="B34" s="696" t="s">
        <v>3620</v>
      </c>
      <c r="C34" s="696" t="s">
        <v>3633</v>
      </c>
      <c r="D34" s="696" t="s">
        <v>3584</v>
      </c>
      <c r="E34" s="711">
        <v>3</v>
      </c>
      <c r="F34" s="711">
        <v>741</v>
      </c>
      <c r="G34" s="696">
        <v>1</v>
      </c>
      <c r="H34" s="696">
        <v>247</v>
      </c>
      <c r="I34" s="711"/>
      <c r="J34" s="711"/>
      <c r="K34" s="696"/>
      <c r="L34" s="696"/>
      <c r="M34" s="711"/>
      <c r="N34" s="711"/>
      <c r="O34" s="701"/>
      <c r="P34" s="712"/>
    </row>
    <row r="35" spans="1:16" ht="14.4" customHeight="1" x14ac:dyDescent="0.3">
      <c r="A35" s="695" t="s">
        <v>3597</v>
      </c>
      <c r="B35" s="696" t="s">
        <v>3620</v>
      </c>
      <c r="C35" s="696" t="s">
        <v>3634</v>
      </c>
      <c r="D35" s="696" t="s">
        <v>3584</v>
      </c>
      <c r="E35" s="711"/>
      <c r="F35" s="711"/>
      <c r="G35" s="696"/>
      <c r="H35" s="696"/>
      <c r="I35" s="711">
        <v>1</v>
      </c>
      <c r="J35" s="711">
        <v>247</v>
      </c>
      <c r="K35" s="696"/>
      <c r="L35" s="696">
        <v>247</v>
      </c>
      <c r="M35" s="711"/>
      <c r="N35" s="711"/>
      <c r="O35" s="701"/>
      <c r="P35" s="712"/>
    </row>
    <row r="36" spans="1:16" ht="14.4" customHeight="1" x14ac:dyDescent="0.3">
      <c r="A36" s="695" t="s">
        <v>3597</v>
      </c>
      <c r="B36" s="696" t="s">
        <v>3620</v>
      </c>
      <c r="C36" s="696" t="s">
        <v>3635</v>
      </c>
      <c r="D36" s="696" t="s">
        <v>3584</v>
      </c>
      <c r="E36" s="711">
        <v>1</v>
      </c>
      <c r="F36" s="711">
        <v>290</v>
      </c>
      <c r="G36" s="696">
        <v>1</v>
      </c>
      <c r="H36" s="696">
        <v>290</v>
      </c>
      <c r="I36" s="711">
        <v>2</v>
      </c>
      <c r="J36" s="711">
        <v>580</v>
      </c>
      <c r="K36" s="696">
        <v>2</v>
      </c>
      <c r="L36" s="696">
        <v>290</v>
      </c>
      <c r="M36" s="711"/>
      <c r="N36" s="711"/>
      <c r="O36" s="701"/>
      <c r="P36" s="712"/>
    </row>
    <row r="37" spans="1:16" ht="14.4" customHeight="1" x14ac:dyDescent="0.3">
      <c r="A37" s="695" t="s">
        <v>3597</v>
      </c>
      <c r="B37" s="696" t="s">
        <v>3620</v>
      </c>
      <c r="C37" s="696" t="s">
        <v>3636</v>
      </c>
      <c r="D37" s="696" t="s">
        <v>3584</v>
      </c>
      <c r="E37" s="711">
        <v>2</v>
      </c>
      <c r="F37" s="711">
        <v>580</v>
      </c>
      <c r="G37" s="696">
        <v>1</v>
      </c>
      <c r="H37" s="696">
        <v>290</v>
      </c>
      <c r="I37" s="711"/>
      <c r="J37" s="711"/>
      <c r="K37" s="696"/>
      <c r="L37" s="696"/>
      <c r="M37" s="711"/>
      <c r="N37" s="711"/>
      <c r="O37" s="701"/>
      <c r="P37" s="712"/>
    </row>
    <row r="38" spans="1:16" ht="14.4" customHeight="1" x14ac:dyDescent="0.3">
      <c r="A38" s="695" t="s">
        <v>3597</v>
      </c>
      <c r="B38" s="696" t="s">
        <v>3589</v>
      </c>
      <c r="C38" s="696" t="s">
        <v>3637</v>
      </c>
      <c r="D38" s="696" t="s">
        <v>3638</v>
      </c>
      <c r="E38" s="711"/>
      <c r="F38" s="711"/>
      <c r="G38" s="696"/>
      <c r="H38" s="696"/>
      <c r="I38" s="711"/>
      <c r="J38" s="711"/>
      <c r="K38" s="696"/>
      <c r="L38" s="696"/>
      <c r="M38" s="711">
        <v>1</v>
      </c>
      <c r="N38" s="711">
        <v>156</v>
      </c>
      <c r="O38" s="701"/>
      <c r="P38" s="712">
        <v>156</v>
      </c>
    </row>
    <row r="39" spans="1:16" ht="14.4" customHeight="1" x14ac:dyDescent="0.3">
      <c r="A39" s="695" t="s">
        <v>3597</v>
      </c>
      <c r="B39" s="696" t="s">
        <v>3589</v>
      </c>
      <c r="C39" s="696" t="s">
        <v>3639</v>
      </c>
      <c r="D39" s="696" t="s">
        <v>3640</v>
      </c>
      <c r="E39" s="711">
        <v>35</v>
      </c>
      <c r="F39" s="711">
        <v>3150</v>
      </c>
      <c r="G39" s="696">
        <v>1</v>
      </c>
      <c r="H39" s="696">
        <v>90</v>
      </c>
      <c r="I39" s="711">
        <v>25</v>
      </c>
      <c r="J39" s="711">
        <v>2000</v>
      </c>
      <c r="K39" s="696">
        <v>0.63492063492063489</v>
      </c>
      <c r="L39" s="696">
        <v>80</v>
      </c>
      <c r="M39" s="711">
        <v>206</v>
      </c>
      <c r="N39" s="711">
        <v>16480</v>
      </c>
      <c r="O39" s="701">
        <v>5.2317460317460318</v>
      </c>
      <c r="P39" s="712">
        <v>80</v>
      </c>
    </row>
    <row r="40" spans="1:16" ht="14.4" customHeight="1" x14ac:dyDescent="0.3">
      <c r="A40" s="695" t="s">
        <v>3597</v>
      </c>
      <c r="B40" s="696" t="s">
        <v>3589</v>
      </c>
      <c r="C40" s="696" t="s">
        <v>3641</v>
      </c>
      <c r="D40" s="696" t="s">
        <v>3642</v>
      </c>
      <c r="E40" s="711">
        <v>212</v>
      </c>
      <c r="F40" s="711">
        <v>27772</v>
      </c>
      <c r="G40" s="696">
        <v>1</v>
      </c>
      <c r="H40" s="696">
        <v>131</v>
      </c>
      <c r="I40" s="711">
        <v>111</v>
      </c>
      <c r="J40" s="711">
        <v>11433</v>
      </c>
      <c r="K40" s="696">
        <v>0.41167362811464786</v>
      </c>
      <c r="L40" s="696">
        <v>103</v>
      </c>
      <c r="M40" s="711">
        <v>221</v>
      </c>
      <c r="N40" s="711">
        <v>22763</v>
      </c>
      <c r="O40" s="701">
        <v>0.81963848480483936</v>
      </c>
      <c r="P40" s="712">
        <v>103</v>
      </c>
    </row>
    <row r="41" spans="1:16" ht="14.4" customHeight="1" x14ac:dyDescent="0.3">
      <c r="A41" s="695" t="s">
        <v>3597</v>
      </c>
      <c r="B41" s="696" t="s">
        <v>3589</v>
      </c>
      <c r="C41" s="696" t="s">
        <v>3643</v>
      </c>
      <c r="D41" s="696" t="s">
        <v>3644</v>
      </c>
      <c r="E41" s="711">
        <v>227</v>
      </c>
      <c r="F41" s="711">
        <v>7718</v>
      </c>
      <c r="G41" s="696">
        <v>1</v>
      </c>
      <c r="H41" s="696">
        <v>34</v>
      </c>
      <c r="I41" s="711">
        <v>232</v>
      </c>
      <c r="J41" s="711">
        <v>7888</v>
      </c>
      <c r="K41" s="696">
        <v>1.0220264317180616</v>
      </c>
      <c r="L41" s="696">
        <v>34</v>
      </c>
      <c r="M41" s="711">
        <v>261</v>
      </c>
      <c r="N41" s="711">
        <v>8874</v>
      </c>
      <c r="O41" s="701">
        <v>1.1497797356828194</v>
      </c>
      <c r="P41" s="712">
        <v>34</v>
      </c>
    </row>
    <row r="42" spans="1:16" ht="14.4" customHeight="1" x14ac:dyDescent="0.3">
      <c r="A42" s="695" t="s">
        <v>3597</v>
      </c>
      <c r="B42" s="696" t="s">
        <v>3589</v>
      </c>
      <c r="C42" s="696" t="s">
        <v>3645</v>
      </c>
      <c r="D42" s="696" t="s">
        <v>3646</v>
      </c>
      <c r="E42" s="711"/>
      <c r="F42" s="711"/>
      <c r="G42" s="696"/>
      <c r="H42" s="696"/>
      <c r="I42" s="711"/>
      <c r="J42" s="711"/>
      <c r="K42" s="696"/>
      <c r="L42" s="696"/>
      <c r="M42" s="711">
        <v>5</v>
      </c>
      <c r="N42" s="711">
        <v>25</v>
      </c>
      <c r="O42" s="701"/>
      <c r="P42" s="712">
        <v>5</v>
      </c>
    </row>
    <row r="43" spans="1:16" ht="14.4" customHeight="1" x14ac:dyDescent="0.3">
      <c r="A43" s="695" t="s">
        <v>3597</v>
      </c>
      <c r="B43" s="696" t="s">
        <v>3589</v>
      </c>
      <c r="C43" s="696" t="s">
        <v>3647</v>
      </c>
      <c r="D43" s="696" t="s">
        <v>3648</v>
      </c>
      <c r="E43" s="711"/>
      <c r="F43" s="711"/>
      <c r="G43" s="696"/>
      <c r="H43" s="696"/>
      <c r="I43" s="711"/>
      <c r="J43" s="711"/>
      <c r="K43" s="696"/>
      <c r="L43" s="696"/>
      <c r="M43" s="711">
        <v>2</v>
      </c>
      <c r="N43" s="711">
        <v>10</v>
      </c>
      <c r="O43" s="701"/>
      <c r="P43" s="712">
        <v>5</v>
      </c>
    </row>
    <row r="44" spans="1:16" ht="14.4" customHeight="1" x14ac:dyDescent="0.3">
      <c r="A44" s="695" t="s">
        <v>3597</v>
      </c>
      <c r="B44" s="696" t="s">
        <v>3589</v>
      </c>
      <c r="C44" s="696" t="s">
        <v>3649</v>
      </c>
      <c r="D44" s="696" t="s">
        <v>3584</v>
      </c>
      <c r="E44" s="711">
        <v>12</v>
      </c>
      <c r="F44" s="711">
        <v>2088</v>
      </c>
      <c r="G44" s="696">
        <v>1</v>
      </c>
      <c r="H44" s="696">
        <v>174</v>
      </c>
      <c r="I44" s="711"/>
      <c r="J44" s="711"/>
      <c r="K44" s="696"/>
      <c r="L44" s="696"/>
      <c r="M44" s="711"/>
      <c r="N44" s="711"/>
      <c r="O44" s="701"/>
      <c r="P44" s="712"/>
    </row>
    <row r="45" spans="1:16" ht="14.4" customHeight="1" x14ac:dyDescent="0.3">
      <c r="A45" s="695" t="s">
        <v>3597</v>
      </c>
      <c r="B45" s="696" t="s">
        <v>3589</v>
      </c>
      <c r="C45" s="696" t="s">
        <v>3650</v>
      </c>
      <c r="D45" s="696" t="s">
        <v>3584</v>
      </c>
      <c r="E45" s="711">
        <v>2</v>
      </c>
      <c r="F45" s="711">
        <v>174</v>
      </c>
      <c r="G45" s="696">
        <v>1</v>
      </c>
      <c r="H45" s="696">
        <v>87</v>
      </c>
      <c r="I45" s="711"/>
      <c r="J45" s="711"/>
      <c r="K45" s="696"/>
      <c r="L45" s="696"/>
      <c r="M45" s="711"/>
      <c r="N45" s="711"/>
      <c r="O45" s="701"/>
      <c r="P45" s="712"/>
    </row>
    <row r="46" spans="1:16" ht="14.4" customHeight="1" x14ac:dyDescent="0.3">
      <c r="A46" s="695" t="s">
        <v>3597</v>
      </c>
      <c r="B46" s="696" t="s">
        <v>3589</v>
      </c>
      <c r="C46" s="696" t="s">
        <v>3590</v>
      </c>
      <c r="D46" s="696" t="s">
        <v>3591</v>
      </c>
      <c r="E46" s="711">
        <v>286</v>
      </c>
      <c r="F46" s="711">
        <v>71214</v>
      </c>
      <c r="G46" s="696">
        <v>1</v>
      </c>
      <c r="H46" s="696">
        <v>249</v>
      </c>
      <c r="I46" s="711">
        <v>182</v>
      </c>
      <c r="J46" s="711">
        <v>42224</v>
      </c>
      <c r="K46" s="696">
        <v>0.59291712303760502</v>
      </c>
      <c r="L46" s="696">
        <v>232</v>
      </c>
      <c r="M46" s="711"/>
      <c r="N46" s="711"/>
      <c r="O46" s="701"/>
      <c r="P46" s="712"/>
    </row>
    <row r="47" spans="1:16" ht="14.4" customHeight="1" x14ac:dyDescent="0.3">
      <c r="A47" s="695" t="s">
        <v>3597</v>
      </c>
      <c r="B47" s="696" t="s">
        <v>3589</v>
      </c>
      <c r="C47" s="696" t="s">
        <v>3651</v>
      </c>
      <c r="D47" s="696" t="s">
        <v>3652</v>
      </c>
      <c r="E47" s="711">
        <v>3157</v>
      </c>
      <c r="F47" s="711">
        <v>394625</v>
      </c>
      <c r="G47" s="696">
        <v>1</v>
      </c>
      <c r="H47" s="696">
        <v>125</v>
      </c>
      <c r="I47" s="711">
        <v>2371</v>
      </c>
      <c r="J47" s="711">
        <v>275036</v>
      </c>
      <c r="K47" s="696">
        <v>0.69695533734558124</v>
      </c>
      <c r="L47" s="696">
        <v>116</v>
      </c>
      <c r="M47" s="711"/>
      <c r="N47" s="711"/>
      <c r="O47" s="701"/>
      <c r="P47" s="712"/>
    </row>
    <row r="48" spans="1:16" ht="14.4" customHeight="1" x14ac:dyDescent="0.3">
      <c r="A48" s="695" t="s">
        <v>3597</v>
      </c>
      <c r="B48" s="696" t="s">
        <v>3589</v>
      </c>
      <c r="C48" s="696" t="s">
        <v>3653</v>
      </c>
      <c r="D48" s="696" t="s">
        <v>3642</v>
      </c>
      <c r="E48" s="711">
        <v>1</v>
      </c>
      <c r="F48" s="711">
        <v>190</v>
      </c>
      <c r="G48" s="696">
        <v>1</v>
      </c>
      <c r="H48" s="696">
        <v>190</v>
      </c>
      <c r="I48" s="711"/>
      <c r="J48" s="711"/>
      <c r="K48" s="696"/>
      <c r="L48" s="696"/>
      <c r="M48" s="711"/>
      <c r="N48" s="711"/>
      <c r="O48" s="701"/>
      <c r="P48" s="712"/>
    </row>
    <row r="49" spans="1:16" ht="14.4" customHeight="1" x14ac:dyDescent="0.3">
      <c r="A49" s="695" t="s">
        <v>3597</v>
      </c>
      <c r="B49" s="696" t="s">
        <v>3589</v>
      </c>
      <c r="C49" s="696" t="s">
        <v>3654</v>
      </c>
      <c r="D49" s="696" t="s">
        <v>3655</v>
      </c>
      <c r="E49" s="711">
        <v>81</v>
      </c>
      <c r="F49" s="711">
        <v>9963</v>
      </c>
      <c r="G49" s="696">
        <v>1</v>
      </c>
      <c r="H49" s="696">
        <v>123</v>
      </c>
      <c r="I49" s="711">
        <v>63</v>
      </c>
      <c r="J49" s="711">
        <v>7812</v>
      </c>
      <c r="K49" s="696">
        <v>0.78410117434507676</v>
      </c>
      <c r="L49" s="696">
        <v>124</v>
      </c>
      <c r="M49" s="711">
        <v>50</v>
      </c>
      <c r="N49" s="711">
        <v>6200</v>
      </c>
      <c r="O49" s="701">
        <v>0.6223025193214895</v>
      </c>
      <c r="P49" s="712">
        <v>124</v>
      </c>
    </row>
    <row r="50" spans="1:16" ht="14.4" customHeight="1" x14ac:dyDescent="0.3">
      <c r="A50" s="695" t="s">
        <v>3597</v>
      </c>
      <c r="B50" s="696" t="s">
        <v>3589</v>
      </c>
      <c r="C50" s="696" t="s">
        <v>3595</v>
      </c>
      <c r="D50" s="696" t="s">
        <v>3596</v>
      </c>
      <c r="E50" s="711">
        <v>17</v>
      </c>
      <c r="F50" s="711">
        <v>2516</v>
      </c>
      <c r="G50" s="696">
        <v>1</v>
      </c>
      <c r="H50" s="696">
        <v>148</v>
      </c>
      <c r="I50" s="711">
        <v>7</v>
      </c>
      <c r="J50" s="711">
        <v>1043</v>
      </c>
      <c r="K50" s="696">
        <v>0.4145468998410175</v>
      </c>
      <c r="L50" s="696">
        <v>149</v>
      </c>
      <c r="M50" s="711">
        <v>15</v>
      </c>
      <c r="N50" s="711">
        <v>2235</v>
      </c>
      <c r="O50" s="701">
        <v>0.88831478537360886</v>
      </c>
      <c r="P50" s="712">
        <v>149</v>
      </c>
    </row>
    <row r="51" spans="1:16" ht="14.4" customHeight="1" x14ac:dyDescent="0.3">
      <c r="A51" s="695" t="s">
        <v>3597</v>
      </c>
      <c r="B51" s="696" t="s">
        <v>3589</v>
      </c>
      <c r="C51" s="696" t="s">
        <v>3656</v>
      </c>
      <c r="D51" s="696" t="s">
        <v>3657</v>
      </c>
      <c r="E51" s="711">
        <v>2</v>
      </c>
      <c r="F51" s="711">
        <v>444</v>
      </c>
      <c r="G51" s="696">
        <v>1</v>
      </c>
      <c r="H51" s="696">
        <v>222</v>
      </c>
      <c r="I51" s="711">
        <v>4</v>
      </c>
      <c r="J51" s="711">
        <v>896</v>
      </c>
      <c r="K51" s="696">
        <v>2.0180180180180178</v>
      </c>
      <c r="L51" s="696">
        <v>224</v>
      </c>
      <c r="M51" s="711"/>
      <c r="N51" s="711"/>
      <c r="O51" s="701"/>
      <c r="P51" s="712"/>
    </row>
    <row r="52" spans="1:16" ht="14.4" customHeight="1" x14ac:dyDescent="0.3">
      <c r="A52" s="695" t="s">
        <v>3597</v>
      </c>
      <c r="B52" s="696" t="s">
        <v>3589</v>
      </c>
      <c r="C52" s="696" t="s">
        <v>3658</v>
      </c>
      <c r="D52" s="696" t="s">
        <v>3659</v>
      </c>
      <c r="E52" s="711">
        <v>282</v>
      </c>
      <c r="F52" s="711">
        <v>26226</v>
      </c>
      <c r="G52" s="696">
        <v>1</v>
      </c>
      <c r="H52" s="696">
        <v>93</v>
      </c>
      <c r="I52" s="711">
        <v>262</v>
      </c>
      <c r="J52" s="711">
        <v>24366</v>
      </c>
      <c r="K52" s="696">
        <v>0.92907801418439717</v>
      </c>
      <c r="L52" s="696">
        <v>93</v>
      </c>
      <c r="M52" s="711">
        <v>226</v>
      </c>
      <c r="N52" s="711">
        <v>21018</v>
      </c>
      <c r="O52" s="701">
        <v>0.8014184397163121</v>
      </c>
      <c r="P52" s="712">
        <v>93</v>
      </c>
    </row>
    <row r="53" spans="1:16" ht="14.4" customHeight="1" x14ac:dyDescent="0.3">
      <c r="A53" s="695" t="s">
        <v>3597</v>
      </c>
      <c r="B53" s="696" t="s">
        <v>3589</v>
      </c>
      <c r="C53" s="696" t="s">
        <v>3660</v>
      </c>
      <c r="D53" s="696" t="s">
        <v>3661</v>
      </c>
      <c r="E53" s="711">
        <v>92</v>
      </c>
      <c r="F53" s="711">
        <v>8372</v>
      </c>
      <c r="G53" s="696">
        <v>1</v>
      </c>
      <c r="H53" s="696">
        <v>91</v>
      </c>
      <c r="I53" s="711">
        <v>50</v>
      </c>
      <c r="J53" s="711">
        <v>4550</v>
      </c>
      <c r="K53" s="696">
        <v>0.54347826086956519</v>
      </c>
      <c r="L53" s="696">
        <v>91</v>
      </c>
      <c r="M53" s="711">
        <v>66</v>
      </c>
      <c r="N53" s="711">
        <v>6006</v>
      </c>
      <c r="O53" s="701">
        <v>0.71739130434782605</v>
      </c>
      <c r="P53" s="712">
        <v>91</v>
      </c>
    </row>
    <row r="54" spans="1:16" ht="14.4" customHeight="1" x14ac:dyDescent="0.3">
      <c r="A54" s="695" t="s">
        <v>3597</v>
      </c>
      <c r="B54" s="696" t="s">
        <v>3589</v>
      </c>
      <c r="C54" s="696" t="s">
        <v>3662</v>
      </c>
      <c r="D54" s="696" t="s">
        <v>3663</v>
      </c>
      <c r="E54" s="711"/>
      <c r="F54" s="711"/>
      <c r="G54" s="696"/>
      <c r="H54" s="696"/>
      <c r="I54" s="711">
        <v>1065</v>
      </c>
      <c r="J54" s="711">
        <v>123540</v>
      </c>
      <c r="K54" s="696"/>
      <c r="L54" s="696">
        <v>116</v>
      </c>
      <c r="M54" s="711">
        <v>3410</v>
      </c>
      <c r="N54" s="711">
        <v>395560</v>
      </c>
      <c r="O54" s="701"/>
      <c r="P54" s="712">
        <v>116</v>
      </c>
    </row>
    <row r="55" spans="1:16" ht="14.4" customHeight="1" x14ac:dyDescent="0.3">
      <c r="A55" s="695" t="s">
        <v>3597</v>
      </c>
      <c r="B55" s="696" t="s">
        <v>3589</v>
      </c>
      <c r="C55" s="696" t="s">
        <v>3664</v>
      </c>
      <c r="D55" s="696" t="s">
        <v>3665</v>
      </c>
      <c r="E55" s="711"/>
      <c r="F55" s="711"/>
      <c r="G55" s="696"/>
      <c r="H55" s="696"/>
      <c r="I55" s="711">
        <v>1</v>
      </c>
      <c r="J55" s="711">
        <v>223</v>
      </c>
      <c r="K55" s="696"/>
      <c r="L55" s="696">
        <v>223</v>
      </c>
      <c r="M55" s="711"/>
      <c r="N55" s="711"/>
      <c r="O55" s="701"/>
      <c r="P55" s="712"/>
    </row>
    <row r="56" spans="1:16" ht="14.4" customHeight="1" x14ac:dyDescent="0.3">
      <c r="A56" s="695" t="s">
        <v>3597</v>
      </c>
      <c r="B56" s="696" t="s">
        <v>3589</v>
      </c>
      <c r="C56" s="696" t="s">
        <v>3666</v>
      </c>
      <c r="D56" s="696" t="s">
        <v>3667</v>
      </c>
      <c r="E56" s="711">
        <v>1</v>
      </c>
      <c r="F56" s="711">
        <v>410</v>
      </c>
      <c r="G56" s="696">
        <v>1</v>
      </c>
      <c r="H56" s="696">
        <v>410</v>
      </c>
      <c r="I56" s="711">
        <v>1</v>
      </c>
      <c r="J56" s="711">
        <v>411</v>
      </c>
      <c r="K56" s="696">
        <v>1.0024390243902439</v>
      </c>
      <c r="L56" s="696">
        <v>411</v>
      </c>
      <c r="M56" s="711"/>
      <c r="N56" s="711"/>
      <c r="O56" s="701"/>
      <c r="P56" s="712"/>
    </row>
    <row r="57" spans="1:16" ht="14.4" customHeight="1" x14ac:dyDescent="0.3">
      <c r="A57" s="695" t="s">
        <v>3597</v>
      </c>
      <c r="B57" s="696" t="s">
        <v>3589</v>
      </c>
      <c r="C57" s="696" t="s">
        <v>3668</v>
      </c>
      <c r="D57" s="696" t="s">
        <v>3669</v>
      </c>
      <c r="E57" s="711"/>
      <c r="F57" s="711"/>
      <c r="G57" s="696"/>
      <c r="H57" s="696"/>
      <c r="I57" s="711"/>
      <c r="J57" s="711"/>
      <c r="K57" s="696"/>
      <c r="L57" s="696"/>
      <c r="M57" s="711">
        <v>4</v>
      </c>
      <c r="N57" s="711">
        <v>2108</v>
      </c>
      <c r="O57" s="701"/>
      <c r="P57" s="712">
        <v>527</v>
      </c>
    </row>
    <row r="58" spans="1:16" ht="14.4" customHeight="1" x14ac:dyDescent="0.3">
      <c r="A58" s="695" t="s">
        <v>3597</v>
      </c>
      <c r="B58" s="696" t="s">
        <v>3589</v>
      </c>
      <c r="C58" s="696" t="s">
        <v>3670</v>
      </c>
      <c r="D58" s="696" t="s">
        <v>3671</v>
      </c>
      <c r="E58" s="711">
        <v>1</v>
      </c>
      <c r="F58" s="711">
        <v>656</v>
      </c>
      <c r="G58" s="696">
        <v>1</v>
      </c>
      <c r="H58" s="696">
        <v>656</v>
      </c>
      <c r="I58" s="711"/>
      <c r="J58" s="711"/>
      <c r="K58" s="696"/>
      <c r="L58" s="696"/>
      <c r="M58" s="711"/>
      <c r="N58" s="711"/>
      <c r="O58" s="701"/>
      <c r="P58" s="712"/>
    </row>
    <row r="59" spans="1:16" ht="14.4" customHeight="1" x14ac:dyDescent="0.3">
      <c r="A59" s="695" t="s">
        <v>3597</v>
      </c>
      <c r="B59" s="696" t="s">
        <v>3589</v>
      </c>
      <c r="C59" s="696" t="s">
        <v>3672</v>
      </c>
      <c r="D59" s="696" t="s">
        <v>3673</v>
      </c>
      <c r="E59" s="711">
        <v>1</v>
      </c>
      <c r="F59" s="711">
        <v>1204</v>
      </c>
      <c r="G59" s="696">
        <v>1</v>
      </c>
      <c r="H59" s="696">
        <v>1204</v>
      </c>
      <c r="I59" s="711"/>
      <c r="J59" s="711"/>
      <c r="K59" s="696"/>
      <c r="L59" s="696"/>
      <c r="M59" s="711"/>
      <c r="N59" s="711"/>
      <c r="O59" s="701"/>
      <c r="P59" s="712"/>
    </row>
    <row r="60" spans="1:16" ht="14.4" customHeight="1" x14ac:dyDescent="0.3">
      <c r="A60" s="695" t="s">
        <v>3597</v>
      </c>
      <c r="B60" s="696" t="s">
        <v>3589</v>
      </c>
      <c r="C60" s="696" t="s">
        <v>3674</v>
      </c>
      <c r="D60" s="696" t="s">
        <v>3675</v>
      </c>
      <c r="E60" s="711"/>
      <c r="F60" s="711"/>
      <c r="G60" s="696"/>
      <c r="H60" s="696"/>
      <c r="I60" s="711"/>
      <c r="J60" s="711"/>
      <c r="K60" s="696"/>
      <c r="L60" s="696"/>
      <c r="M60" s="711">
        <v>1</v>
      </c>
      <c r="N60" s="711">
        <v>932</v>
      </c>
      <c r="O60" s="701"/>
      <c r="P60" s="712">
        <v>932</v>
      </c>
    </row>
    <row r="61" spans="1:16" ht="14.4" customHeight="1" x14ac:dyDescent="0.3">
      <c r="A61" s="695" t="s">
        <v>3597</v>
      </c>
      <c r="B61" s="696" t="s">
        <v>3589</v>
      </c>
      <c r="C61" s="696" t="s">
        <v>3676</v>
      </c>
      <c r="D61" s="696" t="s">
        <v>3677</v>
      </c>
      <c r="E61" s="711">
        <v>36</v>
      </c>
      <c r="F61" s="711">
        <v>58320</v>
      </c>
      <c r="G61" s="696">
        <v>1</v>
      </c>
      <c r="H61" s="696">
        <v>1620</v>
      </c>
      <c r="I61" s="711">
        <v>26</v>
      </c>
      <c r="J61" s="711">
        <v>42250</v>
      </c>
      <c r="K61" s="696">
        <v>0.72445130315500683</v>
      </c>
      <c r="L61" s="696">
        <v>1625</v>
      </c>
      <c r="M61" s="711">
        <v>18</v>
      </c>
      <c r="N61" s="711">
        <v>29250</v>
      </c>
      <c r="O61" s="701">
        <v>0.50154320987654322</v>
      </c>
      <c r="P61" s="712">
        <v>1625</v>
      </c>
    </row>
    <row r="62" spans="1:16" ht="14.4" customHeight="1" x14ac:dyDescent="0.3">
      <c r="A62" s="695" t="s">
        <v>3597</v>
      </c>
      <c r="B62" s="696" t="s">
        <v>3589</v>
      </c>
      <c r="C62" s="696" t="s">
        <v>3678</v>
      </c>
      <c r="D62" s="696" t="s">
        <v>3679</v>
      </c>
      <c r="E62" s="711">
        <v>33</v>
      </c>
      <c r="F62" s="711">
        <v>41712</v>
      </c>
      <c r="G62" s="696">
        <v>1</v>
      </c>
      <c r="H62" s="696">
        <v>1264</v>
      </c>
      <c r="I62" s="711">
        <v>20</v>
      </c>
      <c r="J62" s="711">
        <v>25400</v>
      </c>
      <c r="K62" s="696">
        <v>0.60893747602608361</v>
      </c>
      <c r="L62" s="696">
        <v>1270</v>
      </c>
      <c r="M62" s="711">
        <v>27</v>
      </c>
      <c r="N62" s="711">
        <v>34290</v>
      </c>
      <c r="O62" s="701">
        <v>0.82206559263521284</v>
      </c>
      <c r="P62" s="712">
        <v>1270</v>
      </c>
    </row>
    <row r="63" spans="1:16" ht="14.4" customHeight="1" x14ac:dyDescent="0.3">
      <c r="A63" s="695" t="s">
        <v>3597</v>
      </c>
      <c r="B63" s="696" t="s">
        <v>3589</v>
      </c>
      <c r="C63" s="696" t="s">
        <v>3680</v>
      </c>
      <c r="D63" s="696" t="s">
        <v>3681</v>
      </c>
      <c r="E63" s="711">
        <v>3</v>
      </c>
      <c r="F63" s="711">
        <v>2778</v>
      </c>
      <c r="G63" s="696">
        <v>1</v>
      </c>
      <c r="H63" s="696">
        <v>926</v>
      </c>
      <c r="I63" s="711">
        <v>8</v>
      </c>
      <c r="J63" s="711">
        <v>7456</v>
      </c>
      <c r="K63" s="696">
        <v>2.6839452843772498</v>
      </c>
      <c r="L63" s="696">
        <v>932</v>
      </c>
      <c r="M63" s="711">
        <v>4</v>
      </c>
      <c r="N63" s="711">
        <v>3728</v>
      </c>
      <c r="O63" s="701">
        <v>1.3419726421886249</v>
      </c>
      <c r="P63" s="712">
        <v>932</v>
      </c>
    </row>
    <row r="64" spans="1:16" ht="14.4" customHeight="1" x14ac:dyDescent="0.3">
      <c r="A64" s="695" t="s">
        <v>3597</v>
      </c>
      <c r="B64" s="696" t="s">
        <v>3589</v>
      </c>
      <c r="C64" s="696" t="s">
        <v>3682</v>
      </c>
      <c r="D64" s="696" t="s">
        <v>3683</v>
      </c>
      <c r="E64" s="711">
        <v>1</v>
      </c>
      <c r="F64" s="711">
        <v>940</v>
      </c>
      <c r="G64" s="696">
        <v>1</v>
      </c>
      <c r="H64" s="696">
        <v>940</v>
      </c>
      <c r="I64" s="711">
        <v>1</v>
      </c>
      <c r="J64" s="711">
        <v>946</v>
      </c>
      <c r="K64" s="696">
        <v>1.0063829787234042</v>
      </c>
      <c r="L64" s="696">
        <v>946</v>
      </c>
      <c r="M64" s="711">
        <v>3</v>
      </c>
      <c r="N64" s="711">
        <v>2838</v>
      </c>
      <c r="O64" s="701">
        <v>3.0191489361702128</v>
      </c>
      <c r="P64" s="712">
        <v>946</v>
      </c>
    </row>
    <row r="65" spans="1:16" ht="14.4" customHeight="1" x14ac:dyDescent="0.3">
      <c r="A65" s="695" t="s">
        <v>3597</v>
      </c>
      <c r="B65" s="696" t="s">
        <v>3589</v>
      </c>
      <c r="C65" s="696" t="s">
        <v>3684</v>
      </c>
      <c r="D65" s="696" t="s">
        <v>3685</v>
      </c>
      <c r="E65" s="711">
        <v>89</v>
      </c>
      <c r="F65" s="711">
        <v>13706</v>
      </c>
      <c r="G65" s="696">
        <v>1</v>
      </c>
      <c r="H65" s="696">
        <v>154</v>
      </c>
      <c r="I65" s="711">
        <v>45</v>
      </c>
      <c r="J65" s="711">
        <v>6975</v>
      </c>
      <c r="K65" s="696">
        <v>0.50890121114840214</v>
      </c>
      <c r="L65" s="696">
        <v>155</v>
      </c>
      <c r="M65" s="711">
        <v>38</v>
      </c>
      <c r="N65" s="711">
        <v>5890</v>
      </c>
      <c r="O65" s="701">
        <v>0.42973880052531738</v>
      </c>
      <c r="P65" s="712">
        <v>155</v>
      </c>
    </row>
    <row r="66" spans="1:16" ht="14.4" customHeight="1" x14ac:dyDescent="0.3">
      <c r="A66" s="695" t="s">
        <v>3597</v>
      </c>
      <c r="B66" s="696" t="s">
        <v>3589</v>
      </c>
      <c r="C66" s="696" t="s">
        <v>3686</v>
      </c>
      <c r="D66" s="696" t="s">
        <v>3687</v>
      </c>
      <c r="E66" s="711">
        <v>21</v>
      </c>
      <c r="F66" s="711">
        <v>0</v>
      </c>
      <c r="G66" s="696"/>
      <c r="H66" s="696">
        <v>0</v>
      </c>
      <c r="I66" s="711">
        <v>24</v>
      </c>
      <c r="J66" s="711">
        <v>0</v>
      </c>
      <c r="K66" s="696"/>
      <c r="L66" s="696">
        <v>0</v>
      </c>
      <c r="M66" s="711">
        <v>14</v>
      </c>
      <c r="N66" s="711">
        <v>0</v>
      </c>
      <c r="O66" s="701"/>
      <c r="P66" s="712">
        <v>0</v>
      </c>
    </row>
    <row r="67" spans="1:16" ht="14.4" customHeight="1" x14ac:dyDescent="0.3">
      <c r="A67" s="695" t="s">
        <v>3597</v>
      </c>
      <c r="B67" s="696" t="s">
        <v>3589</v>
      </c>
      <c r="C67" s="696" t="s">
        <v>3688</v>
      </c>
      <c r="D67" s="696" t="s">
        <v>3689</v>
      </c>
      <c r="E67" s="711">
        <v>3056</v>
      </c>
      <c r="F67" s="711">
        <v>0</v>
      </c>
      <c r="G67" s="696"/>
      <c r="H67" s="696">
        <v>0</v>
      </c>
      <c r="I67" s="711">
        <v>3184</v>
      </c>
      <c r="J67" s="711">
        <v>0</v>
      </c>
      <c r="K67" s="696"/>
      <c r="L67" s="696">
        <v>0</v>
      </c>
      <c r="M67" s="711">
        <v>2925</v>
      </c>
      <c r="N67" s="711">
        <v>0</v>
      </c>
      <c r="O67" s="701"/>
      <c r="P67" s="712">
        <v>0</v>
      </c>
    </row>
    <row r="68" spans="1:16" ht="14.4" customHeight="1" x14ac:dyDescent="0.3">
      <c r="A68" s="695" t="s">
        <v>3597</v>
      </c>
      <c r="B68" s="696" t="s">
        <v>3589</v>
      </c>
      <c r="C68" s="696" t="s">
        <v>3690</v>
      </c>
      <c r="D68" s="696" t="s">
        <v>3691</v>
      </c>
      <c r="E68" s="711"/>
      <c r="F68" s="711"/>
      <c r="G68" s="696"/>
      <c r="H68" s="696"/>
      <c r="I68" s="711"/>
      <c r="J68" s="711"/>
      <c r="K68" s="696"/>
      <c r="L68" s="696"/>
      <c r="M68" s="711">
        <v>68</v>
      </c>
      <c r="N68" s="711">
        <v>7208</v>
      </c>
      <c r="O68" s="701"/>
      <c r="P68" s="712">
        <v>106</v>
      </c>
    </row>
    <row r="69" spans="1:16" ht="14.4" customHeight="1" x14ac:dyDescent="0.3">
      <c r="A69" s="695" t="s">
        <v>3597</v>
      </c>
      <c r="B69" s="696" t="s">
        <v>3589</v>
      </c>
      <c r="C69" s="696" t="s">
        <v>3692</v>
      </c>
      <c r="D69" s="696" t="s">
        <v>3693</v>
      </c>
      <c r="E69" s="711"/>
      <c r="F69" s="711"/>
      <c r="G69" s="696"/>
      <c r="H69" s="696"/>
      <c r="I69" s="711">
        <v>1</v>
      </c>
      <c r="J69" s="711">
        <v>35</v>
      </c>
      <c r="K69" s="696"/>
      <c r="L69" s="696">
        <v>35</v>
      </c>
      <c r="M69" s="711">
        <v>4</v>
      </c>
      <c r="N69" s="711">
        <v>140</v>
      </c>
      <c r="O69" s="701"/>
      <c r="P69" s="712">
        <v>35</v>
      </c>
    </row>
    <row r="70" spans="1:16" ht="14.4" customHeight="1" x14ac:dyDescent="0.3">
      <c r="A70" s="695" t="s">
        <v>3597</v>
      </c>
      <c r="B70" s="696" t="s">
        <v>3589</v>
      </c>
      <c r="C70" s="696" t="s">
        <v>3694</v>
      </c>
      <c r="D70" s="696" t="s">
        <v>3695</v>
      </c>
      <c r="E70" s="711">
        <v>118</v>
      </c>
      <c r="F70" s="711">
        <v>8850</v>
      </c>
      <c r="G70" s="696">
        <v>1</v>
      </c>
      <c r="H70" s="696">
        <v>75</v>
      </c>
      <c r="I70" s="711">
        <v>106</v>
      </c>
      <c r="J70" s="711">
        <v>8586</v>
      </c>
      <c r="K70" s="696">
        <v>0.97016949152542376</v>
      </c>
      <c r="L70" s="696">
        <v>81</v>
      </c>
      <c r="M70" s="711">
        <v>67</v>
      </c>
      <c r="N70" s="711">
        <v>5427</v>
      </c>
      <c r="O70" s="701">
        <v>0.61322033898305084</v>
      </c>
      <c r="P70" s="712">
        <v>81</v>
      </c>
    </row>
    <row r="71" spans="1:16" ht="14.4" customHeight="1" x14ac:dyDescent="0.3">
      <c r="A71" s="695" t="s">
        <v>3597</v>
      </c>
      <c r="B71" s="696" t="s">
        <v>3589</v>
      </c>
      <c r="C71" s="696" t="s">
        <v>3696</v>
      </c>
      <c r="D71" s="696" t="s">
        <v>3697</v>
      </c>
      <c r="E71" s="711">
        <v>37</v>
      </c>
      <c r="F71" s="711">
        <v>703</v>
      </c>
      <c r="G71" s="696">
        <v>1</v>
      </c>
      <c r="H71" s="696">
        <v>19</v>
      </c>
      <c r="I71" s="711">
        <v>23</v>
      </c>
      <c r="J71" s="711">
        <v>690</v>
      </c>
      <c r="K71" s="696">
        <v>0.98150782361308675</v>
      </c>
      <c r="L71" s="696">
        <v>30</v>
      </c>
      <c r="M71" s="711">
        <v>42</v>
      </c>
      <c r="N71" s="711">
        <v>1260</v>
      </c>
      <c r="O71" s="701">
        <v>1.7923186344238975</v>
      </c>
      <c r="P71" s="712">
        <v>30</v>
      </c>
    </row>
    <row r="72" spans="1:16" ht="14.4" customHeight="1" x14ac:dyDescent="0.3">
      <c r="A72" s="695" t="s">
        <v>3597</v>
      </c>
      <c r="B72" s="696" t="s">
        <v>3589</v>
      </c>
      <c r="C72" s="696" t="s">
        <v>3698</v>
      </c>
      <c r="D72" s="696" t="s">
        <v>3699</v>
      </c>
      <c r="E72" s="711">
        <v>3</v>
      </c>
      <c r="F72" s="711">
        <v>0</v>
      </c>
      <c r="G72" s="696"/>
      <c r="H72" s="696">
        <v>0</v>
      </c>
      <c r="I72" s="711">
        <v>3</v>
      </c>
      <c r="J72" s="711">
        <v>0</v>
      </c>
      <c r="K72" s="696"/>
      <c r="L72" s="696">
        <v>0</v>
      </c>
      <c r="M72" s="711"/>
      <c r="N72" s="711"/>
      <c r="O72" s="701"/>
      <c r="P72" s="712"/>
    </row>
    <row r="73" spans="1:16" ht="14.4" customHeight="1" x14ac:dyDescent="0.3">
      <c r="A73" s="695" t="s">
        <v>3597</v>
      </c>
      <c r="B73" s="696" t="s">
        <v>3589</v>
      </c>
      <c r="C73" s="696" t="s">
        <v>3700</v>
      </c>
      <c r="D73" s="696" t="s">
        <v>3701</v>
      </c>
      <c r="E73" s="711">
        <v>1</v>
      </c>
      <c r="F73" s="711">
        <v>200</v>
      </c>
      <c r="G73" s="696">
        <v>1</v>
      </c>
      <c r="H73" s="696">
        <v>200</v>
      </c>
      <c r="I73" s="711"/>
      <c r="J73" s="711"/>
      <c r="K73" s="696"/>
      <c r="L73" s="696"/>
      <c r="M73" s="711"/>
      <c r="N73" s="711"/>
      <c r="O73" s="701"/>
      <c r="P73" s="712"/>
    </row>
    <row r="74" spans="1:16" ht="14.4" customHeight="1" x14ac:dyDescent="0.3">
      <c r="A74" s="695" t="s">
        <v>3597</v>
      </c>
      <c r="B74" s="696" t="s">
        <v>3589</v>
      </c>
      <c r="C74" s="696" t="s">
        <v>3592</v>
      </c>
      <c r="D74" s="696" t="s">
        <v>3593</v>
      </c>
      <c r="E74" s="711">
        <v>59</v>
      </c>
      <c r="F74" s="711">
        <v>10915</v>
      </c>
      <c r="G74" s="696">
        <v>1</v>
      </c>
      <c r="H74" s="696">
        <v>185</v>
      </c>
      <c r="I74" s="711">
        <v>51</v>
      </c>
      <c r="J74" s="711">
        <v>9486</v>
      </c>
      <c r="K74" s="696">
        <v>0.86907924874026565</v>
      </c>
      <c r="L74" s="696">
        <v>186</v>
      </c>
      <c r="M74" s="711">
        <v>34</v>
      </c>
      <c r="N74" s="711">
        <v>6324</v>
      </c>
      <c r="O74" s="701">
        <v>0.57938616582684377</v>
      </c>
      <c r="P74" s="712">
        <v>186</v>
      </c>
    </row>
    <row r="75" spans="1:16" ht="14.4" customHeight="1" x14ac:dyDescent="0.3">
      <c r="A75" s="695" t="s">
        <v>3597</v>
      </c>
      <c r="B75" s="696" t="s">
        <v>3589</v>
      </c>
      <c r="C75" s="696" t="s">
        <v>3702</v>
      </c>
      <c r="D75" s="696" t="s">
        <v>3669</v>
      </c>
      <c r="E75" s="711">
        <v>1</v>
      </c>
      <c r="F75" s="711">
        <v>665</v>
      </c>
      <c r="G75" s="696">
        <v>1</v>
      </c>
      <c r="H75" s="696">
        <v>665</v>
      </c>
      <c r="I75" s="711"/>
      <c r="J75" s="711"/>
      <c r="K75" s="696"/>
      <c r="L75" s="696"/>
      <c r="M75" s="711"/>
      <c r="N75" s="711"/>
      <c r="O75" s="701"/>
      <c r="P75" s="712"/>
    </row>
    <row r="76" spans="1:16" ht="14.4" customHeight="1" x14ac:dyDescent="0.3">
      <c r="A76" s="695" t="s">
        <v>3597</v>
      </c>
      <c r="B76" s="696" t="s">
        <v>3589</v>
      </c>
      <c r="C76" s="696" t="s">
        <v>3703</v>
      </c>
      <c r="D76" s="696" t="s">
        <v>3584</v>
      </c>
      <c r="E76" s="711">
        <v>16</v>
      </c>
      <c r="F76" s="711">
        <v>0</v>
      </c>
      <c r="G76" s="696"/>
      <c r="H76" s="696">
        <v>0</v>
      </c>
      <c r="I76" s="711">
        <v>12</v>
      </c>
      <c r="J76" s="711">
        <v>0</v>
      </c>
      <c r="K76" s="696"/>
      <c r="L76" s="696">
        <v>0</v>
      </c>
      <c r="M76" s="711"/>
      <c r="N76" s="711"/>
      <c r="O76" s="701"/>
      <c r="P76" s="712"/>
    </row>
    <row r="77" spans="1:16" ht="14.4" customHeight="1" x14ac:dyDescent="0.3">
      <c r="A77" s="695" t="s">
        <v>3597</v>
      </c>
      <c r="B77" s="696" t="s">
        <v>3589</v>
      </c>
      <c r="C77" s="696" t="s">
        <v>3704</v>
      </c>
      <c r="D77" s="696" t="s">
        <v>3705</v>
      </c>
      <c r="E77" s="711">
        <v>25</v>
      </c>
      <c r="F77" s="711">
        <v>2150</v>
      </c>
      <c r="G77" s="696">
        <v>1</v>
      </c>
      <c r="H77" s="696">
        <v>86</v>
      </c>
      <c r="I77" s="711">
        <v>27</v>
      </c>
      <c r="J77" s="711">
        <v>2322</v>
      </c>
      <c r="K77" s="696">
        <v>1.08</v>
      </c>
      <c r="L77" s="696">
        <v>86</v>
      </c>
      <c r="M77" s="711">
        <v>24</v>
      </c>
      <c r="N77" s="711">
        <v>2064</v>
      </c>
      <c r="O77" s="701">
        <v>0.96</v>
      </c>
      <c r="P77" s="712">
        <v>86</v>
      </c>
    </row>
    <row r="78" spans="1:16" ht="14.4" customHeight="1" x14ac:dyDescent="0.3">
      <c r="A78" s="695" t="s">
        <v>3597</v>
      </c>
      <c r="B78" s="696" t="s">
        <v>3589</v>
      </c>
      <c r="C78" s="696" t="s">
        <v>3706</v>
      </c>
      <c r="D78" s="696" t="s">
        <v>3707</v>
      </c>
      <c r="E78" s="711"/>
      <c r="F78" s="711"/>
      <c r="G78" s="696"/>
      <c r="H78" s="696"/>
      <c r="I78" s="711">
        <v>85</v>
      </c>
      <c r="J78" s="711">
        <v>19720</v>
      </c>
      <c r="K78" s="696"/>
      <c r="L78" s="696">
        <v>232</v>
      </c>
      <c r="M78" s="711">
        <v>236</v>
      </c>
      <c r="N78" s="711">
        <v>54752</v>
      </c>
      <c r="O78" s="701"/>
      <c r="P78" s="712">
        <v>232</v>
      </c>
    </row>
    <row r="79" spans="1:16" ht="14.4" customHeight="1" x14ac:dyDescent="0.3">
      <c r="A79" s="695" t="s">
        <v>3597</v>
      </c>
      <c r="B79" s="696" t="s">
        <v>3589</v>
      </c>
      <c r="C79" s="696" t="s">
        <v>3708</v>
      </c>
      <c r="D79" s="696" t="s">
        <v>3709</v>
      </c>
      <c r="E79" s="711">
        <v>9</v>
      </c>
      <c r="F79" s="711">
        <v>999</v>
      </c>
      <c r="G79" s="696">
        <v>1</v>
      </c>
      <c r="H79" s="696">
        <v>111</v>
      </c>
      <c r="I79" s="711">
        <v>8</v>
      </c>
      <c r="J79" s="711">
        <v>896</v>
      </c>
      <c r="K79" s="696">
        <v>0.89689689689689689</v>
      </c>
      <c r="L79" s="696">
        <v>112</v>
      </c>
      <c r="M79" s="711">
        <v>3</v>
      </c>
      <c r="N79" s="711">
        <v>336</v>
      </c>
      <c r="O79" s="701">
        <v>0.33633633633633636</v>
      </c>
      <c r="P79" s="712">
        <v>112</v>
      </c>
    </row>
    <row r="80" spans="1:16" ht="14.4" customHeight="1" x14ac:dyDescent="0.3">
      <c r="A80" s="695" t="s">
        <v>3597</v>
      </c>
      <c r="B80" s="696" t="s">
        <v>3589</v>
      </c>
      <c r="C80" s="696" t="s">
        <v>3710</v>
      </c>
      <c r="D80" s="696" t="s">
        <v>3711</v>
      </c>
      <c r="E80" s="711"/>
      <c r="F80" s="711"/>
      <c r="G80" s="696"/>
      <c r="H80" s="696"/>
      <c r="I80" s="711"/>
      <c r="J80" s="711"/>
      <c r="K80" s="696"/>
      <c r="L80" s="696"/>
      <c r="M80" s="711">
        <v>11</v>
      </c>
      <c r="N80" s="711">
        <v>3784</v>
      </c>
      <c r="O80" s="701"/>
      <c r="P80" s="712">
        <v>344</v>
      </c>
    </row>
    <row r="81" spans="1:16" ht="14.4" customHeight="1" x14ac:dyDescent="0.3">
      <c r="A81" s="695" t="s">
        <v>3597</v>
      </c>
      <c r="B81" s="696" t="s">
        <v>3589</v>
      </c>
      <c r="C81" s="696" t="s">
        <v>3712</v>
      </c>
      <c r="D81" s="696" t="s">
        <v>3713</v>
      </c>
      <c r="E81" s="711">
        <v>6</v>
      </c>
      <c r="F81" s="711">
        <v>882</v>
      </c>
      <c r="G81" s="696">
        <v>1</v>
      </c>
      <c r="H81" s="696">
        <v>147</v>
      </c>
      <c r="I81" s="711">
        <v>20</v>
      </c>
      <c r="J81" s="711">
        <v>2360</v>
      </c>
      <c r="K81" s="696">
        <v>2.6757369614512472</v>
      </c>
      <c r="L81" s="696">
        <v>118</v>
      </c>
      <c r="M81" s="711">
        <v>8</v>
      </c>
      <c r="N81" s="711">
        <v>944</v>
      </c>
      <c r="O81" s="701">
        <v>1.0702947845804989</v>
      </c>
      <c r="P81" s="712">
        <v>118</v>
      </c>
    </row>
    <row r="82" spans="1:16" ht="14.4" customHeight="1" x14ac:dyDescent="0.3">
      <c r="A82" s="695" t="s">
        <v>3597</v>
      </c>
      <c r="B82" s="696" t="s">
        <v>3589</v>
      </c>
      <c r="C82" s="696" t="s">
        <v>3714</v>
      </c>
      <c r="D82" s="696" t="s">
        <v>3715</v>
      </c>
      <c r="E82" s="711"/>
      <c r="F82" s="711"/>
      <c r="G82" s="696"/>
      <c r="H82" s="696"/>
      <c r="I82" s="711"/>
      <c r="J82" s="711"/>
      <c r="K82" s="696"/>
      <c r="L82" s="696"/>
      <c r="M82" s="711">
        <v>1</v>
      </c>
      <c r="N82" s="711">
        <v>56</v>
      </c>
      <c r="O82" s="701"/>
      <c r="P82" s="712">
        <v>56</v>
      </c>
    </row>
    <row r="83" spans="1:16" ht="14.4" customHeight="1" x14ac:dyDescent="0.3">
      <c r="A83" s="695" t="s">
        <v>3597</v>
      </c>
      <c r="B83" s="696" t="s">
        <v>3589</v>
      </c>
      <c r="C83" s="696" t="s">
        <v>3716</v>
      </c>
      <c r="D83" s="696" t="s">
        <v>3717</v>
      </c>
      <c r="E83" s="711">
        <v>8</v>
      </c>
      <c r="F83" s="711">
        <v>1408</v>
      </c>
      <c r="G83" s="696">
        <v>1</v>
      </c>
      <c r="H83" s="696">
        <v>176</v>
      </c>
      <c r="I83" s="711"/>
      <c r="J83" s="711"/>
      <c r="K83" s="696"/>
      <c r="L83" s="696"/>
      <c r="M83" s="711">
        <v>3</v>
      </c>
      <c r="N83" s="711">
        <v>531</v>
      </c>
      <c r="O83" s="701">
        <v>0.37713068181818182</v>
      </c>
      <c r="P83" s="712">
        <v>177</v>
      </c>
    </row>
    <row r="84" spans="1:16" ht="14.4" customHeight="1" x14ac:dyDescent="0.3">
      <c r="A84" s="695" t="s">
        <v>3597</v>
      </c>
      <c r="B84" s="696" t="s">
        <v>3589</v>
      </c>
      <c r="C84" s="696" t="s">
        <v>3718</v>
      </c>
      <c r="D84" s="696" t="s">
        <v>3719</v>
      </c>
      <c r="E84" s="711">
        <v>3</v>
      </c>
      <c r="F84" s="711">
        <v>1875</v>
      </c>
      <c r="G84" s="696">
        <v>1</v>
      </c>
      <c r="H84" s="696">
        <v>625</v>
      </c>
      <c r="I84" s="711">
        <v>1</v>
      </c>
      <c r="J84" s="711">
        <v>628</v>
      </c>
      <c r="K84" s="696">
        <v>0.33493333333333336</v>
      </c>
      <c r="L84" s="696">
        <v>628</v>
      </c>
      <c r="M84" s="711"/>
      <c r="N84" s="711"/>
      <c r="O84" s="701"/>
      <c r="P84" s="712"/>
    </row>
    <row r="85" spans="1:16" ht="14.4" customHeight="1" x14ac:dyDescent="0.3">
      <c r="A85" s="695" t="s">
        <v>3597</v>
      </c>
      <c r="B85" s="696" t="s">
        <v>3589</v>
      </c>
      <c r="C85" s="696" t="s">
        <v>3720</v>
      </c>
      <c r="D85" s="696" t="s">
        <v>3721</v>
      </c>
      <c r="E85" s="711">
        <v>8</v>
      </c>
      <c r="F85" s="711">
        <v>1280</v>
      </c>
      <c r="G85" s="696">
        <v>1</v>
      </c>
      <c r="H85" s="696">
        <v>160</v>
      </c>
      <c r="I85" s="711">
        <v>8</v>
      </c>
      <c r="J85" s="711">
        <v>1288</v>
      </c>
      <c r="K85" s="696">
        <v>1.0062500000000001</v>
      </c>
      <c r="L85" s="696">
        <v>161</v>
      </c>
      <c r="M85" s="711">
        <v>2</v>
      </c>
      <c r="N85" s="711">
        <v>322</v>
      </c>
      <c r="O85" s="701">
        <v>0.25156250000000002</v>
      </c>
      <c r="P85" s="712">
        <v>161</v>
      </c>
    </row>
    <row r="86" spans="1:16" ht="14.4" customHeight="1" x14ac:dyDescent="0.3">
      <c r="A86" s="695" t="s">
        <v>3597</v>
      </c>
      <c r="B86" s="696" t="s">
        <v>3589</v>
      </c>
      <c r="C86" s="696" t="s">
        <v>3722</v>
      </c>
      <c r="D86" s="696" t="s">
        <v>3723</v>
      </c>
      <c r="E86" s="711">
        <v>9</v>
      </c>
      <c r="F86" s="711">
        <v>4293</v>
      </c>
      <c r="G86" s="696">
        <v>1</v>
      </c>
      <c r="H86" s="696">
        <v>477</v>
      </c>
      <c r="I86" s="711">
        <v>3</v>
      </c>
      <c r="J86" s="711">
        <v>1440</v>
      </c>
      <c r="K86" s="696">
        <v>0.33542976939203356</v>
      </c>
      <c r="L86" s="696">
        <v>480</v>
      </c>
      <c r="M86" s="711">
        <v>8</v>
      </c>
      <c r="N86" s="711">
        <v>3840</v>
      </c>
      <c r="O86" s="701">
        <v>0.89447938504542279</v>
      </c>
      <c r="P86" s="712">
        <v>480</v>
      </c>
    </row>
    <row r="87" spans="1:16" ht="14.4" customHeight="1" x14ac:dyDescent="0.3">
      <c r="A87" s="695" t="s">
        <v>3597</v>
      </c>
      <c r="B87" s="696" t="s">
        <v>3589</v>
      </c>
      <c r="C87" s="696" t="s">
        <v>3724</v>
      </c>
      <c r="D87" s="696" t="s">
        <v>3725</v>
      </c>
      <c r="E87" s="711"/>
      <c r="F87" s="711"/>
      <c r="G87" s="696"/>
      <c r="H87" s="696"/>
      <c r="I87" s="711">
        <v>1</v>
      </c>
      <c r="J87" s="711">
        <v>124</v>
      </c>
      <c r="K87" s="696"/>
      <c r="L87" s="696">
        <v>124</v>
      </c>
      <c r="M87" s="711"/>
      <c r="N87" s="711"/>
      <c r="O87" s="701"/>
      <c r="P87" s="712"/>
    </row>
    <row r="88" spans="1:16" ht="14.4" customHeight="1" x14ac:dyDescent="0.3">
      <c r="A88" s="695" t="s">
        <v>3597</v>
      </c>
      <c r="B88" s="696" t="s">
        <v>3589</v>
      </c>
      <c r="C88" s="696" t="s">
        <v>3726</v>
      </c>
      <c r="D88" s="696" t="s">
        <v>3727</v>
      </c>
      <c r="E88" s="711">
        <v>57</v>
      </c>
      <c r="F88" s="711">
        <v>6213</v>
      </c>
      <c r="G88" s="696">
        <v>1</v>
      </c>
      <c r="H88" s="696">
        <v>109</v>
      </c>
      <c r="I88" s="711">
        <v>51</v>
      </c>
      <c r="J88" s="711">
        <v>5559</v>
      </c>
      <c r="K88" s="696">
        <v>0.89473684210526316</v>
      </c>
      <c r="L88" s="696">
        <v>109</v>
      </c>
      <c r="M88" s="711">
        <v>102</v>
      </c>
      <c r="N88" s="711">
        <v>11118</v>
      </c>
      <c r="O88" s="701">
        <v>1.7894736842105263</v>
      </c>
      <c r="P88" s="712">
        <v>109</v>
      </c>
    </row>
    <row r="89" spans="1:16" ht="14.4" customHeight="1" x14ac:dyDescent="0.3">
      <c r="A89" s="695" t="s">
        <v>3597</v>
      </c>
      <c r="B89" s="696" t="s">
        <v>3589</v>
      </c>
      <c r="C89" s="696" t="s">
        <v>3728</v>
      </c>
      <c r="D89" s="696" t="s">
        <v>3729</v>
      </c>
      <c r="E89" s="711"/>
      <c r="F89" s="711"/>
      <c r="G89" s="696"/>
      <c r="H89" s="696"/>
      <c r="I89" s="711"/>
      <c r="J89" s="711"/>
      <c r="K89" s="696"/>
      <c r="L89" s="696"/>
      <c r="M89" s="711">
        <v>3</v>
      </c>
      <c r="N89" s="711">
        <v>342</v>
      </c>
      <c r="O89" s="701"/>
      <c r="P89" s="712">
        <v>114</v>
      </c>
    </row>
    <row r="90" spans="1:16" ht="14.4" customHeight="1" x14ac:dyDescent="0.3">
      <c r="A90" s="695" t="s">
        <v>3597</v>
      </c>
      <c r="B90" s="696" t="s">
        <v>3589</v>
      </c>
      <c r="C90" s="696" t="s">
        <v>3730</v>
      </c>
      <c r="D90" s="696" t="s">
        <v>3731</v>
      </c>
      <c r="E90" s="711">
        <v>5</v>
      </c>
      <c r="F90" s="711">
        <v>1475</v>
      </c>
      <c r="G90" s="696">
        <v>1</v>
      </c>
      <c r="H90" s="696">
        <v>295</v>
      </c>
      <c r="I90" s="711">
        <v>2</v>
      </c>
      <c r="J90" s="711">
        <v>596</v>
      </c>
      <c r="K90" s="696">
        <v>0.40406779661016951</v>
      </c>
      <c r="L90" s="696">
        <v>298</v>
      </c>
      <c r="M90" s="711"/>
      <c r="N90" s="711"/>
      <c r="O90" s="701"/>
      <c r="P90" s="712"/>
    </row>
    <row r="91" spans="1:16" ht="14.4" customHeight="1" x14ac:dyDescent="0.3">
      <c r="A91" s="695" t="s">
        <v>3597</v>
      </c>
      <c r="B91" s="696" t="s">
        <v>3589</v>
      </c>
      <c r="C91" s="696" t="s">
        <v>3732</v>
      </c>
      <c r="D91" s="696" t="s">
        <v>3733</v>
      </c>
      <c r="E91" s="711">
        <v>2</v>
      </c>
      <c r="F91" s="711">
        <v>1850</v>
      </c>
      <c r="G91" s="696">
        <v>1</v>
      </c>
      <c r="H91" s="696">
        <v>925</v>
      </c>
      <c r="I91" s="711">
        <v>1</v>
      </c>
      <c r="J91" s="711">
        <v>928</v>
      </c>
      <c r="K91" s="696">
        <v>0.50162162162162161</v>
      </c>
      <c r="L91" s="696">
        <v>928</v>
      </c>
      <c r="M91" s="711">
        <v>3</v>
      </c>
      <c r="N91" s="711">
        <v>2784</v>
      </c>
      <c r="O91" s="701">
        <v>1.5048648648648648</v>
      </c>
      <c r="P91" s="712">
        <v>928</v>
      </c>
    </row>
    <row r="92" spans="1:16" ht="14.4" customHeight="1" x14ac:dyDescent="0.3">
      <c r="A92" s="695" t="s">
        <v>3597</v>
      </c>
      <c r="B92" s="696" t="s">
        <v>3589</v>
      </c>
      <c r="C92" s="696" t="s">
        <v>3734</v>
      </c>
      <c r="D92" s="696" t="s">
        <v>3735</v>
      </c>
      <c r="E92" s="711">
        <v>46</v>
      </c>
      <c r="F92" s="711">
        <v>10166</v>
      </c>
      <c r="G92" s="696">
        <v>1</v>
      </c>
      <c r="H92" s="696">
        <v>221</v>
      </c>
      <c r="I92" s="711">
        <v>39</v>
      </c>
      <c r="J92" s="711">
        <v>8619</v>
      </c>
      <c r="K92" s="696">
        <v>0.84782608695652173</v>
      </c>
      <c r="L92" s="696">
        <v>221</v>
      </c>
      <c r="M92" s="711">
        <v>42</v>
      </c>
      <c r="N92" s="711">
        <v>9282</v>
      </c>
      <c r="O92" s="701">
        <v>0.91304347826086951</v>
      </c>
      <c r="P92" s="712">
        <v>221</v>
      </c>
    </row>
    <row r="93" spans="1:16" ht="14.4" customHeight="1" x14ac:dyDescent="0.3">
      <c r="A93" s="695" t="s">
        <v>3597</v>
      </c>
      <c r="B93" s="696" t="s">
        <v>3589</v>
      </c>
      <c r="C93" s="696" t="s">
        <v>3736</v>
      </c>
      <c r="D93" s="696" t="s">
        <v>3737</v>
      </c>
      <c r="E93" s="711">
        <v>1</v>
      </c>
      <c r="F93" s="711">
        <v>847</v>
      </c>
      <c r="G93" s="696">
        <v>1</v>
      </c>
      <c r="H93" s="696">
        <v>847</v>
      </c>
      <c r="I93" s="711"/>
      <c r="J93" s="711"/>
      <c r="K93" s="696"/>
      <c r="L93" s="696"/>
      <c r="M93" s="711">
        <v>1</v>
      </c>
      <c r="N93" s="711">
        <v>851</v>
      </c>
      <c r="O93" s="701">
        <v>1.0047225501770956</v>
      </c>
      <c r="P93" s="712">
        <v>851</v>
      </c>
    </row>
    <row r="94" spans="1:16" ht="14.4" customHeight="1" x14ac:dyDescent="0.3">
      <c r="A94" s="695" t="s">
        <v>3597</v>
      </c>
      <c r="B94" s="696" t="s">
        <v>3589</v>
      </c>
      <c r="C94" s="696" t="s">
        <v>3738</v>
      </c>
      <c r="D94" s="696" t="s">
        <v>3739</v>
      </c>
      <c r="E94" s="711">
        <v>2</v>
      </c>
      <c r="F94" s="711">
        <v>160</v>
      </c>
      <c r="G94" s="696">
        <v>1</v>
      </c>
      <c r="H94" s="696">
        <v>80</v>
      </c>
      <c r="I94" s="711">
        <v>2</v>
      </c>
      <c r="J94" s="711">
        <v>160</v>
      </c>
      <c r="K94" s="696">
        <v>1</v>
      </c>
      <c r="L94" s="696">
        <v>80</v>
      </c>
      <c r="M94" s="711">
        <v>1</v>
      </c>
      <c r="N94" s="711">
        <v>80</v>
      </c>
      <c r="O94" s="701">
        <v>0.5</v>
      </c>
      <c r="P94" s="712">
        <v>80</v>
      </c>
    </row>
    <row r="95" spans="1:16" ht="14.4" customHeight="1" x14ac:dyDescent="0.3">
      <c r="A95" s="695" t="s">
        <v>3597</v>
      </c>
      <c r="B95" s="696" t="s">
        <v>3589</v>
      </c>
      <c r="C95" s="696" t="s">
        <v>3740</v>
      </c>
      <c r="D95" s="696" t="s">
        <v>3741</v>
      </c>
      <c r="E95" s="711">
        <v>15</v>
      </c>
      <c r="F95" s="711">
        <v>2955</v>
      </c>
      <c r="G95" s="696">
        <v>1</v>
      </c>
      <c r="H95" s="696">
        <v>197</v>
      </c>
      <c r="I95" s="711">
        <v>11</v>
      </c>
      <c r="J95" s="711">
        <v>2178</v>
      </c>
      <c r="K95" s="696">
        <v>0.73705583756345172</v>
      </c>
      <c r="L95" s="696">
        <v>198</v>
      </c>
      <c r="M95" s="711">
        <v>7</v>
      </c>
      <c r="N95" s="711">
        <v>1386</v>
      </c>
      <c r="O95" s="701">
        <v>0.46903553299492384</v>
      </c>
      <c r="P95" s="712">
        <v>198</v>
      </c>
    </row>
    <row r="96" spans="1:16" ht="14.4" customHeight="1" x14ac:dyDescent="0.3">
      <c r="A96" s="695" t="s">
        <v>3597</v>
      </c>
      <c r="B96" s="696" t="s">
        <v>3589</v>
      </c>
      <c r="C96" s="696" t="s">
        <v>3742</v>
      </c>
      <c r="D96" s="696" t="s">
        <v>3743</v>
      </c>
      <c r="E96" s="711"/>
      <c r="F96" s="711"/>
      <c r="G96" s="696"/>
      <c r="H96" s="696"/>
      <c r="I96" s="711"/>
      <c r="J96" s="711"/>
      <c r="K96" s="696"/>
      <c r="L96" s="696"/>
      <c r="M96" s="711">
        <v>3</v>
      </c>
      <c r="N96" s="711">
        <v>933</v>
      </c>
      <c r="O96" s="701"/>
      <c r="P96" s="712">
        <v>311</v>
      </c>
    </row>
    <row r="97" spans="1:16" ht="14.4" customHeight="1" x14ac:dyDescent="0.3">
      <c r="A97" s="695" t="s">
        <v>3597</v>
      </c>
      <c r="B97" s="696" t="s">
        <v>3589</v>
      </c>
      <c r="C97" s="696" t="s">
        <v>3744</v>
      </c>
      <c r="D97" s="696" t="s">
        <v>3745</v>
      </c>
      <c r="E97" s="711"/>
      <c r="F97" s="711"/>
      <c r="G97" s="696"/>
      <c r="H97" s="696"/>
      <c r="I97" s="711"/>
      <c r="J97" s="711"/>
      <c r="K97" s="696"/>
      <c r="L97" s="696"/>
      <c r="M97" s="711">
        <v>1</v>
      </c>
      <c r="N97" s="711">
        <v>994</v>
      </c>
      <c r="O97" s="701"/>
      <c r="P97" s="712">
        <v>994</v>
      </c>
    </row>
    <row r="98" spans="1:16" ht="14.4" customHeight="1" x14ac:dyDescent="0.3">
      <c r="A98" s="695" t="s">
        <v>3597</v>
      </c>
      <c r="B98" s="696" t="s">
        <v>3589</v>
      </c>
      <c r="C98" s="696" t="s">
        <v>3746</v>
      </c>
      <c r="D98" s="696" t="s">
        <v>3747</v>
      </c>
      <c r="E98" s="711">
        <v>2</v>
      </c>
      <c r="F98" s="711">
        <v>222</v>
      </c>
      <c r="G98" s="696">
        <v>1</v>
      </c>
      <c r="H98" s="696">
        <v>111</v>
      </c>
      <c r="I98" s="711">
        <v>4</v>
      </c>
      <c r="J98" s="711">
        <v>448</v>
      </c>
      <c r="K98" s="696">
        <v>2.0180180180180178</v>
      </c>
      <c r="L98" s="696">
        <v>112</v>
      </c>
      <c r="M98" s="711">
        <v>4</v>
      </c>
      <c r="N98" s="711">
        <v>448</v>
      </c>
      <c r="O98" s="701">
        <v>2.0180180180180178</v>
      </c>
      <c r="P98" s="712">
        <v>112</v>
      </c>
    </row>
    <row r="99" spans="1:16" ht="14.4" customHeight="1" x14ac:dyDescent="0.3">
      <c r="A99" s="695" t="s">
        <v>3597</v>
      </c>
      <c r="B99" s="696" t="s">
        <v>3589</v>
      </c>
      <c r="C99" s="696" t="s">
        <v>3748</v>
      </c>
      <c r="D99" s="696" t="s">
        <v>3749</v>
      </c>
      <c r="E99" s="711"/>
      <c r="F99" s="711"/>
      <c r="G99" s="696"/>
      <c r="H99" s="696"/>
      <c r="I99" s="711">
        <v>1</v>
      </c>
      <c r="J99" s="711">
        <v>823</v>
      </c>
      <c r="K99" s="696"/>
      <c r="L99" s="696">
        <v>823</v>
      </c>
      <c r="M99" s="711"/>
      <c r="N99" s="711"/>
      <c r="O99" s="701"/>
      <c r="P99" s="712"/>
    </row>
    <row r="100" spans="1:16" ht="14.4" customHeight="1" x14ac:dyDescent="0.3">
      <c r="A100" s="695" t="s">
        <v>3597</v>
      </c>
      <c r="B100" s="696" t="s">
        <v>3589</v>
      </c>
      <c r="C100" s="696" t="s">
        <v>3750</v>
      </c>
      <c r="D100" s="696" t="s">
        <v>3751</v>
      </c>
      <c r="E100" s="711"/>
      <c r="F100" s="711"/>
      <c r="G100" s="696"/>
      <c r="H100" s="696"/>
      <c r="I100" s="711">
        <v>1</v>
      </c>
      <c r="J100" s="711">
        <v>170</v>
      </c>
      <c r="K100" s="696"/>
      <c r="L100" s="696">
        <v>170</v>
      </c>
      <c r="M100" s="711"/>
      <c r="N100" s="711"/>
      <c r="O100" s="701"/>
      <c r="P100" s="712"/>
    </row>
    <row r="101" spans="1:16" ht="14.4" customHeight="1" thickBot="1" x14ac:dyDescent="0.35">
      <c r="A101" s="703" t="s">
        <v>3597</v>
      </c>
      <c r="B101" s="704" t="s">
        <v>3589</v>
      </c>
      <c r="C101" s="704" t="s">
        <v>3752</v>
      </c>
      <c r="D101" s="704" t="s">
        <v>3753</v>
      </c>
      <c r="E101" s="713">
        <v>1</v>
      </c>
      <c r="F101" s="713">
        <v>74</v>
      </c>
      <c r="G101" s="704">
        <v>1</v>
      </c>
      <c r="H101" s="704">
        <v>74</v>
      </c>
      <c r="I101" s="713"/>
      <c r="J101" s="713"/>
      <c r="K101" s="704"/>
      <c r="L101" s="704"/>
      <c r="M101" s="713"/>
      <c r="N101" s="713"/>
      <c r="O101" s="709"/>
      <c r="P101" s="714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0.10937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467" t="s">
        <v>158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  <c r="N2" s="359"/>
      <c r="O2" s="227"/>
      <c r="P2" s="359"/>
      <c r="Q2" s="227"/>
      <c r="R2" s="359"/>
      <c r="S2" s="360"/>
    </row>
    <row r="3" spans="1:19" ht="14.4" customHeight="1" thickBot="1" x14ac:dyDescent="0.35">
      <c r="A3" s="353" t="s">
        <v>160</v>
      </c>
      <c r="B3" s="354">
        <f>SUBTOTAL(9,B6:B1048576)</f>
        <v>7153065</v>
      </c>
      <c r="C3" s="355">
        <f t="shared" ref="C3:R3" si="0">SUBTOTAL(9,C6:C1048576)</f>
        <v>13</v>
      </c>
      <c r="D3" s="355">
        <f t="shared" si="0"/>
        <v>7129140</v>
      </c>
      <c r="E3" s="355">
        <f t="shared" si="0"/>
        <v>34.299726581875525</v>
      </c>
      <c r="F3" s="355">
        <f t="shared" si="0"/>
        <v>7227075</v>
      </c>
      <c r="G3" s="358">
        <f>IF(B3&lt;&gt;0,F3/B3,"")</f>
        <v>1.0103466136544264</v>
      </c>
      <c r="H3" s="354">
        <f t="shared" si="0"/>
        <v>4200444.9100000048</v>
      </c>
      <c r="I3" s="355">
        <f t="shared" si="0"/>
        <v>4</v>
      </c>
      <c r="J3" s="355">
        <f t="shared" si="0"/>
        <v>3174192.9900000007</v>
      </c>
      <c r="K3" s="355">
        <f t="shared" si="0"/>
        <v>4.699068203321322</v>
      </c>
      <c r="L3" s="355">
        <f t="shared" si="0"/>
        <v>3181709.3800000013</v>
      </c>
      <c r="M3" s="356">
        <f>IF(H3&lt;&gt;0,L3/H3,"")</f>
        <v>0.75746961290345738</v>
      </c>
      <c r="N3" s="357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130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1"/>
      <c r="B5" s="752">
        <v>2012</v>
      </c>
      <c r="C5" s="753"/>
      <c r="D5" s="753">
        <v>2013</v>
      </c>
      <c r="E5" s="753"/>
      <c r="F5" s="753">
        <v>2014</v>
      </c>
      <c r="G5" s="754" t="s">
        <v>2</v>
      </c>
      <c r="H5" s="752">
        <v>2012</v>
      </c>
      <c r="I5" s="753"/>
      <c r="J5" s="753">
        <v>2013</v>
      </c>
      <c r="K5" s="753"/>
      <c r="L5" s="753">
        <v>2014</v>
      </c>
      <c r="M5" s="754" t="s">
        <v>2</v>
      </c>
      <c r="N5" s="752">
        <v>2012</v>
      </c>
      <c r="O5" s="753"/>
      <c r="P5" s="753">
        <v>2013</v>
      </c>
      <c r="Q5" s="753"/>
      <c r="R5" s="753">
        <v>2014</v>
      </c>
      <c r="S5" s="754" t="s">
        <v>2</v>
      </c>
    </row>
    <row r="6" spans="1:19" ht="14.4" customHeight="1" x14ac:dyDescent="0.3">
      <c r="A6" s="656" t="s">
        <v>3755</v>
      </c>
      <c r="B6" s="755"/>
      <c r="C6" s="625"/>
      <c r="D6" s="755">
        <v>464</v>
      </c>
      <c r="E6" s="625"/>
      <c r="F6" s="755">
        <v>573</v>
      </c>
      <c r="G6" s="646"/>
      <c r="H6" s="755"/>
      <c r="I6" s="625"/>
      <c r="J6" s="755"/>
      <c r="K6" s="625"/>
      <c r="L6" s="755"/>
      <c r="M6" s="646"/>
      <c r="N6" s="755"/>
      <c r="O6" s="625"/>
      <c r="P6" s="755"/>
      <c r="Q6" s="625"/>
      <c r="R6" s="755"/>
      <c r="S6" s="678"/>
    </row>
    <row r="7" spans="1:19" ht="14.4" customHeight="1" x14ac:dyDescent="0.3">
      <c r="A7" s="718" t="s">
        <v>3756</v>
      </c>
      <c r="B7" s="756"/>
      <c r="C7" s="696"/>
      <c r="D7" s="756">
        <v>812</v>
      </c>
      <c r="E7" s="696"/>
      <c r="F7" s="756"/>
      <c r="G7" s="701"/>
      <c r="H7" s="756"/>
      <c r="I7" s="696"/>
      <c r="J7" s="756"/>
      <c r="K7" s="696"/>
      <c r="L7" s="756"/>
      <c r="M7" s="701"/>
      <c r="N7" s="756"/>
      <c r="O7" s="696"/>
      <c r="P7" s="756"/>
      <c r="Q7" s="696"/>
      <c r="R7" s="756"/>
      <c r="S7" s="702"/>
    </row>
    <row r="8" spans="1:19" ht="14.4" customHeight="1" x14ac:dyDescent="0.3">
      <c r="A8" s="718" t="s">
        <v>3757</v>
      </c>
      <c r="B8" s="756">
        <v>404</v>
      </c>
      <c r="C8" s="696">
        <v>1</v>
      </c>
      <c r="D8" s="756">
        <v>116</v>
      </c>
      <c r="E8" s="696">
        <v>0.28712871287128711</v>
      </c>
      <c r="F8" s="756">
        <v>696</v>
      </c>
      <c r="G8" s="701">
        <v>1.7227722772277227</v>
      </c>
      <c r="H8" s="756"/>
      <c r="I8" s="696"/>
      <c r="J8" s="756"/>
      <c r="K8" s="696"/>
      <c r="L8" s="756"/>
      <c r="M8" s="701"/>
      <c r="N8" s="756"/>
      <c r="O8" s="696"/>
      <c r="P8" s="756"/>
      <c r="Q8" s="696"/>
      <c r="R8" s="756"/>
      <c r="S8" s="702"/>
    </row>
    <row r="9" spans="1:19" ht="14.4" customHeight="1" x14ac:dyDescent="0.3">
      <c r="A9" s="718" t="s">
        <v>3758</v>
      </c>
      <c r="B9" s="756">
        <v>125</v>
      </c>
      <c r="C9" s="696">
        <v>1</v>
      </c>
      <c r="D9" s="756">
        <v>588</v>
      </c>
      <c r="E9" s="696">
        <v>4.7039999999999997</v>
      </c>
      <c r="F9" s="756">
        <v>232</v>
      </c>
      <c r="G9" s="701">
        <v>1.8560000000000001</v>
      </c>
      <c r="H9" s="756"/>
      <c r="I9" s="696"/>
      <c r="J9" s="756">
        <v>75</v>
      </c>
      <c r="K9" s="696"/>
      <c r="L9" s="756"/>
      <c r="M9" s="701"/>
      <c r="N9" s="756"/>
      <c r="O9" s="696"/>
      <c r="P9" s="756"/>
      <c r="Q9" s="696"/>
      <c r="R9" s="756"/>
      <c r="S9" s="702"/>
    </row>
    <row r="10" spans="1:19" ht="14.4" customHeight="1" x14ac:dyDescent="0.3">
      <c r="A10" s="718" t="s">
        <v>3759</v>
      </c>
      <c r="B10" s="756">
        <v>2940</v>
      </c>
      <c r="C10" s="696">
        <v>1</v>
      </c>
      <c r="D10" s="756">
        <v>232</v>
      </c>
      <c r="E10" s="696">
        <v>7.8911564625850333E-2</v>
      </c>
      <c r="F10" s="756">
        <v>348</v>
      </c>
      <c r="G10" s="701">
        <v>0.11836734693877551</v>
      </c>
      <c r="H10" s="756"/>
      <c r="I10" s="696"/>
      <c r="J10" s="756"/>
      <c r="K10" s="696"/>
      <c r="L10" s="756"/>
      <c r="M10" s="701"/>
      <c r="N10" s="756"/>
      <c r="O10" s="696"/>
      <c r="P10" s="756"/>
      <c r="Q10" s="696"/>
      <c r="R10" s="756"/>
      <c r="S10" s="702"/>
    </row>
    <row r="11" spans="1:19" ht="14.4" customHeight="1" x14ac:dyDescent="0.3">
      <c r="A11" s="718" t="s">
        <v>3760</v>
      </c>
      <c r="B11" s="756">
        <v>34</v>
      </c>
      <c r="C11" s="696">
        <v>1</v>
      </c>
      <c r="D11" s="756">
        <v>696</v>
      </c>
      <c r="E11" s="696">
        <v>20.470588235294116</v>
      </c>
      <c r="F11" s="756">
        <v>3097</v>
      </c>
      <c r="G11" s="701">
        <v>91.088235294117652</v>
      </c>
      <c r="H11" s="756"/>
      <c r="I11" s="696"/>
      <c r="J11" s="756"/>
      <c r="K11" s="696"/>
      <c r="L11" s="756"/>
      <c r="M11" s="701"/>
      <c r="N11" s="756"/>
      <c r="O11" s="696"/>
      <c r="P11" s="756"/>
      <c r="Q11" s="696"/>
      <c r="R11" s="756"/>
      <c r="S11" s="702"/>
    </row>
    <row r="12" spans="1:19" ht="14.4" customHeight="1" x14ac:dyDescent="0.3">
      <c r="A12" s="718" t="s">
        <v>3761</v>
      </c>
      <c r="B12" s="756"/>
      <c r="C12" s="696"/>
      <c r="D12" s="756"/>
      <c r="E12" s="696"/>
      <c r="F12" s="756">
        <v>116</v>
      </c>
      <c r="G12" s="701"/>
      <c r="H12" s="756"/>
      <c r="I12" s="696"/>
      <c r="J12" s="756"/>
      <c r="K12" s="696"/>
      <c r="L12" s="756"/>
      <c r="M12" s="701"/>
      <c r="N12" s="756"/>
      <c r="O12" s="696"/>
      <c r="P12" s="756"/>
      <c r="Q12" s="696"/>
      <c r="R12" s="756"/>
      <c r="S12" s="702"/>
    </row>
    <row r="13" spans="1:19" ht="14.4" customHeight="1" x14ac:dyDescent="0.3">
      <c r="A13" s="718" t="s">
        <v>3762</v>
      </c>
      <c r="B13" s="756">
        <v>4867</v>
      </c>
      <c r="C13" s="696">
        <v>1</v>
      </c>
      <c r="D13" s="756">
        <v>10113</v>
      </c>
      <c r="E13" s="696">
        <v>2.0778713786726937</v>
      </c>
      <c r="F13" s="756">
        <v>3144</v>
      </c>
      <c r="G13" s="701">
        <v>0.64598315183891519</v>
      </c>
      <c r="H13" s="756">
        <v>731</v>
      </c>
      <c r="I13" s="696">
        <v>1</v>
      </c>
      <c r="J13" s="756">
        <v>2883</v>
      </c>
      <c r="K13" s="696">
        <v>3.9439124487004102</v>
      </c>
      <c r="L13" s="756"/>
      <c r="M13" s="701"/>
      <c r="N13" s="756"/>
      <c r="O13" s="696"/>
      <c r="P13" s="756"/>
      <c r="Q13" s="696"/>
      <c r="R13" s="756"/>
      <c r="S13" s="702"/>
    </row>
    <row r="14" spans="1:19" ht="14.4" customHeight="1" x14ac:dyDescent="0.3">
      <c r="A14" s="718" t="s">
        <v>3763</v>
      </c>
      <c r="B14" s="756"/>
      <c r="C14" s="696"/>
      <c r="D14" s="756">
        <v>232</v>
      </c>
      <c r="E14" s="696"/>
      <c r="F14" s="756"/>
      <c r="G14" s="701"/>
      <c r="H14" s="756"/>
      <c r="I14" s="696"/>
      <c r="J14" s="756"/>
      <c r="K14" s="696"/>
      <c r="L14" s="756"/>
      <c r="M14" s="701"/>
      <c r="N14" s="756"/>
      <c r="O14" s="696"/>
      <c r="P14" s="756"/>
      <c r="Q14" s="696"/>
      <c r="R14" s="756"/>
      <c r="S14" s="702"/>
    </row>
    <row r="15" spans="1:19" ht="14.4" customHeight="1" x14ac:dyDescent="0.3">
      <c r="A15" s="718" t="s">
        <v>3764</v>
      </c>
      <c r="B15" s="756"/>
      <c r="C15" s="696"/>
      <c r="D15" s="756"/>
      <c r="E15" s="696"/>
      <c r="F15" s="756">
        <v>116</v>
      </c>
      <c r="G15" s="701"/>
      <c r="H15" s="756"/>
      <c r="I15" s="696"/>
      <c r="J15" s="756"/>
      <c r="K15" s="696"/>
      <c r="L15" s="756"/>
      <c r="M15" s="701"/>
      <c r="N15" s="756"/>
      <c r="O15" s="696"/>
      <c r="P15" s="756"/>
      <c r="Q15" s="696"/>
      <c r="R15" s="756"/>
      <c r="S15" s="702"/>
    </row>
    <row r="16" spans="1:19" ht="14.4" customHeight="1" x14ac:dyDescent="0.3">
      <c r="A16" s="718" t="s">
        <v>3765</v>
      </c>
      <c r="B16" s="756">
        <v>125</v>
      </c>
      <c r="C16" s="696">
        <v>1</v>
      </c>
      <c r="D16" s="756"/>
      <c r="E16" s="696"/>
      <c r="F16" s="756">
        <v>116</v>
      </c>
      <c r="G16" s="701">
        <v>0.92800000000000005</v>
      </c>
      <c r="H16" s="756"/>
      <c r="I16" s="696"/>
      <c r="J16" s="756"/>
      <c r="K16" s="696"/>
      <c r="L16" s="756"/>
      <c r="M16" s="701"/>
      <c r="N16" s="756"/>
      <c r="O16" s="696"/>
      <c r="P16" s="756"/>
      <c r="Q16" s="696"/>
      <c r="R16" s="756"/>
      <c r="S16" s="702"/>
    </row>
    <row r="17" spans="1:19" ht="14.4" customHeight="1" x14ac:dyDescent="0.3">
      <c r="A17" s="718" t="s">
        <v>3766</v>
      </c>
      <c r="B17" s="756"/>
      <c r="C17" s="696"/>
      <c r="D17" s="756"/>
      <c r="E17" s="696"/>
      <c r="F17" s="756">
        <v>116</v>
      </c>
      <c r="G17" s="701"/>
      <c r="H17" s="756"/>
      <c r="I17" s="696"/>
      <c r="J17" s="756"/>
      <c r="K17" s="696"/>
      <c r="L17" s="756"/>
      <c r="M17" s="701"/>
      <c r="N17" s="756"/>
      <c r="O17" s="696"/>
      <c r="P17" s="756"/>
      <c r="Q17" s="696"/>
      <c r="R17" s="756"/>
      <c r="S17" s="702"/>
    </row>
    <row r="18" spans="1:19" ht="14.4" customHeight="1" x14ac:dyDescent="0.3">
      <c r="A18" s="718" t="s">
        <v>3767</v>
      </c>
      <c r="B18" s="756">
        <v>499</v>
      </c>
      <c r="C18" s="696">
        <v>1</v>
      </c>
      <c r="D18" s="756"/>
      <c r="E18" s="696"/>
      <c r="F18" s="756">
        <v>116</v>
      </c>
      <c r="G18" s="701">
        <v>0.23246492985971945</v>
      </c>
      <c r="H18" s="756"/>
      <c r="I18" s="696"/>
      <c r="J18" s="756"/>
      <c r="K18" s="696"/>
      <c r="L18" s="756"/>
      <c r="M18" s="701"/>
      <c r="N18" s="756"/>
      <c r="O18" s="696"/>
      <c r="P18" s="756"/>
      <c r="Q18" s="696"/>
      <c r="R18" s="756"/>
      <c r="S18" s="702"/>
    </row>
    <row r="19" spans="1:19" ht="14.4" customHeight="1" x14ac:dyDescent="0.3">
      <c r="A19" s="718" t="s">
        <v>3768</v>
      </c>
      <c r="B19" s="756">
        <v>750</v>
      </c>
      <c r="C19" s="696">
        <v>1</v>
      </c>
      <c r="D19" s="756">
        <v>1223</v>
      </c>
      <c r="E19" s="696">
        <v>1.6306666666666667</v>
      </c>
      <c r="F19" s="756">
        <v>730</v>
      </c>
      <c r="G19" s="701">
        <v>0.97333333333333338</v>
      </c>
      <c r="H19" s="756"/>
      <c r="I19" s="696"/>
      <c r="J19" s="756"/>
      <c r="K19" s="696"/>
      <c r="L19" s="756"/>
      <c r="M19" s="701"/>
      <c r="N19" s="756"/>
      <c r="O19" s="696"/>
      <c r="P19" s="756"/>
      <c r="Q19" s="696"/>
      <c r="R19" s="756"/>
      <c r="S19" s="702"/>
    </row>
    <row r="20" spans="1:19" ht="14.4" customHeight="1" x14ac:dyDescent="0.3">
      <c r="A20" s="718" t="s">
        <v>3769</v>
      </c>
      <c r="B20" s="756"/>
      <c r="C20" s="696"/>
      <c r="D20" s="756">
        <v>116</v>
      </c>
      <c r="E20" s="696"/>
      <c r="F20" s="756"/>
      <c r="G20" s="701"/>
      <c r="H20" s="756"/>
      <c r="I20" s="696"/>
      <c r="J20" s="756"/>
      <c r="K20" s="696"/>
      <c r="L20" s="756"/>
      <c r="M20" s="701"/>
      <c r="N20" s="756"/>
      <c r="O20" s="696"/>
      <c r="P20" s="756"/>
      <c r="Q20" s="696"/>
      <c r="R20" s="756"/>
      <c r="S20" s="702"/>
    </row>
    <row r="21" spans="1:19" ht="14.4" customHeight="1" x14ac:dyDescent="0.3">
      <c r="A21" s="718" t="s">
        <v>3770</v>
      </c>
      <c r="B21" s="756">
        <v>434</v>
      </c>
      <c r="C21" s="696">
        <v>1</v>
      </c>
      <c r="D21" s="756"/>
      <c r="E21" s="696"/>
      <c r="F21" s="756">
        <v>348</v>
      </c>
      <c r="G21" s="701">
        <v>0.8018433179723502</v>
      </c>
      <c r="H21" s="756">
        <v>75</v>
      </c>
      <c r="I21" s="696">
        <v>1</v>
      </c>
      <c r="J21" s="756"/>
      <c r="K21" s="696"/>
      <c r="L21" s="756"/>
      <c r="M21" s="701"/>
      <c r="N21" s="756"/>
      <c r="O21" s="696"/>
      <c r="P21" s="756"/>
      <c r="Q21" s="696"/>
      <c r="R21" s="756"/>
      <c r="S21" s="702"/>
    </row>
    <row r="22" spans="1:19" ht="14.4" customHeight="1" x14ac:dyDescent="0.3">
      <c r="A22" s="718" t="s">
        <v>3771</v>
      </c>
      <c r="B22" s="756">
        <v>1125</v>
      </c>
      <c r="C22" s="696">
        <v>1</v>
      </c>
      <c r="D22" s="756">
        <v>1890</v>
      </c>
      <c r="E22" s="696">
        <v>1.68</v>
      </c>
      <c r="F22" s="756">
        <v>1030</v>
      </c>
      <c r="G22" s="701">
        <v>0.91555555555555557</v>
      </c>
      <c r="H22" s="756"/>
      <c r="I22" s="696"/>
      <c r="J22" s="756"/>
      <c r="K22" s="696"/>
      <c r="L22" s="756"/>
      <c r="M22" s="701"/>
      <c r="N22" s="756"/>
      <c r="O22" s="696"/>
      <c r="P22" s="756"/>
      <c r="Q22" s="696"/>
      <c r="R22" s="756"/>
      <c r="S22" s="702"/>
    </row>
    <row r="23" spans="1:19" ht="14.4" customHeight="1" x14ac:dyDescent="0.3">
      <c r="A23" s="718" t="s">
        <v>3772</v>
      </c>
      <c r="B23" s="756">
        <v>3660</v>
      </c>
      <c r="C23" s="696">
        <v>1</v>
      </c>
      <c r="D23" s="756">
        <v>3576</v>
      </c>
      <c r="E23" s="696">
        <v>0.9770491803278688</v>
      </c>
      <c r="F23" s="756">
        <v>3286</v>
      </c>
      <c r="G23" s="701">
        <v>0.8978142076502732</v>
      </c>
      <c r="H23" s="756">
        <v>194</v>
      </c>
      <c r="I23" s="696">
        <v>1</v>
      </c>
      <c r="J23" s="756"/>
      <c r="K23" s="696"/>
      <c r="L23" s="756"/>
      <c r="M23" s="701"/>
      <c r="N23" s="756"/>
      <c r="O23" s="696"/>
      <c r="P23" s="756"/>
      <c r="Q23" s="696"/>
      <c r="R23" s="756"/>
      <c r="S23" s="702"/>
    </row>
    <row r="24" spans="1:19" ht="14.4" customHeight="1" x14ac:dyDescent="0.3">
      <c r="A24" s="718" t="s">
        <v>3773</v>
      </c>
      <c r="B24" s="756">
        <v>7137853</v>
      </c>
      <c r="C24" s="696">
        <v>1</v>
      </c>
      <c r="D24" s="756">
        <v>7108734</v>
      </c>
      <c r="E24" s="696">
        <v>0.99592048197125937</v>
      </c>
      <c r="F24" s="756">
        <v>7211967</v>
      </c>
      <c r="G24" s="701">
        <v>1.0103832342862762</v>
      </c>
      <c r="H24" s="756">
        <v>4199444.9100000048</v>
      </c>
      <c r="I24" s="696">
        <v>1</v>
      </c>
      <c r="J24" s="756">
        <v>3171234.9900000007</v>
      </c>
      <c r="K24" s="696">
        <v>0.75515575462091178</v>
      </c>
      <c r="L24" s="756">
        <v>3181709.3800000013</v>
      </c>
      <c r="M24" s="701">
        <v>0.75764998665025884</v>
      </c>
      <c r="N24" s="756"/>
      <c r="O24" s="696"/>
      <c r="P24" s="756"/>
      <c r="Q24" s="696"/>
      <c r="R24" s="756"/>
      <c r="S24" s="702"/>
    </row>
    <row r="25" spans="1:19" ht="14.4" customHeight="1" thickBot="1" x14ac:dyDescent="0.35">
      <c r="A25" s="758" t="s">
        <v>3774</v>
      </c>
      <c r="B25" s="757">
        <v>249</v>
      </c>
      <c r="C25" s="704">
        <v>1</v>
      </c>
      <c r="D25" s="757">
        <v>348</v>
      </c>
      <c r="E25" s="704">
        <v>1.3975903614457832</v>
      </c>
      <c r="F25" s="757">
        <v>1044</v>
      </c>
      <c r="G25" s="709">
        <v>4.1927710843373491</v>
      </c>
      <c r="H25" s="757"/>
      <c r="I25" s="704"/>
      <c r="J25" s="757"/>
      <c r="K25" s="704"/>
      <c r="L25" s="757"/>
      <c r="M25" s="709"/>
      <c r="N25" s="757"/>
      <c r="O25" s="704"/>
      <c r="P25" s="757"/>
      <c r="Q25" s="704"/>
      <c r="R25" s="757"/>
      <c r="S25" s="71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90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58" t="s">
        <v>4824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58"/>
      <c r="C2" s="258"/>
      <c r="D2" s="258"/>
      <c r="E2" s="258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2"/>
      <c r="Q2" s="361"/>
    </row>
    <row r="3" spans="1:17" ht="14.4" customHeight="1" thickBot="1" x14ac:dyDescent="0.35">
      <c r="E3" s="112" t="s">
        <v>160</v>
      </c>
      <c r="F3" s="214">
        <f t="shared" ref="F3:O3" si="0">SUBTOTAL(9,F6:F1048576)</f>
        <v>9563.0000000000018</v>
      </c>
      <c r="G3" s="215">
        <f t="shared" si="0"/>
        <v>11353509.909999998</v>
      </c>
      <c r="H3" s="215"/>
      <c r="I3" s="215"/>
      <c r="J3" s="215">
        <f t="shared" si="0"/>
        <v>9386.02</v>
      </c>
      <c r="K3" s="215">
        <f t="shared" si="0"/>
        <v>10303332.990000002</v>
      </c>
      <c r="L3" s="215"/>
      <c r="M3" s="215"/>
      <c r="N3" s="215">
        <f t="shared" si="0"/>
        <v>7710.4000000000015</v>
      </c>
      <c r="O3" s="215">
        <f t="shared" si="0"/>
        <v>10408784.380000003</v>
      </c>
      <c r="P3" s="79">
        <f>IF(G3=0,0,O3/G3)</f>
        <v>0.91679000260810128</v>
      </c>
      <c r="Q3" s="216">
        <f>IF(N3=0,0,O3/N3)</f>
        <v>1349.9668473749741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121</v>
      </c>
      <c r="E4" s="534" t="s">
        <v>81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2"/>
      <c r="B5" s="761"/>
      <c r="C5" s="762"/>
      <c r="D5" s="763"/>
      <c r="E5" s="764"/>
      <c r="F5" s="770" t="s">
        <v>91</v>
      </c>
      <c r="G5" s="771" t="s">
        <v>14</v>
      </c>
      <c r="H5" s="772"/>
      <c r="I5" s="772"/>
      <c r="J5" s="770" t="s">
        <v>91</v>
      </c>
      <c r="K5" s="771" t="s">
        <v>14</v>
      </c>
      <c r="L5" s="772"/>
      <c r="M5" s="772"/>
      <c r="N5" s="770" t="s">
        <v>91</v>
      </c>
      <c r="O5" s="771" t="s">
        <v>14</v>
      </c>
      <c r="P5" s="773"/>
      <c r="Q5" s="769"/>
    </row>
    <row r="6" spans="1:17" ht="14.4" customHeight="1" x14ac:dyDescent="0.3">
      <c r="A6" s="624" t="s">
        <v>3775</v>
      </c>
      <c r="B6" s="625" t="s">
        <v>3597</v>
      </c>
      <c r="C6" s="625" t="s">
        <v>3589</v>
      </c>
      <c r="D6" s="625" t="s">
        <v>3651</v>
      </c>
      <c r="E6" s="625" t="s">
        <v>3652</v>
      </c>
      <c r="F6" s="628"/>
      <c r="G6" s="628"/>
      <c r="H6" s="628"/>
      <c r="I6" s="628"/>
      <c r="J6" s="628">
        <v>2</v>
      </c>
      <c r="K6" s="628">
        <v>232</v>
      </c>
      <c r="L6" s="628"/>
      <c r="M6" s="628">
        <v>116</v>
      </c>
      <c r="N6" s="628"/>
      <c r="O6" s="628"/>
      <c r="P6" s="646"/>
      <c r="Q6" s="629"/>
    </row>
    <row r="7" spans="1:17" ht="14.4" customHeight="1" x14ac:dyDescent="0.3">
      <c r="A7" s="695" t="s">
        <v>3775</v>
      </c>
      <c r="B7" s="696" t="s">
        <v>3597</v>
      </c>
      <c r="C7" s="696" t="s">
        <v>3589</v>
      </c>
      <c r="D7" s="696" t="s">
        <v>3662</v>
      </c>
      <c r="E7" s="696" t="s">
        <v>3663</v>
      </c>
      <c r="F7" s="711"/>
      <c r="G7" s="711"/>
      <c r="H7" s="711"/>
      <c r="I7" s="711"/>
      <c r="J7" s="711">
        <v>2</v>
      </c>
      <c r="K7" s="711">
        <v>232</v>
      </c>
      <c r="L7" s="711"/>
      <c r="M7" s="711">
        <v>116</v>
      </c>
      <c r="N7" s="711">
        <v>4</v>
      </c>
      <c r="O7" s="711">
        <v>464</v>
      </c>
      <c r="P7" s="701"/>
      <c r="Q7" s="712">
        <v>116</v>
      </c>
    </row>
    <row r="8" spans="1:17" ht="14.4" customHeight="1" x14ac:dyDescent="0.3">
      <c r="A8" s="695" t="s">
        <v>3775</v>
      </c>
      <c r="B8" s="696" t="s">
        <v>3597</v>
      </c>
      <c r="C8" s="696" t="s">
        <v>3589</v>
      </c>
      <c r="D8" s="696" t="s">
        <v>3726</v>
      </c>
      <c r="E8" s="696" t="s">
        <v>3727</v>
      </c>
      <c r="F8" s="711"/>
      <c r="G8" s="711"/>
      <c r="H8" s="711"/>
      <c r="I8" s="711"/>
      <c r="J8" s="711"/>
      <c r="K8" s="711"/>
      <c r="L8" s="711"/>
      <c r="M8" s="711"/>
      <c r="N8" s="711">
        <v>1</v>
      </c>
      <c r="O8" s="711">
        <v>109</v>
      </c>
      <c r="P8" s="701"/>
      <c r="Q8" s="712">
        <v>109</v>
      </c>
    </row>
    <row r="9" spans="1:17" ht="14.4" customHeight="1" x14ac:dyDescent="0.3">
      <c r="A9" s="695" t="s">
        <v>3776</v>
      </c>
      <c r="B9" s="696" t="s">
        <v>3597</v>
      </c>
      <c r="C9" s="696" t="s">
        <v>3589</v>
      </c>
      <c r="D9" s="696" t="s">
        <v>3590</v>
      </c>
      <c r="E9" s="696" t="s">
        <v>3591</v>
      </c>
      <c r="F9" s="711"/>
      <c r="G9" s="711"/>
      <c r="H9" s="711"/>
      <c r="I9" s="711"/>
      <c r="J9" s="711">
        <v>2</v>
      </c>
      <c r="K9" s="711">
        <v>464</v>
      </c>
      <c r="L9" s="711"/>
      <c r="M9" s="711">
        <v>232</v>
      </c>
      <c r="N9" s="711"/>
      <c r="O9" s="711"/>
      <c r="P9" s="701"/>
      <c r="Q9" s="712"/>
    </row>
    <row r="10" spans="1:17" ht="14.4" customHeight="1" x14ac:dyDescent="0.3">
      <c r="A10" s="695" t="s">
        <v>3776</v>
      </c>
      <c r="B10" s="696" t="s">
        <v>3597</v>
      </c>
      <c r="C10" s="696" t="s">
        <v>3589</v>
      </c>
      <c r="D10" s="696" t="s">
        <v>3651</v>
      </c>
      <c r="E10" s="696" t="s">
        <v>3652</v>
      </c>
      <c r="F10" s="711"/>
      <c r="G10" s="711"/>
      <c r="H10" s="711"/>
      <c r="I10" s="711"/>
      <c r="J10" s="711">
        <v>3</v>
      </c>
      <c r="K10" s="711">
        <v>348</v>
      </c>
      <c r="L10" s="711"/>
      <c r="M10" s="711">
        <v>116</v>
      </c>
      <c r="N10" s="711"/>
      <c r="O10" s="711"/>
      <c r="P10" s="701"/>
      <c r="Q10" s="712"/>
    </row>
    <row r="11" spans="1:17" ht="14.4" customHeight="1" x14ac:dyDescent="0.3">
      <c r="A11" s="695" t="s">
        <v>3777</v>
      </c>
      <c r="B11" s="696" t="s">
        <v>3597</v>
      </c>
      <c r="C11" s="696" t="s">
        <v>3589</v>
      </c>
      <c r="D11" s="696" t="s">
        <v>3651</v>
      </c>
      <c r="E11" s="696" t="s">
        <v>3652</v>
      </c>
      <c r="F11" s="711">
        <v>2</v>
      </c>
      <c r="G11" s="711">
        <v>250</v>
      </c>
      <c r="H11" s="711">
        <v>1</v>
      </c>
      <c r="I11" s="711">
        <v>125</v>
      </c>
      <c r="J11" s="711">
        <v>1</v>
      </c>
      <c r="K11" s="711">
        <v>116</v>
      </c>
      <c r="L11" s="711">
        <v>0.46400000000000002</v>
      </c>
      <c r="M11" s="711">
        <v>116</v>
      </c>
      <c r="N11" s="711"/>
      <c r="O11" s="711"/>
      <c r="P11" s="701"/>
      <c r="Q11" s="712"/>
    </row>
    <row r="12" spans="1:17" ht="14.4" customHeight="1" x14ac:dyDescent="0.3">
      <c r="A12" s="695" t="s">
        <v>3777</v>
      </c>
      <c r="B12" s="696" t="s">
        <v>3597</v>
      </c>
      <c r="C12" s="696" t="s">
        <v>3589</v>
      </c>
      <c r="D12" s="696" t="s">
        <v>3662</v>
      </c>
      <c r="E12" s="696" t="s">
        <v>3663</v>
      </c>
      <c r="F12" s="711"/>
      <c r="G12" s="711"/>
      <c r="H12" s="711"/>
      <c r="I12" s="711"/>
      <c r="J12" s="711"/>
      <c r="K12" s="711"/>
      <c r="L12" s="711"/>
      <c r="M12" s="711"/>
      <c r="N12" s="711">
        <v>4</v>
      </c>
      <c r="O12" s="711">
        <v>464</v>
      </c>
      <c r="P12" s="701"/>
      <c r="Q12" s="712">
        <v>116</v>
      </c>
    </row>
    <row r="13" spans="1:17" ht="14.4" customHeight="1" x14ac:dyDescent="0.3">
      <c r="A13" s="695" t="s">
        <v>3777</v>
      </c>
      <c r="B13" s="696" t="s">
        <v>3597</v>
      </c>
      <c r="C13" s="696" t="s">
        <v>3589</v>
      </c>
      <c r="D13" s="696" t="s">
        <v>3684</v>
      </c>
      <c r="E13" s="696" t="s">
        <v>3685</v>
      </c>
      <c r="F13" s="711">
        <v>1</v>
      </c>
      <c r="G13" s="711">
        <v>154</v>
      </c>
      <c r="H13" s="711">
        <v>1</v>
      </c>
      <c r="I13" s="711">
        <v>154</v>
      </c>
      <c r="J13" s="711"/>
      <c r="K13" s="711"/>
      <c r="L13" s="711"/>
      <c r="M13" s="711"/>
      <c r="N13" s="711"/>
      <c r="O13" s="711"/>
      <c r="P13" s="701"/>
      <c r="Q13" s="712"/>
    </row>
    <row r="14" spans="1:17" ht="14.4" customHeight="1" x14ac:dyDescent="0.3">
      <c r="A14" s="695" t="s">
        <v>3777</v>
      </c>
      <c r="B14" s="696" t="s">
        <v>3597</v>
      </c>
      <c r="C14" s="696" t="s">
        <v>3589</v>
      </c>
      <c r="D14" s="696" t="s">
        <v>3706</v>
      </c>
      <c r="E14" s="696" t="s">
        <v>3707</v>
      </c>
      <c r="F14" s="711"/>
      <c r="G14" s="711"/>
      <c r="H14" s="711"/>
      <c r="I14" s="711"/>
      <c r="J14" s="711"/>
      <c r="K14" s="711"/>
      <c r="L14" s="711"/>
      <c r="M14" s="711"/>
      <c r="N14" s="711">
        <v>1</v>
      </c>
      <c r="O14" s="711">
        <v>232</v>
      </c>
      <c r="P14" s="701"/>
      <c r="Q14" s="712">
        <v>232</v>
      </c>
    </row>
    <row r="15" spans="1:17" ht="14.4" customHeight="1" x14ac:dyDescent="0.3">
      <c r="A15" s="695" t="s">
        <v>3778</v>
      </c>
      <c r="B15" s="696" t="s">
        <v>3597</v>
      </c>
      <c r="C15" s="696" t="s">
        <v>3620</v>
      </c>
      <c r="D15" s="696" t="s">
        <v>3623</v>
      </c>
      <c r="E15" s="696" t="s">
        <v>3584</v>
      </c>
      <c r="F15" s="711"/>
      <c r="G15" s="711"/>
      <c r="H15" s="711"/>
      <c r="I15" s="711"/>
      <c r="J15" s="711">
        <v>1</v>
      </c>
      <c r="K15" s="711">
        <v>75</v>
      </c>
      <c r="L15" s="711"/>
      <c r="M15" s="711">
        <v>75</v>
      </c>
      <c r="N15" s="711"/>
      <c r="O15" s="711"/>
      <c r="P15" s="701"/>
      <c r="Q15" s="712"/>
    </row>
    <row r="16" spans="1:17" ht="14.4" customHeight="1" x14ac:dyDescent="0.3">
      <c r="A16" s="695" t="s">
        <v>3778</v>
      </c>
      <c r="B16" s="696" t="s">
        <v>3597</v>
      </c>
      <c r="C16" s="696" t="s">
        <v>3589</v>
      </c>
      <c r="D16" s="696" t="s">
        <v>3651</v>
      </c>
      <c r="E16" s="696" t="s">
        <v>3652</v>
      </c>
      <c r="F16" s="711">
        <v>1</v>
      </c>
      <c r="G16" s="711">
        <v>125</v>
      </c>
      <c r="H16" s="711">
        <v>1</v>
      </c>
      <c r="I16" s="711">
        <v>125</v>
      </c>
      <c r="J16" s="711">
        <v>4</v>
      </c>
      <c r="K16" s="711">
        <v>464</v>
      </c>
      <c r="L16" s="711">
        <v>3.7120000000000002</v>
      </c>
      <c r="M16" s="711">
        <v>116</v>
      </c>
      <c r="N16" s="711"/>
      <c r="O16" s="711"/>
      <c r="P16" s="701"/>
      <c r="Q16" s="712"/>
    </row>
    <row r="17" spans="1:17" ht="14.4" customHeight="1" x14ac:dyDescent="0.3">
      <c r="A17" s="695" t="s">
        <v>3778</v>
      </c>
      <c r="B17" s="696" t="s">
        <v>3597</v>
      </c>
      <c r="C17" s="696" t="s">
        <v>3589</v>
      </c>
      <c r="D17" s="696" t="s">
        <v>3654</v>
      </c>
      <c r="E17" s="696" t="s">
        <v>3655</v>
      </c>
      <c r="F17" s="711"/>
      <c r="G17" s="711"/>
      <c r="H17" s="711"/>
      <c r="I17" s="711"/>
      <c r="J17" s="711">
        <v>1</v>
      </c>
      <c r="K17" s="711">
        <v>124</v>
      </c>
      <c r="L17" s="711"/>
      <c r="M17" s="711">
        <v>124</v>
      </c>
      <c r="N17" s="711"/>
      <c r="O17" s="711"/>
      <c r="P17" s="701"/>
      <c r="Q17" s="712"/>
    </row>
    <row r="18" spans="1:17" ht="14.4" customHeight="1" x14ac:dyDescent="0.3">
      <c r="A18" s="695" t="s">
        <v>3778</v>
      </c>
      <c r="B18" s="696" t="s">
        <v>3597</v>
      </c>
      <c r="C18" s="696" t="s">
        <v>3589</v>
      </c>
      <c r="D18" s="696" t="s">
        <v>3662</v>
      </c>
      <c r="E18" s="696" t="s">
        <v>3663</v>
      </c>
      <c r="F18" s="711"/>
      <c r="G18" s="711"/>
      <c r="H18" s="711"/>
      <c r="I18" s="711"/>
      <c r="J18" s="711"/>
      <c r="K18" s="711"/>
      <c r="L18" s="711"/>
      <c r="M18" s="711"/>
      <c r="N18" s="711">
        <v>2</v>
      </c>
      <c r="O18" s="711">
        <v>232</v>
      </c>
      <c r="P18" s="701"/>
      <c r="Q18" s="712">
        <v>116</v>
      </c>
    </row>
    <row r="19" spans="1:17" ht="14.4" customHeight="1" x14ac:dyDescent="0.3">
      <c r="A19" s="695" t="s">
        <v>3778</v>
      </c>
      <c r="B19" s="696" t="s">
        <v>3597</v>
      </c>
      <c r="C19" s="696" t="s">
        <v>3589</v>
      </c>
      <c r="D19" s="696" t="s">
        <v>3688</v>
      </c>
      <c r="E19" s="696" t="s">
        <v>3689</v>
      </c>
      <c r="F19" s="711">
        <v>1</v>
      </c>
      <c r="G19" s="711">
        <v>0</v>
      </c>
      <c r="H19" s="711"/>
      <c r="I19" s="711">
        <v>0</v>
      </c>
      <c r="J19" s="711">
        <v>1</v>
      </c>
      <c r="K19" s="711">
        <v>0</v>
      </c>
      <c r="L19" s="711"/>
      <c r="M19" s="711">
        <v>0</v>
      </c>
      <c r="N19" s="711"/>
      <c r="O19" s="711"/>
      <c r="P19" s="701"/>
      <c r="Q19" s="712"/>
    </row>
    <row r="20" spans="1:17" ht="14.4" customHeight="1" x14ac:dyDescent="0.3">
      <c r="A20" s="695" t="s">
        <v>3779</v>
      </c>
      <c r="B20" s="696" t="s">
        <v>3597</v>
      </c>
      <c r="C20" s="696" t="s">
        <v>3589</v>
      </c>
      <c r="D20" s="696" t="s">
        <v>3590</v>
      </c>
      <c r="E20" s="696" t="s">
        <v>3591</v>
      </c>
      <c r="F20" s="711">
        <v>5</v>
      </c>
      <c r="G20" s="711">
        <v>1245</v>
      </c>
      <c r="H20" s="711">
        <v>1</v>
      </c>
      <c r="I20" s="711">
        <v>249</v>
      </c>
      <c r="J20" s="711"/>
      <c r="K20" s="711"/>
      <c r="L20" s="711"/>
      <c r="M20" s="711"/>
      <c r="N20" s="711"/>
      <c r="O20" s="711"/>
      <c r="P20" s="701"/>
      <c r="Q20" s="712"/>
    </row>
    <row r="21" spans="1:17" ht="14.4" customHeight="1" x14ac:dyDescent="0.3">
      <c r="A21" s="695" t="s">
        <v>3779</v>
      </c>
      <c r="B21" s="696" t="s">
        <v>3597</v>
      </c>
      <c r="C21" s="696" t="s">
        <v>3589</v>
      </c>
      <c r="D21" s="696" t="s">
        <v>3651</v>
      </c>
      <c r="E21" s="696" t="s">
        <v>3652</v>
      </c>
      <c r="F21" s="711"/>
      <c r="G21" s="711"/>
      <c r="H21" s="711"/>
      <c r="I21" s="711"/>
      <c r="J21" s="711">
        <v>2</v>
      </c>
      <c r="K21" s="711">
        <v>232</v>
      </c>
      <c r="L21" s="711"/>
      <c r="M21" s="711">
        <v>116</v>
      </c>
      <c r="N21" s="711"/>
      <c r="O21" s="711"/>
      <c r="P21" s="701"/>
      <c r="Q21" s="712"/>
    </row>
    <row r="22" spans="1:17" ht="14.4" customHeight="1" x14ac:dyDescent="0.3">
      <c r="A22" s="695" t="s">
        <v>3779</v>
      </c>
      <c r="B22" s="696" t="s">
        <v>3597</v>
      </c>
      <c r="C22" s="696" t="s">
        <v>3589</v>
      </c>
      <c r="D22" s="696" t="s">
        <v>3662</v>
      </c>
      <c r="E22" s="696" t="s">
        <v>3663</v>
      </c>
      <c r="F22" s="711"/>
      <c r="G22" s="711"/>
      <c r="H22" s="711"/>
      <c r="I22" s="711"/>
      <c r="J22" s="711"/>
      <c r="K22" s="711"/>
      <c r="L22" s="711"/>
      <c r="M22" s="711"/>
      <c r="N22" s="711">
        <v>3</v>
      </c>
      <c r="O22" s="711">
        <v>348</v>
      </c>
      <c r="P22" s="701"/>
      <c r="Q22" s="712">
        <v>116</v>
      </c>
    </row>
    <row r="23" spans="1:17" ht="14.4" customHeight="1" x14ac:dyDescent="0.3">
      <c r="A23" s="695" t="s">
        <v>3779</v>
      </c>
      <c r="B23" s="696" t="s">
        <v>3597</v>
      </c>
      <c r="C23" s="696" t="s">
        <v>3589</v>
      </c>
      <c r="D23" s="696" t="s">
        <v>3676</v>
      </c>
      <c r="E23" s="696" t="s">
        <v>3677</v>
      </c>
      <c r="F23" s="711">
        <v>1</v>
      </c>
      <c r="G23" s="711">
        <v>1620</v>
      </c>
      <c r="H23" s="711">
        <v>1</v>
      </c>
      <c r="I23" s="711">
        <v>1620</v>
      </c>
      <c r="J23" s="711"/>
      <c r="K23" s="711"/>
      <c r="L23" s="711"/>
      <c r="M23" s="711"/>
      <c r="N23" s="711"/>
      <c r="O23" s="711"/>
      <c r="P23" s="701"/>
      <c r="Q23" s="712"/>
    </row>
    <row r="24" spans="1:17" ht="14.4" customHeight="1" x14ac:dyDescent="0.3">
      <c r="A24" s="695" t="s">
        <v>3779</v>
      </c>
      <c r="B24" s="696" t="s">
        <v>3597</v>
      </c>
      <c r="C24" s="696" t="s">
        <v>3589</v>
      </c>
      <c r="D24" s="696" t="s">
        <v>3694</v>
      </c>
      <c r="E24" s="696" t="s">
        <v>3695</v>
      </c>
      <c r="F24" s="711">
        <v>1</v>
      </c>
      <c r="G24" s="711">
        <v>75</v>
      </c>
      <c r="H24" s="711">
        <v>1</v>
      </c>
      <c r="I24" s="711">
        <v>75</v>
      </c>
      <c r="J24" s="711"/>
      <c r="K24" s="711"/>
      <c r="L24" s="711"/>
      <c r="M24" s="711"/>
      <c r="N24" s="711"/>
      <c r="O24" s="711"/>
      <c r="P24" s="701"/>
      <c r="Q24" s="712"/>
    </row>
    <row r="25" spans="1:17" ht="14.4" customHeight="1" x14ac:dyDescent="0.3">
      <c r="A25" s="695" t="s">
        <v>3780</v>
      </c>
      <c r="B25" s="696" t="s">
        <v>3597</v>
      </c>
      <c r="C25" s="696" t="s">
        <v>3589</v>
      </c>
      <c r="D25" s="696" t="s">
        <v>3643</v>
      </c>
      <c r="E25" s="696" t="s">
        <v>3644</v>
      </c>
      <c r="F25" s="711">
        <v>1</v>
      </c>
      <c r="G25" s="711">
        <v>34</v>
      </c>
      <c r="H25" s="711">
        <v>1</v>
      </c>
      <c r="I25" s="711">
        <v>34</v>
      </c>
      <c r="J25" s="711"/>
      <c r="K25" s="711"/>
      <c r="L25" s="711"/>
      <c r="M25" s="711"/>
      <c r="N25" s="711"/>
      <c r="O25" s="711"/>
      <c r="P25" s="701"/>
      <c r="Q25" s="712"/>
    </row>
    <row r="26" spans="1:17" ht="14.4" customHeight="1" x14ac:dyDescent="0.3">
      <c r="A26" s="695" t="s">
        <v>3780</v>
      </c>
      <c r="B26" s="696" t="s">
        <v>3597</v>
      </c>
      <c r="C26" s="696" t="s">
        <v>3589</v>
      </c>
      <c r="D26" s="696" t="s">
        <v>3590</v>
      </c>
      <c r="E26" s="696" t="s">
        <v>3591</v>
      </c>
      <c r="F26" s="711"/>
      <c r="G26" s="711"/>
      <c r="H26" s="711"/>
      <c r="I26" s="711"/>
      <c r="J26" s="711">
        <v>1</v>
      </c>
      <c r="K26" s="711">
        <v>232</v>
      </c>
      <c r="L26" s="711"/>
      <c r="M26" s="711">
        <v>232</v>
      </c>
      <c r="N26" s="711"/>
      <c r="O26" s="711"/>
      <c r="P26" s="701"/>
      <c r="Q26" s="712"/>
    </row>
    <row r="27" spans="1:17" ht="14.4" customHeight="1" x14ac:dyDescent="0.3">
      <c r="A27" s="695" t="s">
        <v>3780</v>
      </c>
      <c r="B27" s="696" t="s">
        <v>3597</v>
      </c>
      <c r="C27" s="696" t="s">
        <v>3589</v>
      </c>
      <c r="D27" s="696" t="s">
        <v>3662</v>
      </c>
      <c r="E27" s="696" t="s">
        <v>3663</v>
      </c>
      <c r="F27" s="711"/>
      <c r="G27" s="711"/>
      <c r="H27" s="711"/>
      <c r="I27" s="711"/>
      <c r="J27" s="711">
        <v>4</v>
      </c>
      <c r="K27" s="711">
        <v>464</v>
      </c>
      <c r="L27" s="711"/>
      <c r="M27" s="711">
        <v>116</v>
      </c>
      <c r="N27" s="711">
        <v>4</v>
      </c>
      <c r="O27" s="711">
        <v>464</v>
      </c>
      <c r="P27" s="701"/>
      <c r="Q27" s="712">
        <v>116</v>
      </c>
    </row>
    <row r="28" spans="1:17" ht="14.4" customHeight="1" x14ac:dyDescent="0.3">
      <c r="A28" s="695" t="s">
        <v>3780</v>
      </c>
      <c r="B28" s="696" t="s">
        <v>3597</v>
      </c>
      <c r="C28" s="696" t="s">
        <v>3589</v>
      </c>
      <c r="D28" s="696" t="s">
        <v>3676</v>
      </c>
      <c r="E28" s="696" t="s">
        <v>3677</v>
      </c>
      <c r="F28" s="711"/>
      <c r="G28" s="711"/>
      <c r="H28" s="711"/>
      <c r="I28" s="711"/>
      <c r="J28" s="711"/>
      <c r="K28" s="711"/>
      <c r="L28" s="711"/>
      <c r="M28" s="711"/>
      <c r="N28" s="711">
        <v>0</v>
      </c>
      <c r="O28" s="711">
        <v>0</v>
      </c>
      <c r="P28" s="701"/>
      <c r="Q28" s="712"/>
    </row>
    <row r="29" spans="1:17" ht="14.4" customHeight="1" x14ac:dyDescent="0.3">
      <c r="A29" s="695" t="s">
        <v>3780</v>
      </c>
      <c r="B29" s="696" t="s">
        <v>3597</v>
      </c>
      <c r="C29" s="696" t="s">
        <v>3589</v>
      </c>
      <c r="D29" s="696" t="s">
        <v>3694</v>
      </c>
      <c r="E29" s="696" t="s">
        <v>3695</v>
      </c>
      <c r="F29" s="711"/>
      <c r="G29" s="711"/>
      <c r="H29" s="711"/>
      <c r="I29" s="711"/>
      <c r="J29" s="711"/>
      <c r="K29" s="711"/>
      <c r="L29" s="711"/>
      <c r="M29" s="711"/>
      <c r="N29" s="711">
        <v>1</v>
      </c>
      <c r="O29" s="711">
        <v>81</v>
      </c>
      <c r="P29" s="701"/>
      <c r="Q29" s="712">
        <v>81</v>
      </c>
    </row>
    <row r="30" spans="1:17" ht="14.4" customHeight="1" x14ac:dyDescent="0.3">
      <c r="A30" s="695" t="s">
        <v>3780</v>
      </c>
      <c r="B30" s="696" t="s">
        <v>3597</v>
      </c>
      <c r="C30" s="696" t="s">
        <v>3589</v>
      </c>
      <c r="D30" s="696" t="s">
        <v>3706</v>
      </c>
      <c r="E30" s="696" t="s">
        <v>3707</v>
      </c>
      <c r="F30" s="711"/>
      <c r="G30" s="711"/>
      <c r="H30" s="711"/>
      <c r="I30" s="711"/>
      <c r="J30" s="711"/>
      <c r="K30" s="711"/>
      <c r="L30" s="711"/>
      <c r="M30" s="711"/>
      <c r="N30" s="711">
        <v>7</v>
      </c>
      <c r="O30" s="711">
        <v>1624</v>
      </c>
      <c r="P30" s="701"/>
      <c r="Q30" s="712">
        <v>232</v>
      </c>
    </row>
    <row r="31" spans="1:17" ht="14.4" customHeight="1" x14ac:dyDescent="0.3">
      <c r="A31" s="695" t="s">
        <v>3780</v>
      </c>
      <c r="B31" s="696" t="s">
        <v>3597</v>
      </c>
      <c r="C31" s="696" t="s">
        <v>3589</v>
      </c>
      <c r="D31" s="696" t="s">
        <v>3732</v>
      </c>
      <c r="E31" s="696" t="s">
        <v>3733</v>
      </c>
      <c r="F31" s="711"/>
      <c r="G31" s="711"/>
      <c r="H31" s="711"/>
      <c r="I31" s="711"/>
      <c r="J31" s="711"/>
      <c r="K31" s="711"/>
      <c r="L31" s="711"/>
      <c r="M31" s="711"/>
      <c r="N31" s="711">
        <v>1</v>
      </c>
      <c r="O31" s="711">
        <v>928</v>
      </c>
      <c r="P31" s="701"/>
      <c r="Q31" s="712">
        <v>928</v>
      </c>
    </row>
    <row r="32" spans="1:17" ht="14.4" customHeight="1" x14ac:dyDescent="0.3">
      <c r="A32" s="695" t="s">
        <v>3781</v>
      </c>
      <c r="B32" s="696" t="s">
        <v>3597</v>
      </c>
      <c r="C32" s="696" t="s">
        <v>3589</v>
      </c>
      <c r="D32" s="696" t="s">
        <v>3662</v>
      </c>
      <c r="E32" s="696" t="s">
        <v>3663</v>
      </c>
      <c r="F32" s="711"/>
      <c r="G32" s="711"/>
      <c r="H32" s="711"/>
      <c r="I32" s="711"/>
      <c r="J32" s="711"/>
      <c r="K32" s="711"/>
      <c r="L32" s="711"/>
      <c r="M32" s="711"/>
      <c r="N32" s="711">
        <v>1</v>
      </c>
      <c r="O32" s="711">
        <v>116</v>
      </c>
      <c r="P32" s="701"/>
      <c r="Q32" s="712">
        <v>116</v>
      </c>
    </row>
    <row r="33" spans="1:17" ht="14.4" customHeight="1" x14ac:dyDescent="0.3">
      <c r="A33" s="695" t="s">
        <v>3782</v>
      </c>
      <c r="B33" s="696" t="s">
        <v>3597</v>
      </c>
      <c r="C33" s="696" t="s">
        <v>3620</v>
      </c>
      <c r="D33" s="696" t="s">
        <v>3625</v>
      </c>
      <c r="E33" s="696" t="s">
        <v>3584</v>
      </c>
      <c r="F33" s="711"/>
      <c r="G33" s="711"/>
      <c r="H33" s="711"/>
      <c r="I33" s="711"/>
      <c r="J33" s="711">
        <v>1</v>
      </c>
      <c r="K33" s="711">
        <v>147</v>
      </c>
      <c r="L33" s="711"/>
      <c r="M33" s="711">
        <v>147</v>
      </c>
      <c r="N33" s="711"/>
      <c r="O33" s="711"/>
      <c r="P33" s="701"/>
      <c r="Q33" s="712"/>
    </row>
    <row r="34" spans="1:17" ht="14.4" customHeight="1" x14ac:dyDescent="0.3">
      <c r="A34" s="695" t="s">
        <v>3782</v>
      </c>
      <c r="B34" s="696" t="s">
        <v>3597</v>
      </c>
      <c r="C34" s="696" t="s">
        <v>3620</v>
      </c>
      <c r="D34" s="696" t="s">
        <v>3631</v>
      </c>
      <c r="E34" s="696" t="s">
        <v>3584</v>
      </c>
      <c r="F34" s="711">
        <v>1</v>
      </c>
      <c r="G34" s="711">
        <v>194</v>
      </c>
      <c r="H34" s="711">
        <v>1</v>
      </c>
      <c r="I34" s="711">
        <v>194</v>
      </c>
      <c r="J34" s="711"/>
      <c r="K34" s="711"/>
      <c r="L34" s="711"/>
      <c r="M34" s="711"/>
      <c r="N34" s="711"/>
      <c r="O34" s="711"/>
      <c r="P34" s="701"/>
      <c r="Q34" s="712"/>
    </row>
    <row r="35" spans="1:17" ht="14.4" customHeight="1" x14ac:dyDescent="0.3">
      <c r="A35" s="695" t="s">
        <v>3782</v>
      </c>
      <c r="B35" s="696" t="s">
        <v>3597</v>
      </c>
      <c r="C35" s="696" t="s">
        <v>3620</v>
      </c>
      <c r="D35" s="696" t="s">
        <v>3633</v>
      </c>
      <c r="E35" s="696" t="s">
        <v>3584</v>
      </c>
      <c r="F35" s="711">
        <v>1</v>
      </c>
      <c r="G35" s="711">
        <v>247</v>
      </c>
      <c r="H35" s="711">
        <v>1</v>
      </c>
      <c r="I35" s="711">
        <v>247</v>
      </c>
      <c r="J35" s="711"/>
      <c r="K35" s="711"/>
      <c r="L35" s="711"/>
      <c r="M35" s="711"/>
      <c r="N35" s="711"/>
      <c r="O35" s="711"/>
      <c r="P35" s="701"/>
      <c r="Q35" s="712"/>
    </row>
    <row r="36" spans="1:17" ht="14.4" customHeight="1" x14ac:dyDescent="0.3">
      <c r="A36" s="695" t="s">
        <v>3782</v>
      </c>
      <c r="B36" s="696" t="s">
        <v>3597</v>
      </c>
      <c r="C36" s="696" t="s">
        <v>3620</v>
      </c>
      <c r="D36" s="696" t="s">
        <v>3636</v>
      </c>
      <c r="E36" s="696" t="s">
        <v>3584</v>
      </c>
      <c r="F36" s="711">
        <v>1</v>
      </c>
      <c r="G36" s="711">
        <v>290</v>
      </c>
      <c r="H36" s="711">
        <v>1</v>
      </c>
      <c r="I36" s="711">
        <v>290</v>
      </c>
      <c r="J36" s="711"/>
      <c r="K36" s="711"/>
      <c r="L36" s="711"/>
      <c r="M36" s="711"/>
      <c r="N36" s="711"/>
      <c r="O36" s="711"/>
      <c r="P36" s="701"/>
      <c r="Q36" s="712"/>
    </row>
    <row r="37" spans="1:17" ht="14.4" customHeight="1" x14ac:dyDescent="0.3">
      <c r="A37" s="695" t="s">
        <v>3782</v>
      </c>
      <c r="B37" s="696" t="s">
        <v>3597</v>
      </c>
      <c r="C37" s="696" t="s">
        <v>3589</v>
      </c>
      <c r="D37" s="696" t="s">
        <v>3643</v>
      </c>
      <c r="E37" s="696" t="s">
        <v>3644</v>
      </c>
      <c r="F37" s="711"/>
      <c r="G37" s="711"/>
      <c r="H37" s="711"/>
      <c r="I37" s="711"/>
      <c r="J37" s="711">
        <v>4</v>
      </c>
      <c r="K37" s="711">
        <v>136</v>
      </c>
      <c r="L37" s="711"/>
      <c r="M37" s="711">
        <v>34</v>
      </c>
      <c r="N37" s="711">
        <v>1</v>
      </c>
      <c r="O37" s="711">
        <v>34</v>
      </c>
      <c r="P37" s="701"/>
      <c r="Q37" s="712">
        <v>34</v>
      </c>
    </row>
    <row r="38" spans="1:17" ht="14.4" customHeight="1" x14ac:dyDescent="0.3">
      <c r="A38" s="695" t="s">
        <v>3782</v>
      </c>
      <c r="B38" s="696" t="s">
        <v>3597</v>
      </c>
      <c r="C38" s="696" t="s">
        <v>3589</v>
      </c>
      <c r="D38" s="696" t="s">
        <v>3649</v>
      </c>
      <c r="E38" s="696" t="s">
        <v>3584</v>
      </c>
      <c r="F38" s="711">
        <v>1</v>
      </c>
      <c r="G38" s="711">
        <v>174</v>
      </c>
      <c r="H38" s="711">
        <v>1</v>
      </c>
      <c r="I38" s="711">
        <v>174</v>
      </c>
      <c r="J38" s="711"/>
      <c r="K38" s="711"/>
      <c r="L38" s="711"/>
      <c r="M38" s="711"/>
      <c r="N38" s="711"/>
      <c r="O38" s="711"/>
      <c r="P38" s="701"/>
      <c r="Q38" s="712"/>
    </row>
    <row r="39" spans="1:17" ht="14.4" customHeight="1" x14ac:dyDescent="0.3">
      <c r="A39" s="695" t="s">
        <v>3782</v>
      </c>
      <c r="B39" s="696" t="s">
        <v>3597</v>
      </c>
      <c r="C39" s="696" t="s">
        <v>3589</v>
      </c>
      <c r="D39" s="696" t="s">
        <v>3590</v>
      </c>
      <c r="E39" s="696" t="s">
        <v>3591</v>
      </c>
      <c r="F39" s="711">
        <v>1</v>
      </c>
      <c r="G39" s="711">
        <v>249</v>
      </c>
      <c r="H39" s="711">
        <v>1</v>
      </c>
      <c r="I39" s="711">
        <v>249</v>
      </c>
      <c r="J39" s="711">
        <v>2</v>
      </c>
      <c r="K39" s="711">
        <v>464</v>
      </c>
      <c r="L39" s="711">
        <v>1.8634538152610443</v>
      </c>
      <c r="M39" s="711">
        <v>232</v>
      </c>
      <c r="N39" s="711"/>
      <c r="O39" s="711"/>
      <c r="P39" s="701"/>
      <c r="Q39" s="712"/>
    </row>
    <row r="40" spans="1:17" ht="14.4" customHeight="1" x14ac:dyDescent="0.3">
      <c r="A40" s="695" t="s">
        <v>3782</v>
      </c>
      <c r="B40" s="696" t="s">
        <v>3597</v>
      </c>
      <c r="C40" s="696" t="s">
        <v>3589</v>
      </c>
      <c r="D40" s="696" t="s">
        <v>3651</v>
      </c>
      <c r="E40" s="696" t="s">
        <v>3652</v>
      </c>
      <c r="F40" s="711">
        <v>28</v>
      </c>
      <c r="G40" s="711">
        <v>3500</v>
      </c>
      <c r="H40" s="711">
        <v>1</v>
      </c>
      <c r="I40" s="711">
        <v>125</v>
      </c>
      <c r="J40" s="711">
        <v>15</v>
      </c>
      <c r="K40" s="711">
        <v>1740</v>
      </c>
      <c r="L40" s="711">
        <v>0.49714285714285716</v>
      </c>
      <c r="M40" s="711">
        <v>116</v>
      </c>
      <c r="N40" s="711"/>
      <c r="O40" s="711"/>
      <c r="P40" s="701"/>
      <c r="Q40" s="712"/>
    </row>
    <row r="41" spans="1:17" ht="14.4" customHeight="1" x14ac:dyDescent="0.3">
      <c r="A41" s="695" t="s">
        <v>3782</v>
      </c>
      <c r="B41" s="696" t="s">
        <v>3597</v>
      </c>
      <c r="C41" s="696" t="s">
        <v>3589</v>
      </c>
      <c r="D41" s="696" t="s">
        <v>3654</v>
      </c>
      <c r="E41" s="696" t="s">
        <v>3655</v>
      </c>
      <c r="F41" s="711"/>
      <c r="G41" s="711"/>
      <c r="H41" s="711"/>
      <c r="I41" s="711"/>
      <c r="J41" s="711"/>
      <c r="K41" s="711"/>
      <c r="L41" s="711"/>
      <c r="M41" s="711"/>
      <c r="N41" s="711">
        <v>1</v>
      </c>
      <c r="O41" s="711">
        <v>124</v>
      </c>
      <c r="P41" s="701"/>
      <c r="Q41" s="712">
        <v>124</v>
      </c>
    </row>
    <row r="42" spans="1:17" ht="14.4" customHeight="1" x14ac:dyDescent="0.3">
      <c r="A42" s="695" t="s">
        <v>3782</v>
      </c>
      <c r="B42" s="696" t="s">
        <v>3597</v>
      </c>
      <c r="C42" s="696" t="s">
        <v>3589</v>
      </c>
      <c r="D42" s="696" t="s">
        <v>3595</v>
      </c>
      <c r="E42" s="696" t="s">
        <v>3596</v>
      </c>
      <c r="F42" s="711">
        <v>1</v>
      </c>
      <c r="G42" s="711">
        <v>148</v>
      </c>
      <c r="H42" s="711">
        <v>1</v>
      </c>
      <c r="I42" s="711">
        <v>148</v>
      </c>
      <c r="J42" s="711">
        <v>1</v>
      </c>
      <c r="K42" s="711">
        <v>149</v>
      </c>
      <c r="L42" s="711">
        <v>1.0067567567567568</v>
      </c>
      <c r="M42" s="711">
        <v>149</v>
      </c>
      <c r="N42" s="711"/>
      <c r="O42" s="711"/>
      <c r="P42" s="701"/>
      <c r="Q42" s="712"/>
    </row>
    <row r="43" spans="1:17" ht="14.4" customHeight="1" x14ac:dyDescent="0.3">
      <c r="A43" s="695" t="s">
        <v>3782</v>
      </c>
      <c r="B43" s="696" t="s">
        <v>3597</v>
      </c>
      <c r="C43" s="696" t="s">
        <v>3589</v>
      </c>
      <c r="D43" s="696" t="s">
        <v>3656</v>
      </c>
      <c r="E43" s="696" t="s">
        <v>3657</v>
      </c>
      <c r="F43" s="711">
        <v>1</v>
      </c>
      <c r="G43" s="711">
        <v>222</v>
      </c>
      <c r="H43" s="711">
        <v>1</v>
      </c>
      <c r="I43" s="711">
        <v>222</v>
      </c>
      <c r="J43" s="711"/>
      <c r="K43" s="711"/>
      <c r="L43" s="711"/>
      <c r="M43" s="711"/>
      <c r="N43" s="711"/>
      <c r="O43" s="711"/>
      <c r="P43" s="701"/>
      <c r="Q43" s="712"/>
    </row>
    <row r="44" spans="1:17" ht="14.4" customHeight="1" x14ac:dyDescent="0.3">
      <c r="A44" s="695" t="s">
        <v>3782</v>
      </c>
      <c r="B44" s="696" t="s">
        <v>3597</v>
      </c>
      <c r="C44" s="696" t="s">
        <v>3589</v>
      </c>
      <c r="D44" s="696" t="s">
        <v>3658</v>
      </c>
      <c r="E44" s="696" t="s">
        <v>3659</v>
      </c>
      <c r="F44" s="711">
        <v>3</v>
      </c>
      <c r="G44" s="711">
        <v>279</v>
      </c>
      <c r="H44" s="711">
        <v>1</v>
      </c>
      <c r="I44" s="711">
        <v>93</v>
      </c>
      <c r="J44" s="711">
        <v>4</v>
      </c>
      <c r="K44" s="711">
        <v>372</v>
      </c>
      <c r="L44" s="711">
        <v>1.3333333333333333</v>
      </c>
      <c r="M44" s="711">
        <v>93</v>
      </c>
      <c r="N44" s="711">
        <v>1</v>
      </c>
      <c r="O44" s="711">
        <v>93</v>
      </c>
      <c r="P44" s="701">
        <v>0.33333333333333331</v>
      </c>
      <c r="Q44" s="712">
        <v>93</v>
      </c>
    </row>
    <row r="45" spans="1:17" ht="14.4" customHeight="1" x14ac:dyDescent="0.3">
      <c r="A45" s="695" t="s">
        <v>3782</v>
      </c>
      <c r="B45" s="696" t="s">
        <v>3597</v>
      </c>
      <c r="C45" s="696" t="s">
        <v>3589</v>
      </c>
      <c r="D45" s="696" t="s">
        <v>3662</v>
      </c>
      <c r="E45" s="696" t="s">
        <v>3663</v>
      </c>
      <c r="F45" s="711"/>
      <c r="G45" s="711"/>
      <c r="H45" s="711"/>
      <c r="I45" s="711"/>
      <c r="J45" s="711">
        <v>13</v>
      </c>
      <c r="K45" s="711">
        <v>1508</v>
      </c>
      <c r="L45" s="711"/>
      <c r="M45" s="711">
        <v>116</v>
      </c>
      <c r="N45" s="711">
        <v>22</v>
      </c>
      <c r="O45" s="711">
        <v>2552</v>
      </c>
      <c r="P45" s="701"/>
      <c r="Q45" s="712">
        <v>116</v>
      </c>
    </row>
    <row r="46" spans="1:17" ht="14.4" customHeight="1" x14ac:dyDescent="0.3">
      <c r="A46" s="695" t="s">
        <v>3782</v>
      </c>
      <c r="B46" s="696" t="s">
        <v>3597</v>
      </c>
      <c r="C46" s="696" t="s">
        <v>3589</v>
      </c>
      <c r="D46" s="696" t="s">
        <v>3703</v>
      </c>
      <c r="E46" s="696" t="s">
        <v>3584</v>
      </c>
      <c r="F46" s="711">
        <v>1</v>
      </c>
      <c r="G46" s="711">
        <v>0</v>
      </c>
      <c r="H46" s="711"/>
      <c r="I46" s="711">
        <v>0</v>
      </c>
      <c r="J46" s="711"/>
      <c r="K46" s="711"/>
      <c r="L46" s="711"/>
      <c r="M46" s="711"/>
      <c r="N46" s="711"/>
      <c r="O46" s="711"/>
      <c r="P46" s="701"/>
      <c r="Q46" s="712"/>
    </row>
    <row r="47" spans="1:17" ht="14.4" customHeight="1" x14ac:dyDescent="0.3">
      <c r="A47" s="695" t="s">
        <v>3782</v>
      </c>
      <c r="B47" s="696" t="s">
        <v>3597</v>
      </c>
      <c r="C47" s="696" t="s">
        <v>3589</v>
      </c>
      <c r="D47" s="696" t="s">
        <v>3706</v>
      </c>
      <c r="E47" s="696" t="s">
        <v>3707</v>
      </c>
      <c r="F47" s="711"/>
      <c r="G47" s="711"/>
      <c r="H47" s="711"/>
      <c r="I47" s="711"/>
      <c r="J47" s="711">
        <v>2</v>
      </c>
      <c r="K47" s="711">
        <v>464</v>
      </c>
      <c r="L47" s="711"/>
      <c r="M47" s="711">
        <v>232</v>
      </c>
      <c r="N47" s="711">
        <v>1</v>
      </c>
      <c r="O47" s="711">
        <v>232</v>
      </c>
      <c r="P47" s="701"/>
      <c r="Q47" s="712">
        <v>232</v>
      </c>
    </row>
    <row r="48" spans="1:17" ht="14.4" customHeight="1" x14ac:dyDescent="0.3">
      <c r="A48" s="695" t="s">
        <v>3782</v>
      </c>
      <c r="B48" s="696" t="s">
        <v>3597</v>
      </c>
      <c r="C48" s="696" t="s">
        <v>3589</v>
      </c>
      <c r="D48" s="696" t="s">
        <v>3720</v>
      </c>
      <c r="E48" s="696" t="s">
        <v>3721</v>
      </c>
      <c r="F48" s="711"/>
      <c r="G48" s="711"/>
      <c r="H48" s="711"/>
      <c r="I48" s="711"/>
      <c r="J48" s="711">
        <v>1</v>
      </c>
      <c r="K48" s="711">
        <v>161</v>
      </c>
      <c r="L48" s="711"/>
      <c r="M48" s="711">
        <v>161</v>
      </c>
      <c r="N48" s="711"/>
      <c r="O48" s="711"/>
      <c r="P48" s="701"/>
      <c r="Q48" s="712"/>
    </row>
    <row r="49" spans="1:17" ht="14.4" customHeight="1" x14ac:dyDescent="0.3">
      <c r="A49" s="695" t="s">
        <v>3782</v>
      </c>
      <c r="B49" s="696" t="s">
        <v>3597</v>
      </c>
      <c r="C49" s="696" t="s">
        <v>3589</v>
      </c>
      <c r="D49" s="696" t="s">
        <v>3726</v>
      </c>
      <c r="E49" s="696" t="s">
        <v>3727</v>
      </c>
      <c r="F49" s="711"/>
      <c r="G49" s="711"/>
      <c r="H49" s="711"/>
      <c r="I49" s="711"/>
      <c r="J49" s="711">
        <v>2</v>
      </c>
      <c r="K49" s="711">
        <v>218</v>
      </c>
      <c r="L49" s="711"/>
      <c r="M49" s="711">
        <v>109</v>
      </c>
      <c r="N49" s="711">
        <v>1</v>
      </c>
      <c r="O49" s="711">
        <v>109</v>
      </c>
      <c r="P49" s="701"/>
      <c r="Q49" s="712">
        <v>109</v>
      </c>
    </row>
    <row r="50" spans="1:17" ht="14.4" customHeight="1" x14ac:dyDescent="0.3">
      <c r="A50" s="695" t="s">
        <v>3782</v>
      </c>
      <c r="B50" s="696" t="s">
        <v>3597</v>
      </c>
      <c r="C50" s="696" t="s">
        <v>3589</v>
      </c>
      <c r="D50" s="696" t="s">
        <v>3730</v>
      </c>
      <c r="E50" s="696" t="s">
        <v>3731</v>
      </c>
      <c r="F50" s="711">
        <v>1</v>
      </c>
      <c r="G50" s="711">
        <v>295</v>
      </c>
      <c r="H50" s="711">
        <v>1</v>
      </c>
      <c r="I50" s="711">
        <v>295</v>
      </c>
      <c r="J50" s="711"/>
      <c r="K50" s="711"/>
      <c r="L50" s="711"/>
      <c r="M50" s="711"/>
      <c r="N50" s="711"/>
      <c r="O50" s="711"/>
      <c r="P50" s="701"/>
      <c r="Q50" s="712"/>
    </row>
    <row r="51" spans="1:17" ht="14.4" customHeight="1" x14ac:dyDescent="0.3">
      <c r="A51" s="695" t="s">
        <v>3782</v>
      </c>
      <c r="B51" s="696" t="s">
        <v>3783</v>
      </c>
      <c r="C51" s="696" t="s">
        <v>3620</v>
      </c>
      <c r="D51" s="696" t="s">
        <v>3784</v>
      </c>
      <c r="E51" s="696" t="s">
        <v>3785</v>
      </c>
      <c r="F51" s="711"/>
      <c r="G51" s="711"/>
      <c r="H51" s="711"/>
      <c r="I51" s="711"/>
      <c r="J51" s="711">
        <v>1</v>
      </c>
      <c r="K51" s="711">
        <v>386.67</v>
      </c>
      <c r="L51" s="711"/>
      <c r="M51" s="711">
        <v>386.67</v>
      </c>
      <c r="N51" s="711"/>
      <c r="O51" s="711"/>
      <c r="P51" s="701"/>
      <c r="Q51" s="712"/>
    </row>
    <row r="52" spans="1:17" ht="14.4" customHeight="1" x14ac:dyDescent="0.3">
      <c r="A52" s="695" t="s">
        <v>3782</v>
      </c>
      <c r="B52" s="696" t="s">
        <v>3783</v>
      </c>
      <c r="C52" s="696" t="s">
        <v>3620</v>
      </c>
      <c r="D52" s="696" t="s">
        <v>3786</v>
      </c>
      <c r="E52" s="696" t="s">
        <v>3787</v>
      </c>
      <c r="F52" s="711"/>
      <c r="G52" s="711"/>
      <c r="H52" s="711"/>
      <c r="I52" s="711"/>
      <c r="J52" s="711">
        <v>1</v>
      </c>
      <c r="K52" s="711">
        <v>1783.48</v>
      </c>
      <c r="L52" s="711"/>
      <c r="M52" s="711">
        <v>1783.48</v>
      </c>
      <c r="N52" s="711"/>
      <c r="O52" s="711"/>
      <c r="P52" s="701"/>
      <c r="Q52" s="712"/>
    </row>
    <row r="53" spans="1:17" ht="14.4" customHeight="1" x14ac:dyDescent="0.3">
      <c r="A53" s="695" t="s">
        <v>3782</v>
      </c>
      <c r="B53" s="696" t="s">
        <v>3783</v>
      </c>
      <c r="C53" s="696" t="s">
        <v>3620</v>
      </c>
      <c r="D53" s="696" t="s">
        <v>3788</v>
      </c>
      <c r="E53" s="696" t="s">
        <v>3789</v>
      </c>
      <c r="F53" s="711"/>
      <c r="G53" s="711"/>
      <c r="H53" s="711"/>
      <c r="I53" s="711"/>
      <c r="J53" s="711">
        <v>1</v>
      </c>
      <c r="K53" s="711">
        <v>239.4</v>
      </c>
      <c r="L53" s="711"/>
      <c r="M53" s="711">
        <v>239.4</v>
      </c>
      <c r="N53" s="711"/>
      <c r="O53" s="711"/>
      <c r="P53" s="701"/>
      <c r="Q53" s="712"/>
    </row>
    <row r="54" spans="1:17" ht="14.4" customHeight="1" x14ac:dyDescent="0.3">
      <c r="A54" s="695" t="s">
        <v>3782</v>
      </c>
      <c r="B54" s="696" t="s">
        <v>3783</v>
      </c>
      <c r="C54" s="696" t="s">
        <v>3620</v>
      </c>
      <c r="D54" s="696" t="s">
        <v>3790</v>
      </c>
      <c r="E54" s="696" t="s">
        <v>3785</v>
      </c>
      <c r="F54" s="711"/>
      <c r="G54" s="711"/>
      <c r="H54" s="711"/>
      <c r="I54" s="711"/>
      <c r="J54" s="711">
        <v>1</v>
      </c>
      <c r="K54" s="711">
        <v>326.45</v>
      </c>
      <c r="L54" s="711"/>
      <c r="M54" s="711">
        <v>326.45</v>
      </c>
      <c r="N54" s="711"/>
      <c r="O54" s="711"/>
      <c r="P54" s="701"/>
      <c r="Q54" s="712"/>
    </row>
    <row r="55" spans="1:17" ht="14.4" customHeight="1" x14ac:dyDescent="0.3">
      <c r="A55" s="695" t="s">
        <v>3782</v>
      </c>
      <c r="B55" s="696" t="s">
        <v>3783</v>
      </c>
      <c r="C55" s="696" t="s">
        <v>3589</v>
      </c>
      <c r="D55" s="696" t="s">
        <v>3791</v>
      </c>
      <c r="E55" s="696" t="s">
        <v>3792</v>
      </c>
      <c r="F55" s="711"/>
      <c r="G55" s="711"/>
      <c r="H55" s="711"/>
      <c r="I55" s="711"/>
      <c r="J55" s="711">
        <v>1</v>
      </c>
      <c r="K55" s="711">
        <v>4628</v>
      </c>
      <c r="L55" s="711"/>
      <c r="M55" s="711">
        <v>4628</v>
      </c>
      <c r="N55" s="711"/>
      <c r="O55" s="711"/>
      <c r="P55" s="701"/>
      <c r="Q55" s="712"/>
    </row>
    <row r="56" spans="1:17" ht="14.4" customHeight="1" x14ac:dyDescent="0.3">
      <c r="A56" s="695" t="s">
        <v>3782</v>
      </c>
      <c r="B56" s="696" t="s">
        <v>3783</v>
      </c>
      <c r="C56" s="696" t="s">
        <v>3589</v>
      </c>
      <c r="D56" s="696" t="s">
        <v>3793</v>
      </c>
      <c r="E56" s="696" t="s">
        <v>3794</v>
      </c>
      <c r="F56" s="711"/>
      <c r="G56" s="711"/>
      <c r="H56" s="711"/>
      <c r="I56" s="711"/>
      <c r="J56" s="711">
        <v>1</v>
      </c>
      <c r="K56" s="711">
        <v>112</v>
      </c>
      <c r="L56" s="711"/>
      <c r="M56" s="711">
        <v>112</v>
      </c>
      <c r="N56" s="711"/>
      <c r="O56" s="711"/>
      <c r="P56" s="701"/>
      <c r="Q56" s="712"/>
    </row>
    <row r="57" spans="1:17" ht="14.4" customHeight="1" x14ac:dyDescent="0.3">
      <c r="A57" s="695" t="s">
        <v>3782</v>
      </c>
      <c r="B57" s="696" t="s">
        <v>3783</v>
      </c>
      <c r="C57" s="696" t="s">
        <v>3589</v>
      </c>
      <c r="D57" s="696" t="s">
        <v>3720</v>
      </c>
      <c r="E57" s="696" t="s">
        <v>3721</v>
      </c>
      <c r="F57" s="711"/>
      <c r="G57" s="711"/>
      <c r="H57" s="711"/>
      <c r="I57" s="711"/>
      <c r="J57" s="711">
        <v>1</v>
      </c>
      <c r="K57" s="711">
        <v>161</v>
      </c>
      <c r="L57" s="711"/>
      <c r="M57" s="711">
        <v>161</v>
      </c>
      <c r="N57" s="711"/>
      <c r="O57" s="711"/>
      <c r="P57" s="701"/>
      <c r="Q57" s="712"/>
    </row>
    <row r="58" spans="1:17" ht="14.4" customHeight="1" x14ac:dyDescent="0.3">
      <c r="A58" s="695" t="s">
        <v>3795</v>
      </c>
      <c r="B58" s="696" t="s">
        <v>3597</v>
      </c>
      <c r="C58" s="696" t="s">
        <v>3589</v>
      </c>
      <c r="D58" s="696" t="s">
        <v>3590</v>
      </c>
      <c r="E58" s="696" t="s">
        <v>3591</v>
      </c>
      <c r="F58" s="711"/>
      <c r="G58" s="711"/>
      <c r="H58" s="711"/>
      <c r="I58" s="711"/>
      <c r="J58" s="711">
        <v>1</v>
      </c>
      <c r="K58" s="711">
        <v>232</v>
      </c>
      <c r="L58" s="711"/>
      <c r="M58" s="711">
        <v>232</v>
      </c>
      <c r="N58" s="711"/>
      <c r="O58" s="711"/>
      <c r="P58" s="701"/>
      <c r="Q58" s="712"/>
    </row>
    <row r="59" spans="1:17" ht="14.4" customHeight="1" x14ac:dyDescent="0.3">
      <c r="A59" s="695" t="s">
        <v>3796</v>
      </c>
      <c r="B59" s="696" t="s">
        <v>3597</v>
      </c>
      <c r="C59" s="696" t="s">
        <v>3589</v>
      </c>
      <c r="D59" s="696" t="s">
        <v>3662</v>
      </c>
      <c r="E59" s="696" t="s">
        <v>3663</v>
      </c>
      <c r="F59" s="711"/>
      <c r="G59" s="711"/>
      <c r="H59" s="711"/>
      <c r="I59" s="711"/>
      <c r="J59" s="711"/>
      <c r="K59" s="711"/>
      <c r="L59" s="711"/>
      <c r="M59" s="711"/>
      <c r="N59" s="711">
        <v>1</v>
      </c>
      <c r="O59" s="711">
        <v>116</v>
      </c>
      <c r="P59" s="701"/>
      <c r="Q59" s="712">
        <v>116</v>
      </c>
    </row>
    <row r="60" spans="1:17" ht="14.4" customHeight="1" x14ac:dyDescent="0.3">
      <c r="A60" s="695" t="s">
        <v>3797</v>
      </c>
      <c r="B60" s="696" t="s">
        <v>3597</v>
      </c>
      <c r="C60" s="696" t="s">
        <v>3589</v>
      </c>
      <c r="D60" s="696" t="s">
        <v>3651</v>
      </c>
      <c r="E60" s="696" t="s">
        <v>3652</v>
      </c>
      <c r="F60" s="711">
        <v>1</v>
      </c>
      <c r="G60" s="711">
        <v>125</v>
      </c>
      <c r="H60" s="711">
        <v>1</v>
      </c>
      <c r="I60" s="711">
        <v>125</v>
      </c>
      <c r="J60" s="711"/>
      <c r="K60" s="711"/>
      <c r="L60" s="711"/>
      <c r="M60" s="711"/>
      <c r="N60" s="711"/>
      <c r="O60" s="711"/>
      <c r="P60" s="701"/>
      <c r="Q60" s="712"/>
    </row>
    <row r="61" spans="1:17" ht="14.4" customHeight="1" x14ac:dyDescent="0.3">
      <c r="A61" s="695" t="s">
        <v>3797</v>
      </c>
      <c r="B61" s="696" t="s">
        <v>3597</v>
      </c>
      <c r="C61" s="696" t="s">
        <v>3589</v>
      </c>
      <c r="D61" s="696" t="s">
        <v>3662</v>
      </c>
      <c r="E61" s="696" t="s">
        <v>3663</v>
      </c>
      <c r="F61" s="711"/>
      <c r="G61" s="711"/>
      <c r="H61" s="711"/>
      <c r="I61" s="711"/>
      <c r="J61" s="711"/>
      <c r="K61" s="711"/>
      <c r="L61" s="711"/>
      <c r="M61" s="711"/>
      <c r="N61" s="711">
        <v>1</v>
      </c>
      <c r="O61" s="711">
        <v>116</v>
      </c>
      <c r="P61" s="701"/>
      <c r="Q61" s="712">
        <v>116</v>
      </c>
    </row>
    <row r="62" spans="1:17" ht="14.4" customHeight="1" x14ac:dyDescent="0.3">
      <c r="A62" s="695" t="s">
        <v>3797</v>
      </c>
      <c r="B62" s="696" t="s">
        <v>3597</v>
      </c>
      <c r="C62" s="696" t="s">
        <v>3589</v>
      </c>
      <c r="D62" s="696" t="s">
        <v>3688</v>
      </c>
      <c r="E62" s="696" t="s">
        <v>3689</v>
      </c>
      <c r="F62" s="711">
        <v>1</v>
      </c>
      <c r="G62" s="711">
        <v>0</v>
      </c>
      <c r="H62" s="711"/>
      <c r="I62" s="711">
        <v>0</v>
      </c>
      <c r="J62" s="711"/>
      <c r="K62" s="711"/>
      <c r="L62" s="711"/>
      <c r="M62" s="711"/>
      <c r="N62" s="711"/>
      <c r="O62" s="711"/>
      <c r="P62" s="701"/>
      <c r="Q62" s="712"/>
    </row>
    <row r="63" spans="1:17" ht="14.4" customHeight="1" x14ac:dyDescent="0.3">
      <c r="A63" s="695" t="s">
        <v>3798</v>
      </c>
      <c r="B63" s="696" t="s">
        <v>3597</v>
      </c>
      <c r="C63" s="696" t="s">
        <v>3589</v>
      </c>
      <c r="D63" s="696" t="s">
        <v>3662</v>
      </c>
      <c r="E63" s="696" t="s">
        <v>3663</v>
      </c>
      <c r="F63" s="711"/>
      <c r="G63" s="711"/>
      <c r="H63" s="711"/>
      <c r="I63" s="711"/>
      <c r="J63" s="711"/>
      <c r="K63" s="711"/>
      <c r="L63" s="711"/>
      <c r="M63" s="711"/>
      <c r="N63" s="711">
        <v>1</v>
      </c>
      <c r="O63" s="711">
        <v>116</v>
      </c>
      <c r="P63" s="701"/>
      <c r="Q63" s="712">
        <v>116</v>
      </c>
    </row>
    <row r="64" spans="1:17" ht="14.4" customHeight="1" x14ac:dyDescent="0.3">
      <c r="A64" s="695" t="s">
        <v>3799</v>
      </c>
      <c r="B64" s="696" t="s">
        <v>3597</v>
      </c>
      <c r="C64" s="696" t="s">
        <v>3589</v>
      </c>
      <c r="D64" s="696" t="s">
        <v>3590</v>
      </c>
      <c r="E64" s="696" t="s">
        <v>3591</v>
      </c>
      <c r="F64" s="711">
        <v>1</v>
      </c>
      <c r="G64" s="711">
        <v>249</v>
      </c>
      <c r="H64" s="711">
        <v>1</v>
      </c>
      <c r="I64" s="711">
        <v>249</v>
      </c>
      <c r="J64" s="711"/>
      <c r="K64" s="711"/>
      <c r="L64" s="711"/>
      <c r="M64" s="711"/>
      <c r="N64" s="711"/>
      <c r="O64" s="711"/>
      <c r="P64" s="701"/>
      <c r="Q64" s="712"/>
    </row>
    <row r="65" spans="1:17" ht="14.4" customHeight="1" x14ac:dyDescent="0.3">
      <c r="A65" s="695" t="s">
        <v>3799</v>
      </c>
      <c r="B65" s="696" t="s">
        <v>3597</v>
      </c>
      <c r="C65" s="696" t="s">
        <v>3589</v>
      </c>
      <c r="D65" s="696" t="s">
        <v>3651</v>
      </c>
      <c r="E65" s="696" t="s">
        <v>3652</v>
      </c>
      <c r="F65" s="711">
        <v>2</v>
      </c>
      <c r="G65" s="711">
        <v>250</v>
      </c>
      <c r="H65" s="711">
        <v>1</v>
      </c>
      <c r="I65" s="711">
        <v>125</v>
      </c>
      <c r="J65" s="711"/>
      <c r="K65" s="711"/>
      <c r="L65" s="711"/>
      <c r="M65" s="711"/>
      <c r="N65" s="711"/>
      <c r="O65" s="711"/>
      <c r="P65" s="701"/>
      <c r="Q65" s="712"/>
    </row>
    <row r="66" spans="1:17" ht="14.4" customHeight="1" x14ac:dyDescent="0.3">
      <c r="A66" s="695" t="s">
        <v>3799</v>
      </c>
      <c r="B66" s="696" t="s">
        <v>3597</v>
      </c>
      <c r="C66" s="696" t="s">
        <v>3589</v>
      </c>
      <c r="D66" s="696" t="s">
        <v>3662</v>
      </c>
      <c r="E66" s="696" t="s">
        <v>3663</v>
      </c>
      <c r="F66" s="711"/>
      <c r="G66" s="711"/>
      <c r="H66" s="711"/>
      <c r="I66" s="711"/>
      <c r="J66" s="711"/>
      <c r="K66" s="711"/>
      <c r="L66" s="711"/>
      <c r="M66" s="711"/>
      <c r="N66" s="711">
        <v>1</v>
      </c>
      <c r="O66" s="711">
        <v>116</v>
      </c>
      <c r="P66" s="701"/>
      <c r="Q66" s="712">
        <v>116</v>
      </c>
    </row>
    <row r="67" spans="1:17" ht="14.4" customHeight="1" x14ac:dyDescent="0.3">
      <c r="A67" s="695" t="s">
        <v>3799</v>
      </c>
      <c r="B67" s="696" t="s">
        <v>3597</v>
      </c>
      <c r="C67" s="696" t="s">
        <v>3589</v>
      </c>
      <c r="D67" s="696" t="s">
        <v>3688</v>
      </c>
      <c r="E67" s="696" t="s">
        <v>3689</v>
      </c>
      <c r="F67" s="711">
        <v>1</v>
      </c>
      <c r="G67" s="711">
        <v>0</v>
      </c>
      <c r="H67" s="711"/>
      <c r="I67" s="711">
        <v>0</v>
      </c>
      <c r="J67" s="711"/>
      <c r="K67" s="711"/>
      <c r="L67" s="711"/>
      <c r="M67" s="711"/>
      <c r="N67" s="711"/>
      <c r="O67" s="711"/>
      <c r="P67" s="701"/>
      <c r="Q67" s="712"/>
    </row>
    <row r="68" spans="1:17" ht="14.4" customHeight="1" x14ac:dyDescent="0.3">
      <c r="A68" s="695" t="s">
        <v>3800</v>
      </c>
      <c r="B68" s="696" t="s">
        <v>3597</v>
      </c>
      <c r="C68" s="696" t="s">
        <v>3589</v>
      </c>
      <c r="D68" s="696" t="s">
        <v>3643</v>
      </c>
      <c r="E68" s="696" t="s">
        <v>3644</v>
      </c>
      <c r="F68" s="711"/>
      <c r="G68" s="711"/>
      <c r="H68" s="711"/>
      <c r="I68" s="711"/>
      <c r="J68" s="711"/>
      <c r="K68" s="711"/>
      <c r="L68" s="711"/>
      <c r="M68" s="711"/>
      <c r="N68" s="711">
        <v>1</v>
      </c>
      <c r="O68" s="711">
        <v>34</v>
      </c>
      <c r="P68" s="701"/>
      <c r="Q68" s="712">
        <v>34</v>
      </c>
    </row>
    <row r="69" spans="1:17" ht="14.4" customHeight="1" x14ac:dyDescent="0.3">
      <c r="A69" s="695" t="s">
        <v>3800</v>
      </c>
      <c r="B69" s="696" t="s">
        <v>3597</v>
      </c>
      <c r="C69" s="696" t="s">
        <v>3589</v>
      </c>
      <c r="D69" s="696" t="s">
        <v>3590</v>
      </c>
      <c r="E69" s="696" t="s">
        <v>3591</v>
      </c>
      <c r="F69" s="711"/>
      <c r="G69" s="711"/>
      <c r="H69" s="711"/>
      <c r="I69" s="711"/>
      <c r="J69" s="711">
        <v>1</v>
      </c>
      <c r="K69" s="711">
        <v>232</v>
      </c>
      <c r="L69" s="711"/>
      <c r="M69" s="711">
        <v>232</v>
      </c>
      <c r="N69" s="711"/>
      <c r="O69" s="711"/>
      <c r="P69" s="701"/>
      <c r="Q69" s="712"/>
    </row>
    <row r="70" spans="1:17" ht="14.4" customHeight="1" x14ac:dyDescent="0.3">
      <c r="A70" s="695" t="s">
        <v>3800</v>
      </c>
      <c r="B70" s="696" t="s">
        <v>3597</v>
      </c>
      <c r="C70" s="696" t="s">
        <v>3589</v>
      </c>
      <c r="D70" s="696" t="s">
        <v>3651</v>
      </c>
      <c r="E70" s="696" t="s">
        <v>3652</v>
      </c>
      <c r="F70" s="711">
        <v>6</v>
      </c>
      <c r="G70" s="711">
        <v>750</v>
      </c>
      <c r="H70" s="711">
        <v>1</v>
      </c>
      <c r="I70" s="711">
        <v>125</v>
      </c>
      <c r="J70" s="711">
        <v>3</v>
      </c>
      <c r="K70" s="711">
        <v>348</v>
      </c>
      <c r="L70" s="711">
        <v>0.46400000000000002</v>
      </c>
      <c r="M70" s="711">
        <v>116</v>
      </c>
      <c r="N70" s="711"/>
      <c r="O70" s="711"/>
      <c r="P70" s="701"/>
      <c r="Q70" s="712"/>
    </row>
    <row r="71" spans="1:17" ht="14.4" customHeight="1" x14ac:dyDescent="0.3">
      <c r="A71" s="695" t="s">
        <v>3800</v>
      </c>
      <c r="B71" s="696" t="s">
        <v>3597</v>
      </c>
      <c r="C71" s="696" t="s">
        <v>3589</v>
      </c>
      <c r="D71" s="696" t="s">
        <v>3662</v>
      </c>
      <c r="E71" s="696" t="s">
        <v>3663</v>
      </c>
      <c r="F71" s="711"/>
      <c r="G71" s="711"/>
      <c r="H71" s="711"/>
      <c r="I71" s="711"/>
      <c r="J71" s="711">
        <v>2</v>
      </c>
      <c r="K71" s="711">
        <v>232</v>
      </c>
      <c r="L71" s="711"/>
      <c r="M71" s="711">
        <v>116</v>
      </c>
      <c r="N71" s="711">
        <v>4</v>
      </c>
      <c r="O71" s="711">
        <v>464</v>
      </c>
      <c r="P71" s="701"/>
      <c r="Q71" s="712">
        <v>116</v>
      </c>
    </row>
    <row r="72" spans="1:17" ht="14.4" customHeight="1" x14ac:dyDescent="0.3">
      <c r="A72" s="695" t="s">
        <v>3800</v>
      </c>
      <c r="B72" s="696" t="s">
        <v>3597</v>
      </c>
      <c r="C72" s="696" t="s">
        <v>3589</v>
      </c>
      <c r="D72" s="696" t="s">
        <v>3694</v>
      </c>
      <c r="E72" s="696" t="s">
        <v>3695</v>
      </c>
      <c r="F72" s="711"/>
      <c r="G72" s="711"/>
      <c r="H72" s="711"/>
      <c r="I72" s="711"/>
      <c r="J72" s="711">
        <v>1</v>
      </c>
      <c r="K72" s="711">
        <v>81</v>
      </c>
      <c r="L72" s="711"/>
      <c r="M72" s="711">
        <v>81</v>
      </c>
      <c r="N72" s="711"/>
      <c r="O72" s="711"/>
      <c r="P72" s="701"/>
      <c r="Q72" s="712"/>
    </row>
    <row r="73" spans="1:17" ht="14.4" customHeight="1" x14ac:dyDescent="0.3">
      <c r="A73" s="695" t="s">
        <v>3800</v>
      </c>
      <c r="B73" s="696" t="s">
        <v>3597</v>
      </c>
      <c r="C73" s="696" t="s">
        <v>3589</v>
      </c>
      <c r="D73" s="696" t="s">
        <v>3706</v>
      </c>
      <c r="E73" s="696" t="s">
        <v>3707</v>
      </c>
      <c r="F73" s="711"/>
      <c r="G73" s="711"/>
      <c r="H73" s="711"/>
      <c r="I73" s="711"/>
      <c r="J73" s="711"/>
      <c r="K73" s="711"/>
      <c r="L73" s="711"/>
      <c r="M73" s="711"/>
      <c r="N73" s="711">
        <v>1</v>
      </c>
      <c r="O73" s="711">
        <v>232</v>
      </c>
      <c r="P73" s="701"/>
      <c r="Q73" s="712">
        <v>232</v>
      </c>
    </row>
    <row r="74" spans="1:17" ht="14.4" customHeight="1" x14ac:dyDescent="0.3">
      <c r="A74" s="695" t="s">
        <v>3800</v>
      </c>
      <c r="B74" s="696" t="s">
        <v>3597</v>
      </c>
      <c r="C74" s="696" t="s">
        <v>3589</v>
      </c>
      <c r="D74" s="696" t="s">
        <v>3726</v>
      </c>
      <c r="E74" s="696" t="s">
        <v>3727</v>
      </c>
      <c r="F74" s="711"/>
      <c r="G74" s="711"/>
      <c r="H74" s="711"/>
      <c r="I74" s="711"/>
      <c r="J74" s="711">
        <v>1</v>
      </c>
      <c r="K74" s="711">
        <v>109</v>
      </c>
      <c r="L74" s="711"/>
      <c r="M74" s="711">
        <v>109</v>
      </c>
      <c r="N74" s="711"/>
      <c r="O74" s="711"/>
      <c r="P74" s="701"/>
      <c r="Q74" s="712"/>
    </row>
    <row r="75" spans="1:17" ht="14.4" customHeight="1" x14ac:dyDescent="0.3">
      <c r="A75" s="695" t="s">
        <v>3800</v>
      </c>
      <c r="B75" s="696" t="s">
        <v>3597</v>
      </c>
      <c r="C75" s="696" t="s">
        <v>3589</v>
      </c>
      <c r="D75" s="696" t="s">
        <v>3734</v>
      </c>
      <c r="E75" s="696" t="s">
        <v>3735</v>
      </c>
      <c r="F75" s="711"/>
      <c r="G75" s="711"/>
      <c r="H75" s="711"/>
      <c r="I75" s="711"/>
      <c r="J75" s="711">
        <v>1</v>
      </c>
      <c r="K75" s="711">
        <v>221</v>
      </c>
      <c r="L75" s="711"/>
      <c r="M75" s="711">
        <v>221</v>
      </c>
      <c r="N75" s="711"/>
      <c r="O75" s="711"/>
      <c r="P75" s="701"/>
      <c r="Q75" s="712"/>
    </row>
    <row r="76" spans="1:17" ht="14.4" customHeight="1" x14ac:dyDescent="0.3">
      <c r="A76" s="695" t="s">
        <v>3801</v>
      </c>
      <c r="B76" s="696" t="s">
        <v>3597</v>
      </c>
      <c r="C76" s="696" t="s">
        <v>3589</v>
      </c>
      <c r="D76" s="696" t="s">
        <v>3651</v>
      </c>
      <c r="E76" s="696" t="s">
        <v>3652</v>
      </c>
      <c r="F76" s="711"/>
      <c r="G76" s="711"/>
      <c r="H76" s="711"/>
      <c r="I76" s="711"/>
      <c r="J76" s="711">
        <v>1</v>
      </c>
      <c r="K76" s="711">
        <v>116</v>
      </c>
      <c r="L76" s="711"/>
      <c r="M76" s="711">
        <v>116</v>
      </c>
      <c r="N76" s="711"/>
      <c r="O76" s="711"/>
      <c r="P76" s="701"/>
      <c r="Q76" s="712"/>
    </row>
    <row r="77" spans="1:17" ht="14.4" customHeight="1" x14ac:dyDescent="0.3">
      <c r="A77" s="695" t="s">
        <v>3802</v>
      </c>
      <c r="B77" s="696" t="s">
        <v>3597</v>
      </c>
      <c r="C77" s="696" t="s">
        <v>3620</v>
      </c>
      <c r="D77" s="696" t="s">
        <v>3623</v>
      </c>
      <c r="E77" s="696" t="s">
        <v>3584</v>
      </c>
      <c r="F77" s="711">
        <v>1</v>
      </c>
      <c r="G77" s="711">
        <v>75</v>
      </c>
      <c r="H77" s="711">
        <v>1</v>
      </c>
      <c r="I77" s="711">
        <v>75</v>
      </c>
      <c r="J77" s="711"/>
      <c r="K77" s="711"/>
      <c r="L77" s="711"/>
      <c r="M77" s="711"/>
      <c r="N77" s="711"/>
      <c r="O77" s="711"/>
      <c r="P77" s="701"/>
      <c r="Q77" s="712"/>
    </row>
    <row r="78" spans="1:17" ht="14.4" customHeight="1" x14ac:dyDescent="0.3">
      <c r="A78" s="695" t="s">
        <v>3802</v>
      </c>
      <c r="B78" s="696" t="s">
        <v>3597</v>
      </c>
      <c r="C78" s="696" t="s">
        <v>3589</v>
      </c>
      <c r="D78" s="696" t="s">
        <v>3651</v>
      </c>
      <c r="E78" s="696" t="s">
        <v>3652</v>
      </c>
      <c r="F78" s="711">
        <v>1</v>
      </c>
      <c r="G78" s="711">
        <v>125</v>
      </c>
      <c r="H78" s="711">
        <v>1</v>
      </c>
      <c r="I78" s="711">
        <v>125</v>
      </c>
      <c r="J78" s="711"/>
      <c r="K78" s="711"/>
      <c r="L78" s="711"/>
      <c r="M78" s="711"/>
      <c r="N78" s="711"/>
      <c r="O78" s="711"/>
      <c r="P78" s="701"/>
      <c r="Q78" s="712"/>
    </row>
    <row r="79" spans="1:17" ht="14.4" customHeight="1" x14ac:dyDescent="0.3">
      <c r="A79" s="695" t="s">
        <v>3802</v>
      </c>
      <c r="B79" s="696" t="s">
        <v>3597</v>
      </c>
      <c r="C79" s="696" t="s">
        <v>3589</v>
      </c>
      <c r="D79" s="696" t="s">
        <v>3654</v>
      </c>
      <c r="E79" s="696" t="s">
        <v>3655</v>
      </c>
      <c r="F79" s="711">
        <v>1</v>
      </c>
      <c r="G79" s="711">
        <v>123</v>
      </c>
      <c r="H79" s="711">
        <v>1</v>
      </c>
      <c r="I79" s="711">
        <v>123</v>
      </c>
      <c r="J79" s="711"/>
      <c r="K79" s="711"/>
      <c r="L79" s="711"/>
      <c r="M79" s="711"/>
      <c r="N79" s="711"/>
      <c r="O79" s="711"/>
      <c r="P79" s="701"/>
      <c r="Q79" s="712"/>
    </row>
    <row r="80" spans="1:17" ht="14.4" customHeight="1" x14ac:dyDescent="0.3">
      <c r="A80" s="695" t="s">
        <v>3802</v>
      </c>
      <c r="B80" s="696" t="s">
        <v>3597</v>
      </c>
      <c r="C80" s="696" t="s">
        <v>3589</v>
      </c>
      <c r="D80" s="696" t="s">
        <v>3662</v>
      </c>
      <c r="E80" s="696" t="s">
        <v>3663</v>
      </c>
      <c r="F80" s="711"/>
      <c r="G80" s="711"/>
      <c r="H80" s="711"/>
      <c r="I80" s="711"/>
      <c r="J80" s="711"/>
      <c r="K80" s="711"/>
      <c r="L80" s="711"/>
      <c r="M80" s="711"/>
      <c r="N80" s="711">
        <v>1</v>
      </c>
      <c r="O80" s="711">
        <v>116</v>
      </c>
      <c r="P80" s="701"/>
      <c r="Q80" s="712">
        <v>116</v>
      </c>
    </row>
    <row r="81" spans="1:17" ht="14.4" customHeight="1" x14ac:dyDescent="0.3">
      <c r="A81" s="695" t="s">
        <v>3802</v>
      </c>
      <c r="B81" s="696" t="s">
        <v>3597</v>
      </c>
      <c r="C81" s="696" t="s">
        <v>3589</v>
      </c>
      <c r="D81" s="696" t="s">
        <v>3688</v>
      </c>
      <c r="E81" s="696" t="s">
        <v>3689</v>
      </c>
      <c r="F81" s="711">
        <v>1</v>
      </c>
      <c r="G81" s="711">
        <v>0</v>
      </c>
      <c r="H81" s="711"/>
      <c r="I81" s="711">
        <v>0</v>
      </c>
      <c r="J81" s="711"/>
      <c r="K81" s="711"/>
      <c r="L81" s="711"/>
      <c r="M81" s="711"/>
      <c r="N81" s="711"/>
      <c r="O81" s="711"/>
      <c r="P81" s="701"/>
      <c r="Q81" s="712"/>
    </row>
    <row r="82" spans="1:17" ht="14.4" customHeight="1" x14ac:dyDescent="0.3">
      <c r="A82" s="695" t="s">
        <v>3802</v>
      </c>
      <c r="B82" s="696" t="s">
        <v>3597</v>
      </c>
      <c r="C82" s="696" t="s">
        <v>3589</v>
      </c>
      <c r="D82" s="696" t="s">
        <v>3694</v>
      </c>
      <c r="E82" s="696" t="s">
        <v>3695</v>
      </c>
      <c r="F82" s="711">
        <v>1</v>
      </c>
      <c r="G82" s="711">
        <v>75</v>
      </c>
      <c r="H82" s="711">
        <v>1</v>
      </c>
      <c r="I82" s="711">
        <v>75</v>
      </c>
      <c r="J82" s="711"/>
      <c r="K82" s="711"/>
      <c r="L82" s="711"/>
      <c r="M82" s="711"/>
      <c r="N82" s="711"/>
      <c r="O82" s="711"/>
      <c r="P82" s="701"/>
      <c r="Q82" s="712"/>
    </row>
    <row r="83" spans="1:17" ht="14.4" customHeight="1" x14ac:dyDescent="0.3">
      <c r="A83" s="695" t="s">
        <v>3802</v>
      </c>
      <c r="B83" s="696" t="s">
        <v>3597</v>
      </c>
      <c r="C83" s="696" t="s">
        <v>3589</v>
      </c>
      <c r="D83" s="696" t="s">
        <v>3706</v>
      </c>
      <c r="E83" s="696" t="s">
        <v>3707</v>
      </c>
      <c r="F83" s="711"/>
      <c r="G83" s="711"/>
      <c r="H83" s="711"/>
      <c r="I83" s="711"/>
      <c r="J83" s="711"/>
      <c r="K83" s="711"/>
      <c r="L83" s="711"/>
      <c r="M83" s="711"/>
      <c r="N83" s="711">
        <v>1</v>
      </c>
      <c r="O83" s="711">
        <v>232</v>
      </c>
      <c r="P83" s="701"/>
      <c r="Q83" s="712">
        <v>232</v>
      </c>
    </row>
    <row r="84" spans="1:17" ht="14.4" customHeight="1" x14ac:dyDescent="0.3">
      <c r="A84" s="695" t="s">
        <v>3802</v>
      </c>
      <c r="B84" s="696" t="s">
        <v>3597</v>
      </c>
      <c r="C84" s="696" t="s">
        <v>3589</v>
      </c>
      <c r="D84" s="696" t="s">
        <v>3708</v>
      </c>
      <c r="E84" s="696" t="s">
        <v>3709</v>
      </c>
      <c r="F84" s="711">
        <v>1</v>
      </c>
      <c r="G84" s="711">
        <v>111</v>
      </c>
      <c r="H84" s="711">
        <v>1</v>
      </c>
      <c r="I84" s="711">
        <v>111</v>
      </c>
      <c r="J84" s="711"/>
      <c r="K84" s="711"/>
      <c r="L84" s="711"/>
      <c r="M84" s="711"/>
      <c r="N84" s="711"/>
      <c r="O84" s="711"/>
      <c r="P84" s="701"/>
      <c r="Q84" s="712"/>
    </row>
    <row r="85" spans="1:17" ht="14.4" customHeight="1" x14ac:dyDescent="0.3">
      <c r="A85" s="695" t="s">
        <v>3803</v>
      </c>
      <c r="B85" s="696" t="s">
        <v>3597</v>
      </c>
      <c r="C85" s="696" t="s">
        <v>3589</v>
      </c>
      <c r="D85" s="696" t="s">
        <v>3643</v>
      </c>
      <c r="E85" s="696" t="s">
        <v>3644</v>
      </c>
      <c r="F85" s="711"/>
      <c r="G85" s="711"/>
      <c r="H85" s="711"/>
      <c r="I85" s="711"/>
      <c r="J85" s="711">
        <v>1</v>
      </c>
      <c r="K85" s="711">
        <v>34</v>
      </c>
      <c r="L85" s="711"/>
      <c r="M85" s="711">
        <v>34</v>
      </c>
      <c r="N85" s="711">
        <v>3</v>
      </c>
      <c r="O85" s="711">
        <v>102</v>
      </c>
      <c r="P85" s="701"/>
      <c r="Q85" s="712">
        <v>34</v>
      </c>
    </row>
    <row r="86" spans="1:17" ht="14.4" customHeight="1" x14ac:dyDescent="0.3">
      <c r="A86" s="695" t="s">
        <v>3803</v>
      </c>
      <c r="B86" s="696" t="s">
        <v>3597</v>
      </c>
      <c r="C86" s="696" t="s">
        <v>3589</v>
      </c>
      <c r="D86" s="696" t="s">
        <v>3590</v>
      </c>
      <c r="E86" s="696" t="s">
        <v>3591</v>
      </c>
      <c r="F86" s="711"/>
      <c r="G86" s="711"/>
      <c r="H86" s="711"/>
      <c r="I86" s="711"/>
      <c r="J86" s="711">
        <v>1</v>
      </c>
      <c r="K86" s="711">
        <v>232</v>
      </c>
      <c r="L86" s="711"/>
      <c r="M86" s="711">
        <v>232</v>
      </c>
      <c r="N86" s="711"/>
      <c r="O86" s="711"/>
      <c r="P86" s="701"/>
      <c r="Q86" s="712"/>
    </row>
    <row r="87" spans="1:17" ht="14.4" customHeight="1" x14ac:dyDescent="0.3">
      <c r="A87" s="695" t="s">
        <v>3803</v>
      </c>
      <c r="B87" s="696" t="s">
        <v>3597</v>
      </c>
      <c r="C87" s="696" t="s">
        <v>3589</v>
      </c>
      <c r="D87" s="696" t="s">
        <v>3651</v>
      </c>
      <c r="E87" s="696" t="s">
        <v>3652</v>
      </c>
      <c r="F87" s="711">
        <v>9</v>
      </c>
      <c r="G87" s="711">
        <v>1125</v>
      </c>
      <c r="H87" s="711">
        <v>1</v>
      </c>
      <c r="I87" s="711">
        <v>125</v>
      </c>
      <c r="J87" s="711">
        <v>10</v>
      </c>
      <c r="K87" s="711">
        <v>1160</v>
      </c>
      <c r="L87" s="711">
        <v>1.0311111111111111</v>
      </c>
      <c r="M87" s="711">
        <v>116</v>
      </c>
      <c r="N87" s="711"/>
      <c r="O87" s="711"/>
      <c r="P87" s="701"/>
      <c r="Q87" s="712"/>
    </row>
    <row r="88" spans="1:17" ht="14.4" customHeight="1" x14ac:dyDescent="0.3">
      <c r="A88" s="695" t="s">
        <v>3803</v>
      </c>
      <c r="B88" s="696" t="s">
        <v>3597</v>
      </c>
      <c r="C88" s="696" t="s">
        <v>3589</v>
      </c>
      <c r="D88" s="696" t="s">
        <v>3662</v>
      </c>
      <c r="E88" s="696" t="s">
        <v>3663</v>
      </c>
      <c r="F88" s="711"/>
      <c r="G88" s="711"/>
      <c r="H88" s="711"/>
      <c r="I88" s="711"/>
      <c r="J88" s="711">
        <v>4</v>
      </c>
      <c r="K88" s="711">
        <v>464</v>
      </c>
      <c r="L88" s="711"/>
      <c r="M88" s="711">
        <v>116</v>
      </c>
      <c r="N88" s="711">
        <v>6</v>
      </c>
      <c r="O88" s="711">
        <v>696</v>
      </c>
      <c r="P88" s="701"/>
      <c r="Q88" s="712">
        <v>116</v>
      </c>
    </row>
    <row r="89" spans="1:17" ht="14.4" customHeight="1" x14ac:dyDescent="0.3">
      <c r="A89" s="695" t="s">
        <v>3803</v>
      </c>
      <c r="B89" s="696" t="s">
        <v>3597</v>
      </c>
      <c r="C89" s="696" t="s">
        <v>3589</v>
      </c>
      <c r="D89" s="696" t="s">
        <v>3678</v>
      </c>
      <c r="E89" s="696" t="s">
        <v>3679</v>
      </c>
      <c r="F89" s="711"/>
      <c r="G89" s="711"/>
      <c r="H89" s="711"/>
      <c r="I89" s="711"/>
      <c r="J89" s="711"/>
      <c r="K89" s="711"/>
      <c r="L89" s="711"/>
      <c r="M89" s="711"/>
      <c r="N89" s="711">
        <v>0</v>
      </c>
      <c r="O89" s="711">
        <v>0</v>
      </c>
      <c r="P89" s="701"/>
      <c r="Q89" s="712"/>
    </row>
    <row r="90" spans="1:17" ht="14.4" customHeight="1" x14ac:dyDescent="0.3">
      <c r="A90" s="695" t="s">
        <v>3803</v>
      </c>
      <c r="B90" s="696" t="s">
        <v>3597</v>
      </c>
      <c r="C90" s="696" t="s">
        <v>3589</v>
      </c>
      <c r="D90" s="696" t="s">
        <v>3688</v>
      </c>
      <c r="E90" s="696" t="s">
        <v>3689</v>
      </c>
      <c r="F90" s="711">
        <v>2</v>
      </c>
      <c r="G90" s="711">
        <v>0</v>
      </c>
      <c r="H90" s="711"/>
      <c r="I90" s="711">
        <v>0</v>
      </c>
      <c r="J90" s="711">
        <v>4</v>
      </c>
      <c r="K90" s="711">
        <v>0</v>
      </c>
      <c r="L90" s="711"/>
      <c r="M90" s="711">
        <v>0</v>
      </c>
      <c r="N90" s="711"/>
      <c r="O90" s="711"/>
      <c r="P90" s="701"/>
      <c r="Q90" s="712"/>
    </row>
    <row r="91" spans="1:17" ht="14.4" customHeight="1" x14ac:dyDescent="0.3">
      <c r="A91" s="695" t="s">
        <v>3803</v>
      </c>
      <c r="B91" s="696" t="s">
        <v>3597</v>
      </c>
      <c r="C91" s="696" t="s">
        <v>3589</v>
      </c>
      <c r="D91" s="696" t="s">
        <v>3694</v>
      </c>
      <c r="E91" s="696" t="s">
        <v>3695</v>
      </c>
      <c r="F91" s="711"/>
      <c r="G91" s="711"/>
      <c r="H91" s="711"/>
      <c r="I91" s="711"/>
      <c r="J91" s="711"/>
      <c r="K91" s="711"/>
      <c r="L91" s="711"/>
      <c r="M91" s="711"/>
      <c r="N91" s="711">
        <v>0</v>
      </c>
      <c r="O91" s="711">
        <v>0</v>
      </c>
      <c r="P91" s="701"/>
      <c r="Q91" s="712"/>
    </row>
    <row r="92" spans="1:17" ht="14.4" customHeight="1" x14ac:dyDescent="0.3">
      <c r="A92" s="695" t="s">
        <v>3803</v>
      </c>
      <c r="B92" s="696" t="s">
        <v>3597</v>
      </c>
      <c r="C92" s="696" t="s">
        <v>3589</v>
      </c>
      <c r="D92" s="696" t="s">
        <v>3706</v>
      </c>
      <c r="E92" s="696" t="s">
        <v>3707</v>
      </c>
      <c r="F92" s="711"/>
      <c r="G92" s="711"/>
      <c r="H92" s="711"/>
      <c r="I92" s="711"/>
      <c r="J92" s="711"/>
      <c r="K92" s="711"/>
      <c r="L92" s="711"/>
      <c r="M92" s="711"/>
      <c r="N92" s="711">
        <v>1</v>
      </c>
      <c r="O92" s="711">
        <v>232</v>
      </c>
      <c r="P92" s="701"/>
      <c r="Q92" s="712">
        <v>232</v>
      </c>
    </row>
    <row r="93" spans="1:17" ht="14.4" customHeight="1" x14ac:dyDescent="0.3">
      <c r="A93" s="695" t="s">
        <v>3804</v>
      </c>
      <c r="B93" s="696" t="s">
        <v>3597</v>
      </c>
      <c r="C93" s="696" t="s">
        <v>3620</v>
      </c>
      <c r="D93" s="696" t="s">
        <v>3631</v>
      </c>
      <c r="E93" s="696" t="s">
        <v>3584</v>
      </c>
      <c r="F93" s="711">
        <v>1</v>
      </c>
      <c r="G93" s="711">
        <v>194</v>
      </c>
      <c r="H93" s="711">
        <v>1</v>
      </c>
      <c r="I93" s="711">
        <v>194</v>
      </c>
      <c r="J93" s="711"/>
      <c r="K93" s="711"/>
      <c r="L93" s="711"/>
      <c r="M93" s="711"/>
      <c r="N93" s="711"/>
      <c r="O93" s="711"/>
      <c r="P93" s="701"/>
      <c r="Q93" s="712"/>
    </row>
    <row r="94" spans="1:17" ht="14.4" customHeight="1" x14ac:dyDescent="0.3">
      <c r="A94" s="695" t="s">
        <v>3804</v>
      </c>
      <c r="B94" s="696" t="s">
        <v>3597</v>
      </c>
      <c r="C94" s="696" t="s">
        <v>3589</v>
      </c>
      <c r="D94" s="696" t="s">
        <v>3643</v>
      </c>
      <c r="E94" s="696" t="s">
        <v>3644</v>
      </c>
      <c r="F94" s="711">
        <v>2</v>
      </c>
      <c r="G94" s="711">
        <v>68</v>
      </c>
      <c r="H94" s="711">
        <v>1</v>
      </c>
      <c r="I94" s="711">
        <v>34</v>
      </c>
      <c r="J94" s="711"/>
      <c r="K94" s="711"/>
      <c r="L94" s="711"/>
      <c r="M94" s="711"/>
      <c r="N94" s="711">
        <v>2</v>
      </c>
      <c r="O94" s="711">
        <v>68</v>
      </c>
      <c r="P94" s="701">
        <v>1</v>
      </c>
      <c r="Q94" s="712">
        <v>34</v>
      </c>
    </row>
    <row r="95" spans="1:17" ht="14.4" customHeight="1" x14ac:dyDescent="0.3">
      <c r="A95" s="695" t="s">
        <v>3804</v>
      </c>
      <c r="B95" s="696" t="s">
        <v>3597</v>
      </c>
      <c r="C95" s="696" t="s">
        <v>3589</v>
      </c>
      <c r="D95" s="696" t="s">
        <v>3590</v>
      </c>
      <c r="E95" s="696" t="s">
        <v>3591</v>
      </c>
      <c r="F95" s="711"/>
      <c r="G95" s="711"/>
      <c r="H95" s="711"/>
      <c r="I95" s="711"/>
      <c r="J95" s="711">
        <v>1</v>
      </c>
      <c r="K95" s="711">
        <v>232</v>
      </c>
      <c r="L95" s="711"/>
      <c r="M95" s="711">
        <v>232</v>
      </c>
      <c r="N95" s="711"/>
      <c r="O95" s="711"/>
      <c r="P95" s="701"/>
      <c r="Q95" s="712"/>
    </row>
    <row r="96" spans="1:17" ht="14.4" customHeight="1" x14ac:dyDescent="0.3">
      <c r="A96" s="695" t="s">
        <v>3804</v>
      </c>
      <c r="B96" s="696" t="s">
        <v>3597</v>
      </c>
      <c r="C96" s="696" t="s">
        <v>3589</v>
      </c>
      <c r="D96" s="696" t="s">
        <v>3651</v>
      </c>
      <c r="E96" s="696" t="s">
        <v>3652</v>
      </c>
      <c r="F96" s="711">
        <v>24</v>
      </c>
      <c r="G96" s="711">
        <v>3000</v>
      </c>
      <c r="H96" s="711">
        <v>1</v>
      </c>
      <c r="I96" s="711">
        <v>125</v>
      </c>
      <c r="J96" s="711">
        <v>20</v>
      </c>
      <c r="K96" s="711">
        <v>2320</v>
      </c>
      <c r="L96" s="711">
        <v>0.77333333333333332</v>
      </c>
      <c r="M96" s="711">
        <v>116</v>
      </c>
      <c r="N96" s="711"/>
      <c r="O96" s="711"/>
      <c r="P96" s="701"/>
      <c r="Q96" s="712"/>
    </row>
    <row r="97" spans="1:17" ht="14.4" customHeight="1" x14ac:dyDescent="0.3">
      <c r="A97" s="695" t="s">
        <v>3804</v>
      </c>
      <c r="B97" s="696" t="s">
        <v>3597</v>
      </c>
      <c r="C97" s="696" t="s">
        <v>3589</v>
      </c>
      <c r="D97" s="696" t="s">
        <v>3595</v>
      </c>
      <c r="E97" s="696" t="s">
        <v>3596</v>
      </c>
      <c r="F97" s="711"/>
      <c r="G97" s="711"/>
      <c r="H97" s="711"/>
      <c r="I97" s="711"/>
      <c r="J97" s="711">
        <v>1</v>
      </c>
      <c r="K97" s="711">
        <v>149</v>
      </c>
      <c r="L97" s="711"/>
      <c r="M97" s="711">
        <v>149</v>
      </c>
      <c r="N97" s="711"/>
      <c r="O97" s="711"/>
      <c r="P97" s="701"/>
      <c r="Q97" s="712"/>
    </row>
    <row r="98" spans="1:17" ht="14.4" customHeight="1" x14ac:dyDescent="0.3">
      <c r="A98" s="695" t="s">
        <v>3804</v>
      </c>
      <c r="B98" s="696" t="s">
        <v>3597</v>
      </c>
      <c r="C98" s="696" t="s">
        <v>3589</v>
      </c>
      <c r="D98" s="696" t="s">
        <v>3658</v>
      </c>
      <c r="E98" s="696" t="s">
        <v>3659</v>
      </c>
      <c r="F98" s="711">
        <v>2</v>
      </c>
      <c r="G98" s="711">
        <v>186</v>
      </c>
      <c r="H98" s="711">
        <v>1</v>
      </c>
      <c r="I98" s="711">
        <v>93</v>
      </c>
      <c r="J98" s="711"/>
      <c r="K98" s="711"/>
      <c r="L98" s="711"/>
      <c r="M98" s="711"/>
      <c r="N98" s="711">
        <v>1</v>
      </c>
      <c r="O98" s="711">
        <v>93</v>
      </c>
      <c r="P98" s="701">
        <v>0.5</v>
      </c>
      <c r="Q98" s="712">
        <v>93</v>
      </c>
    </row>
    <row r="99" spans="1:17" ht="14.4" customHeight="1" x14ac:dyDescent="0.3">
      <c r="A99" s="695" t="s">
        <v>3804</v>
      </c>
      <c r="B99" s="696" t="s">
        <v>3597</v>
      </c>
      <c r="C99" s="696" t="s">
        <v>3589</v>
      </c>
      <c r="D99" s="696" t="s">
        <v>3662</v>
      </c>
      <c r="E99" s="696" t="s">
        <v>3663</v>
      </c>
      <c r="F99" s="711"/>
      <c r="G99" s="711"/>
      <c r="H99" s="711"/>
      <c r="I99" s="711"/>
      <c r="J99" s="711">
        <v>4</v>
      </c>
      <c r="K99" s="711">
        <v>464</v>
      </c>
      <c r="L99" s="711"/>
      <c r="M99" s="711">
        <v>116</v>
      </c>
      <c r="N99" s="711">
        <v>26</v>
      </c>
      <c r="O99" s="711">
        <v>3016</v>
      </c>
      <c r="P99" s="701"/>
      <c r="Q99" s="712">
        <v>116</v>
      </c>
    </row>
    <row r="100" spans="1:17" ht="14.4" customHeight="1" x14ac:dyDescent="0.3">
      <c r="A100" s="695" t="s">
        <v>3804</v>
      </c>
      <c r="B100" s="696" t="s">
        <v>3597</v>
      </c>
      <c r="C100" s="696" t="s">
        <v>3589</v>
      </c>
      <c r="D100" s="696" t="s">
        <v>3688</v>
      </c>
      <c r="E100" s="696" t="s">
        <v>3689</v>
      </c>
      <c r="F100" s="711">
        <v>1</v>
      </c>
      <c r="G100" s="711">
        <v>0</v>
      </c>
      <c r="H100" s="711"/>
      <c r="I100" s="711">
        <v>0</v>
      </c>
      <c r="J100" s="711">
        <v>1</v>
      </c>
      <c r="K100" s="711">
        <v>0</v>
      </c>
      <c r="L100" s="711"/>
      <c r="M100" s="711">
        <v>0</v>
      </c>
      <c r="N100" s="711"/>
      <c r="O100" s="711"/>
      <c r="P100" s="701"/>
      <c r="Q100" s="712"/>
    </row>
    <row r="101" spans="1:17" ht="14.4" customHeight="1" x14ac:dyDescent="0.3">
      <c r="A101" s="695" t="s">
        <v>3804</v>
      </c>
      <c r="B101" s="696" t="s">
        <v>3597</v>
      </c>
      <c r="C101" s="696" t="s">
        <v>3589</v>
      </c>
      <c r="D101" s="696" t="s">
        <v>3694</v>
      </c>
      <c r="E101" s="696" t="s">
        <v>3695</v>
      </c>
      <c r="F101" s="711"/>
      <c r="G101" s="711"/>
      <c r="H101" s="711"/>
      <c r="I101" s="711"/>
      <c r="J101" s="711">
        <v>1</v>
      </c>
      <c r="K101" s="711">
        <v>81</v>
      </c>
      <c r="L101" s="711"/>
      <c r="M101" s="711">
        <v>81</v>
      </c>
      <c r="N101" s="711"/>
      <c r="O101" s="711"/>
      <c r="P101" s="701"/>
      <c r="Q101" s="712"/>
    </row>
    <row r="102" spans="1:17" ht="14.4" customHeight="1" x14ac:dyDescent="0.3">
      <c r="A102" s="695" t="s">
        <v>3804</v>
      </c>
      <c r="B102" s="696" t="s">
        <v>3597</v>
      </c>
      <c r="C102" s="696" t="s">
        <v>3589</v>
      </c>
      <c r="D102" s="696" t="s">
        <v>3592</v>
      </c>
      <c r="E102" s="696" t="s">
        <v>3593</v>
      </c>
      <c r="F102" s="711">
        <v>1</v>
      </c>
      <c r="G102" s="711">
        <v>185</v>
      </c>
      <c r="H102" s="711">
        <v>1</v>
      </c>
      <c r="I102" s="711">
        <v>185</v>
      </c>
      <c r="J102" s="711"/>
      <c r="K102" s="711"/>
      <c r="L102" s="711"/>
      <c r="M102" s="711"/>
      <c r="N102" s="711"/>
      <c r="O102" s="711"/>
      <c r="P102" s="701"/>
      <c r="Q102" s="712"/>
    </row>
    <row r="103" spans="1:17" ht="14.4" customHeight="1" x14ac:dyDescent="0.3">
      <c r="A103" s="695" t="s">
        <v>3804</v>
      </c>
      <c r="B103" s="696" t="s">
        <v>3597</v>
      </c>
      <c r="C103" s="696" t="s">
        <v>3589</v>
      </c>
      <c r="D103" s="696" t="s">
        <v>3726</v>
      </c>
      <c r="E103" s="696" t="s">
        <v>3727</v>
      </c>
      <c r="F103" s="711"/>
      <c r="G103" s="711"/>
      <c r="H103" s="711"/>
      <c r="I103" s="711"/>
      <c r="J103" s="711">
        <v>1</v>
      </c>
      <c r="K103" s="711">
        <v>109</v>
      </c>
      <c r="L103" s="711"/>
      <c r="M103" s="711">
        <v>109</v>
      </c>
      <c r="N103" s="711">
        <v>1</v>
      </c>
      <c r="O103" s="711">
        <v>109</v>
      </c>
      <c r="P103" s="701"/>
      <c r="Q103" s="712">
        <v>109</v>
      </c>
    </row>
    <row r="104" spans="1:17" ht="14.4" customHeight="1" x14ac:dyDescent="0.3">
      <c r="A104" s="695" t="s">
        <v>3804</v>
      </c>
      <c r="B104" s="696" t="s">
        <v>3597</v>
      </c>
      <c r="C104" s="696" t="s">
        <v>3589</v>
      </c>
      <c r="D104" s="696" t="s">
        <v>3734</v>
      </c>
      <c r="E104" s="696" t="s">
        <v>3735</v>
      </c>
      <c r="F104" s="711">
        <v>1</v>
      </c>
      <c r="G104" s="711">
        <v>221</v>
      </c>
      <c r="H104" s="711">
        <v>1</v>
      </c>
      <c r="I104" s="711">
        <v>221</v>
      </c>
      <c r="J104" s="711">
        <v>1</v>
      </c>
      <c r="K104" s="711">
        <v>221</v>
      </c>
      <c r="L104" s="711">
        <v>1</v>
      </c>
      <c r="M104" s="711">
        <v>221</v>
      </c>
      <c r="N104" s="711"/>
      <c r="O104" s="711"/>
      <c r="P104" s="701"/>
      <c r="Q104" s="712"/>
    </row>
    <row r="105" spans="1:17" ht="14.4" customHeight="1" x14ac:dyDescent="0.3">
      <c r="A105" s="695" t="s">
        <v>556</v>
      </c>
      <c r="B105" s="696" t="s">
        <v>3597</v>
      </c>
      <c r="C105" s="696" t="s">
        <v>3589</v>
      </c>
      <c r="D105" s="696" t="s">
        <v>3643</v>
      </c>
      <c r="E105" s="696" t="s">
        <v>3644</v>
      </c>
      <c r="F105" s="711">
        <v>5</v>
      </c>
      <c r="G105" s="711">
        <v>170</v>
      </c>
      <c r="H105" s="711">
        <v>1</v>
      </c>
      <c r="I105" s="711">
        <v>34</v>
      </c>
      <c r="J105" s="711">
        <v>15</v>
      </c>
      <c r="K105" s="711">
        <v>510</v>
      </c>
      <c r="L105" s="711">
        <v>3</v>
      </c>
      <c r="M105" s="711">
        <v>34</v>
      </c>
      <c r="N105" s="711">
        <v>111</v>
      </c>
      <c r="O105" s="711">
        <v>3774</v>
      </c>
      <c r="P105" s="701">
        <v>22.2</v>
      </c>
      <c r="Q105" s="712">
        <v>34</v>
      </c>
    </row>
    <row r="106" spans="1:17" ht="14.4" customHeight="1" x14ac:dyDescent="0.3">
      <c r="A106" s="695" t="s">
        <v>556</v>
      </c>
      <c r="B106" s="696" t="s">
        <v>3597</v>
      </c>
      <c r="C106" s="696" t="s">
        <v>3589</v>
      </c>
      <c r="D106" s="696" t="s">
        <v>3645</v>
      </c>
      <c r="E106" s="696" t="s">
        <v>3646</v>
      </c>
      <c r="F106" s="711"/>
      <c r="G106" s="711"/>
      <c r="H106" s="711"/>
      <c r="I106" s="711"/>
      <c r="J106" s="711"/>
      <c r="K106" s="711"/>
      <c r="L106" s="711"/>
      <c r="M106" s="711"/>
      <c r="N106" s="711">
        <v>53</v>
      </c>
      <c r="O106" s="711">
        <v>265</v>
      </c>
      <c r="P106" s="701"/>
      <c r="Q106" s="712">
        <v>5</v>
      </c>
    </row>
    <row r="107" spans="1:17" ht="14.4" customHeight="1" x14ac:dyDescent="0.3">
      <c r="A107" s="695" t="s">
        <v>556</v>
      </c>
      <c r="B107" s="696" t="s">
        <v>3597</v>
      </c>
      <c r="C107" s="696" t="s">
        <v>3589</v>
      </c>
      <c r="D107" s="696" t="s">
        <v>3590</v>
      </c>
      <c r="E107" s="696" t="s">
        <v>3591</v>
      </c>
      <c r="F107" s="711">
        <v>24</v>
      </c>
      <c r="G107" s="711">
        <v>5976</v>
      </c>
      <c r="H107" s="711">
        <v>1</v>
      </c>
      <c r="I107" s="711">
        <v>249</v>
      </c>
      <c r="J107" s="711">
        <v>15</v>
      </c>
      <c r="K107" s="711">
        <v>3480</v>
      </c>
      <c r="L107" s="711">
        <v>0.58232931726907633</v>
      </c>
      <c r="M107" s="711">
        <v>232</v>
      </c>
      <c r="N107" s="711"/>
      <c r="O107" s="711"/>
      <c r="P107" s="701"/>
      <c r="Q107" s="712"/>
    </row>
    <row r="108" spans="1:17" ht="14.4" customHeight="1" x14ac:dyDescent="0.3">
      <c r="A108" s="695" t="s">
        <v>556</v>
      </c>
      <c r="B108" s="696" t="s">
        <v>3597</v>
      </c>
      <c r="C108" s="696" t="s">
        <v>3589</v>
      </c>
      <c r="D108" s="696" t="s">
        <v>3651</v>
      </c>
      <c r="E108" s="696" t="s">
        <v>3652</v>
      </c>
      <c r="F108" s="711">
        <v>8</v>
      </c>
      <c r="G108" s="711">
        <v>1000</v>
      </c>
      <c r="H108" s="711">
        <v>1</v>
      </c>
      <c r="I108" s="711">
        <v>125</v>
      </c>
      <c r="J108" s="711">
        <v>5</v>
      </c>
      <c r="K108" s="711">
        <v>580</v>
      </c>
      <c r="L108" s="711">
        <v>0.57999999999999996</v>
      </c>
      <c r="M108" s="711">
        <v>116</v>
      </c>
      <c r="N108" s="711"/>
      <c r="O108" s="711"/>
      <c r="P108" s="701"/>
      <c r="Q108" s="712"/>
    </row>
    <row r="109" spans="1:17" ht="14.4" customHeight="1" x14ac:dyDescent="0.3">
      <c r="A109" s="695" t="s">
        <v>556</v>
      </c>
      <c r="B109" s="696" t="s">
        <v>3597</v>
      </c>
      <c r="C109" s="696" t="s">
        <v>3589</v>
      </c>
      <c r="D109" s="696" t="s">
        <v>3595</v>
      </c>
      <c r="E109" s="696" t="s">
        <v>3596</v>
      </c>
      <c r="F109" s="711"/>
      <c r="G109" s="711"/>
      <c r="H109" s="711"/>
      <c r="I109" s="711"/>
      <c r="J109" s="711">
        <v>1</v>
      </c>
      <c r="K109" s="711">
        <v>149</v>
      </c>
      <c r="L109" s="711"/>
      <c r="M109" s="711">
        <v>149</v>
      </c>
      <c r="N109" s="711"/>
      <c r="O109" s="711"/>
      <c r="P109" s="701"/>
      <c r="Q109" s="712"/>
    </row>
    <row r="110" spans="1:17" ht="14.4" customHeight="1" x14ac:dyDescent="0.3">
      <c r="A110" s="695" t="s">
        <v>556</v>
      </c>
      <c r="B110" s="696" t="s">
        <v>3597</v>
      </c>
      <c r="C110" s="696" t="s">
        <v>3589</v>
      </c>
      <c r="D110" s="696" t="s">
        <v>3662</v>
      </c>
      <c r="E110" s="696" t="s">
        <v>3663</v>
      </c>
      <c r="F110" s="711"/>
      <c r="G110" s="711"/>
      <c r="H110" s="711"/>
      <c r="I110" s="711"/>
      <c r="J110" s="711">
        <v>13</v>
      </c>
      <c r="K110" s="711">
        <v>1508</v>
      </c>
      <c r="L110" s="711"/>
      <c r="M110" s="711">
        <v>116</v>
      </c>
      <c r="N110" s="711">
        <v>10</v>
      </c>
      <c r="O110" s="711">
        <v>1160</v>
      </c>
      <c r="P110" s="701"/>
      <c r="Q110" s="712">
        <v>116</v>
      </c>
    </row>
    <row r="111" spans="1:17" ht="14.4" customHeight="1" x14ac:dyDescent="0.3">
      <c r="A111" s="695" t="s">
        <v>556</v>
      </c>
      <c r="B111" s="696" t="s">
        <v>3597</v>
      </c>
      <c r="C111" s="696" t="s">
        <v>3589</v>
      </c>
      <c r="D111" s="696" t="s">
        <v>3688</v>
      </c>
      <c r="E111" s="696" t="s">
        <v>3689</v>
      </c>
      <c r="F111" s="711"/>
      <c r="G111" s="711"/>
      <c r="H111" s="711"/>
      <c r="I111" s="711"/>
      <c r="J111" s="711">
        <v>2</v>
      </c>
      <c r="K111" s="711">
        <v>0</v>
      </c>
      <c r="L111" s="711"/>
      <c r="M111" s="711">
        <v>0</v>
      </c>
      <c r="N111" s="711">
        <v>1</v>
      </c>
      <c r="O111" s="711">
        <v>0</v>
      </c>
      <c r="P111" s="701"/>
      <c r="Q111" s="712">
        <v>0</v>
      </c>
    </row>
    <row r="112" spans="1:17" ht="14.4" customHeight="1" x14ac:dyDescent="0.3">
      <c r="A112" s="695" t="s">
        <v>556</v>
      </c>
      <c r="B112" s="696" t="s">
        <v>3597</v>
      </c>
      <c r="C112" s="696" t="s">
        <v>3589</v>
      </c>
      <c r="D112" s="696" t="s">
        <v>3694</v>
      </c>
      <c r="E112" s="696" t="s">
        <v>3695</v>
      </c>
      <c r="F112" s="711">
        <v>1</v>
      </c>
      <c r="G112" s="711">
        <v>75</v>
      </c>
      <c r="H112" s="711">
        <v>1</v>
      </c>
      <c r="I112" s="711">
        <v>75</v>
      </c>
      <c r="J112" s="711"/>
      <c r="K112" s="711"/>
      <c r="L112" s="711"/>
      <c r="M112" s="711"/>
      <c r="N112" s="711"/>
      <c r="O112" s="711"/>
      <c r="P112" s="701"/>
      <c r="Q112" s="712"/>
    </row>
    <row r="113" spans="1:17" ht="14.4" customHeight="1" x14ac:dyDescent="0.3">
      <c r="A113" s="695" t="s">
        <v>556</v>
      </c>
      <c r="B113" s="696" t="s">
        <v>3597</v>
      </c>
      <c r="C113" s="696" t="s">
        <v>3589</v>
      </c>
      <c r="D113" s="696" t="s">
        <v>3698</v>
      </c>
      <c r="E113" s="696" t="s">
        <v>3699</v>
      </c>
      <c r="F113" s="711">
        <v>1</v>
      </c>
      <c r="G113" s="711">
        <v>0</v>
      </c>
      <c r="H113" s="711"/>
      <c r="I113" s="711">
        <v>0</v>
      </c>
      <c r="J113" s="711"/>
      <c r="K113" s="711"/>
      <c r="L113" s="711"/>
      <c r="M113" s="711"/>
      <c r="N113" s="711"/>
      <c r="O113" s="711"/>
      <c r="P113" s="701"/>
      <c r="Q113" s="712"/>
    </row>
    <row r="114" spans="1:17" ht="14.4" customHeight="1" x14ac:dyDescent="0.3">
      <c r="A114" s="695" t="s">
        <v>556</v>
      </c>
      <c r="B114" s="696" t="s">
        <v>3597</v>
      </c>
      <c r="C114" s="696" t="s">
        <v>3589</v>
      </c>
      <c r="D114" s="696" t="s">
        <v>3706</v>
      </c>
      <c r="E114" s="696" t="s">
        <v>3707</v>
      </c>
      <c r="F114" s="711"/>
      <c r="G114" s="711"/>
      <c r="H114" s="711"/>
      <c r="I114" s="711"/>
      <c r="J114" s="711">
        <v>31</v>
      </c>
      <c r="K114" s="711">
        <v>7192</v>
      </c>
      <c r="L114" s="711"/>
      <c r="M114" s="711">
        <v>232</v>
      </c>
      <c r="N114" s="711">
        <v>6</v>
      </c>
      <c r="O114" s="711">
        <v>1392</v>
      </c>
      <c r="P114" s="701"/>
      <c r="Q114" s="712">
        <v>232</v>
      </c>
    </row>
    <row r="115" spans="1:17" ht="14.4" customHeight="1" x14ac:dyDescent="0.3">
      <c r="A115" s="695" t="s">
        <v>556</v>
      </c>
      <c r="B115" s="696" t="s">
        <v>3597</v>
      </c>
      <c r="C115" s="696" t="s">
        <v>3589</v>
      </c>
      <c r="D115" s="696" t="s">
        <v>3805</v>
      </c>
      <c r="E115" s="696" t="s">
        <v>3806</v>
      </c>
      <c r="F115" s="711"/>
      <c r="G115" s="711"/>
      <c r="H115" s="711"/>
      <c r="I115" s="711"/>
      <c r="J115" s="711"/>
      <c r="K115" s="711"/>
      <c r="L115" s="711"/>
      <c r="M115" s="711"/>
      <c r="N115" s="711">
        <v>1</v>
      </c>
      <c r="O115" s="711">
        <v>351</v>
      </c>
      <c r="P115" s="701"/>
      <c r="Q115" s="712">
        <v>351</v>
      </c>
    </row>
    <row r="116" spans="1:17" ht="14.4" customHeight="1" x14ac:dyDescent="0.3">
      <c r="A116" s="695" t="s">
        <v>556</v>
      </c>
      <c r="B116" s="696" t="s">
        <v>3597</v>
      </c>
      <c r="C116" s="696" t="s">
        <v>3589</v>
      </c>
      <c r="D116" s="696" t="s">
        <v>3807</v>
      </c>
      <c r="E116" s="696" t="s">
        <v>3808</v>
      </c>
      <c r="F116" s="711"/>
      <c r="G116" s="711"/>
      <c r="H116" s="711"/>
      <c r="I116" s="711"/>
      <c r="J116" s="711">
        <v>1</v>
      </c>
      <c r="K116" s="711">
        <v>1576</v>
      </c>
      <c r="L116" s="711"/>
      <c r="M116" s="711">
        <v>1576</v>
      </c>
      <c r="N116" s="711"/>
      <c r="O116" s="711"/>
      <c r="P116" s="701"/>
      <c r="Q116" s="712"/>
    </row>
    <row r="117" spans="1:17" ht="14.4" customHeight="1" x14ac:dyDescent="0.3">
      <c r="A117" s="695" t="s">
        <v>556</v>
      </c>
      <c r="B117" s="696" t="s">
        <v>3597</v>
      </c>
      <c r="C117" s="696" t="s">
        <v>3589</v>
      </c>
      <c r="D117" s="696" t="s">
        <v>3809</v>
      </c>
      <c r="E117" s="696" t="s">
        <v>3810</v>
      </c>
      <c r="F117" s="711"/>
      <c r="G117" s="711"/>
      <c r="H117" s="711"/>
      <c r="I117" s="711"/>
      <c r="J117" s="711">
        <v>1</v>
      </c>
      <c r="K117" s="711">
        <v>241</v>
      </c>
      <c r="L117" s="711"/>
      <c r="M117" s="711">
        <v>241</v>
      </c>
      <c r="N117" s="711">
        <v>1</v>
      </c>
      <c r="O117" s="711">
        <v>241</v>
      </c>
      <c r="P117" s="701"/>
      <c r="Q117" s="712">
        <v>241</v>
      </c>
    </row>
    <row r="118" spans="1:17" ht="14.4" customHeight="1" x14ac:dyDescent="0.3">
      <c r="A118" s="695" t="s">
        <v>556</v>
      </c>
      <c r="B118" s="696" t="s">
        <v>3811</v>
      </c>
      <c r="C118" s="696" t="s">
        <v>3589</v>
      </c>
      <c r="D118" s="696" t="s">
        <v>3812</v>
      </c>
      <c r="E118" s="696" t="s">
        <v>3813</v>
      </c>
      <c r="F118" s="711">
        <v>1</v>
      </c>
      <c r="G118" s="711">
        <v>1883</v>
      </c>
      <c r="H118" s="711">
        <v>1</v>
      </c>
      <c r="I118" s="711">
        <v>1883</v>
      </c>
      <c r="J118" s="711"/>
      <c r="K118" s="711"/>
      <c r="L118" s="711"/>
      <c r="M118" s="711"/>
      <c r="N118" s="711"/>
      <c r="O118" s="711"/>
      <c r="P118" s="701"/>
      <c r="Q118" s="712"/>
    </row>
    <row r="119" spans="1:17" ht="14.4" customHeight="1" x14ac:dyDescent="0.3">
      <c r="A119" s="695" t="s">
        <v>556</v>
      </c>
      <c r="B119" s="696" t="s">
        <v>3811</v>
      </c>
      <c r="C119" s="696" t="s">
        <v>3589</v>
      </c>
      <c r="D119" s="696" t="s">
        <v>3814</v>
      </c>
      <c r="E119" s="696" t="s">
        <v>3815</v>
      </c>
      <c r="F119" s="711"/>
      <c r="G119" s="711"/>
      <c r="H119" s="711"/>
      <c r="I119" s="711"/>
      <c r="J119" s="711"/>
      <c r="K119" s="711"/>
      <c r="L119" s="711"/>
      <c r="M119" s="711"/>
      <c r="N119" s="711">
        <v>1</v>
      </c>
      <c r="O119" s="711">
        <v>2678</v>
      </c>
      <c r="P119" s="701"/>
      <c r="Q119" s="712">
        <v>2678</v>
      </c>
    </row>
    <row r="120" spans="1:17" ht="14.4" customHeight="1" x14ac:dyDescent="0.3">
      <c r="A120" s="695" t="s">
        <v>556</v>
      </c>
      <c r="B120" s="696" t="s">
        <v>3811</v>
      </c>
      <c r="C120" s="696" t="s">
        <v>3589</v>
      </c>
      <c r="D120" s="696" t="s">
        <v>3816</v>
      </c>
      <c r="E120" s="696" t="s">
        <v>3817</v>
      </c>
      <c r="F120" s="711"/>
      <c r="G120" s="711"/>
      <c r="H120" s="711"/>
      <c r="I120" s="711"/>
      <c r="J120" s="711"/>
      <c r="K120" s="711"/>
      <c r="L120" s="711"/>
      <c r="M120" s="711"/>
      <c r="N120" s="711">
        <v>1</v>
      </c>
      <c r="O120" s="711">
        <v>5940</v>
      </c>
      <c r="P120" s="701"/>
      <c r="Q120" s="712">
        <v>5940</v>
      </c>
    </row>
    <row r="121" spans="1:17" ht="14.4" customHeight="1" x14ac:dyDescent="0.3">
      <c r="A121" s="695" t="s">
        <v>556</v>
      </c>
      <c r="B121" s="696" t="s">
        <v>3811</v>
      </c>
      <c r="C121" s="696" t="s">
        <v>3589</v>
      </c>
      <c r="D121" s="696" t="s">
        <v>3818</v>
      </c>
      <c r="E121" s="696" t="s">
        <v>3819</v>
      </c>
      <c r="F121" s="711"/>
      <c r="G121" s="711"/>
      <c r="H121" s="711"/>
      <c r="I121" s="711"/>
      <c r="J121" s="711"/>
      <c r="K121" s="711"/>
      <c r="L121" s="711"/>
      <c r="M121" s="711"/>
      <c r="N121" s="711">
        <v>1</v>
      </c>
      <c r="O121" s="711">
        <v>3340</v>
      </c>
      <c r="P121" s="701"/>
      <c r="Q121" s="712">
        <v>3340</v>
      </c>
    </row>
    <row r="122" spans="1:17" ht="14.4" customHeight="1" x14ac:dyDescent="0.3">
      <c r="A122" s="695" t="s">
        <v>556</v>
      </c>
      <c r="B122" s="696" t="s">
        <v>3811</v>
      </c>
      <c r="C122" s="696" t="s">
        <v>3589</v>
      </c>
      <c r="D122" s="696" t="s">
        <v>3820</v>
      </c>
      <c r="E122" s="696" t="s">
        <v>3821</v>
      </c>
      <c r="F122" s="711"/>
      <c r="G122" s="711"/>
      <c r="H122" s="711"/>
      <c r="I122" s="711"/>
      <c r="J122" s="711">
        <v>2</v>
      </c>
      <c r="K122" s="711">
        <v>9778</v>
      </c>
      <c r="L122" s="711"/>
      <c r="M122" s="711">
        <v>4889</v>
      </c>
      <c r="N122" s="711"/>
      <c r="O122" s="711"/>
      <c r="P122" s="701"/>
      <c r="Q122" s="712"/>
    </row>
    <row r="123" spans="1:17" ht="14.4" customHeight="1" x14ac:dyDescent="0.3">
      <c r="A123" s="695" t="s">
        <v>556</v>
      </c>
      <c r="B123" s="696" t="s">
        <v>3811</v>
      </c>
      <c r="C123" s="696" t="s">
        <v>3589</v>
      </c>
      <c r="D123" s="696" t="s">
        <v>3822</v>
      </c>
      <c r="E123" s="696" t="s">
        <v>3823</v>
      </c>
      <c r="F123" s="711"/>
      <c r="G123" s="711"/>
      <c r="H123" s="711"/>
      <c r="I123" s="711"/>
      <c r="J123" s="711">
        <v>1</v>
      </c>
      <c r="K123" s="711">
        <v>681</v>
      </c>
      <c r="L123" s="711"/>
      <c r="M123" s="711">
        <v>681</v>
      </c>
      <c r="N123" s="711"/>
      <c r="O123" s="711"/>
      <c r="P123" s="701"/>
      <c r="Q123" s="712"/>
    </row>
    <row r="124" spans="1:17" ht="14.4" customHeight="1" x14ac:dyDescent="0.3">
      <c r="A124" s="695" t="s">
        <v>556</v>
      </c>
      <c r="B124" s="696" t="s">
        <v>3811</v>
      </c>
      <c r="C124" s="696" t="s">
        <v>3589</v>
      </c>
      <c r="D124" s="696" t="s">
        <v>3824</v>
      </c>
      <c r="E124" s="696" t="s">
        <v>3825</v>
      </c>
      <c r="F124" s="711"/>
      <c r="G124" s="711"/>
      <c r="H124" s="711"/>
      <c r="I124" s="711"/>
      <c r="J124" s="711">
        <v>2</v>
      </c>
      <c r="K124" s="711">
        <v>0</v>
      </c>
      <c r="L124" s="711"/>
      <c r="M124" s="711">
        <v>0</v>
      </c>
      <c r="N124" s="711"/>
      <c r="O124" s="711"/>
      <c r="P124" s="701"/>
      <c r="Q124" s="712"/>
    </row>
    <row r="125" spans="1:17" ht="14.4" customHeight="1" x14ac:dyDescent="0.3">
      <c r="A125" s="695" t="s">
        <v>556</v>
      </c>
      <c r="B125" s="696" t="s">
        <v>3811</v>
      </c>
      <c r="C125" s="696" t="s">
        <v>3589</v>
      </c>
      <c r="D125" s="696" t="s">
        <v>3826</v>
      </c>
      <c r="E125" s="696" t="s">
        <v>3827</v>
      </c>
      <c r="F125" s="711"/>
      <c r="G125" s="711"/>
      <c r="H125" s="711"/>
      <c r="I125" s="711"/>
      <c r="J125" s="711">
        <v>1</v>
      </c>
      <c r="K125" s="711">
        <v>0</v>
      </c>
      <c r="L125" s="711"/>
      <c r="M125" s="711">
        <v>0</v>
      </c>
      <c r="N125" s="711"/>
      <c r="O125" s="711"/>
      <c r="P125" s="701"/>
      <c r="Q125" s="712"/>
    </row>
    <row r="126" spans="1:17" ht="14.4" customHeight="1" x14ac:dyDescent="0.3">
      <c r="A126" s="695" t="s">
        <v>556</v>
      </c>
      <c r="B126" s="696" t="s">
        <v>3811</v>
      </c>
      <c r="C126" s="696" t="s">
        <v>3589</v>
      </c>
      <c r="D126" s="696" t="s">
        <v>3828</v>
      </c>
      <c r="E126" s="696" t="s">
        <v>3829</v>
      </c>
      <c r="F126" s="711"/>
      <c r="G126" s="711"/>
      <c r="H126" s="711"/>
      <c r="I126" s="711"/>
      <c r="J126" s="711">
        <v>2</v>
      </c>
      <c r="K126" s="711">
        <v>0</v>
      </c>
      <c r="L126" s="711"/>
      <c r="M126" s="711">
        <v>0</v>
      </c>
      <c r="N126" s="711"/>
      <c r="O126" s="711"/>
      <c r="P126" s="701"/>
      <c r="Q126" s="712"/>
    </row>
    <row r="127" spans="1:17" ht="14.4" customHeight="1" x14ac:dyDescent="0.3">
      <c r="A127" s="695" t="s">
        <v>556</v>
      </c>
      <c r="B127" s="696" t="s">
        <v>3811</v>
      </c>
      <c r="C127" s="696" t="s">
        <v>3589</v>
      </c>
      <c r="D127" s="696" t="s">
        <v>3830</v>
      </c>
      <c r="E127" s="696" t="s">
        <v>3831</v>
      </c>
      <c r="F127" s="711">
        <v>1</v>
      </c>
      <c r="G127" s="711">
        <v>505</v>
      </c>
      <c r="H127" s="711">
        <v>1</v>
      </c>
      <c r="I127" s="711">
        <v>505</v>
      </c>
      <c r="J127" s="711"/>
      <c r="K127" s="711"/>
      <c r="L127" s="711"/>
      <c r="M127" s="711"/>
      <c r="N127" s="711"/>
      <c r="O127" s="711"/>
      <c r="P127" s="701"/>
      <c r="Q127" s="712"/>
    </row>
    <row r="128" spans="1:17" ht="14.4" customHeight="1" x14ac:dyDescent="0.3">
      <c r="A128" s="695" t="s">
        <v>556</v>
      </c>
      <c r="B128" s="696" t="s">
        <v>3811</v>
      </c>
      <c r="C128" s="696" t="s">
        <v>3589</v>
      </c>
      <c r="D128" s="696" t="s">
        <v>3832</v>
      </c>
      <c r="E128" s="696" t="s">
        <v>3833</v>
      </c>
      <c r="F128" s="711"/>
      <c r="G128" s="711"/>
      <c r="H128" s="711"/>
      <c r="I128" s="711"/>
      <c r="J128" s="711">
        <v>1</v>
      </c>
      <c r="K128" s="711">
        <v>800</v>
      </c>
      <c r="L128" s="711"/>
      <c r="M128" s="711">
        <v>800</v>
      </c>
      <c r="N128" s="711"/>
      <c r="O128" s="711"/>
      <c r="P128" s="701"/>
      <c r="Q128" s="712"/>
    </row>
    <row r="129" spans="1:17" ht="14.4" customHeight="1" x14ac:dyDescent="0.3">
      <c r="A129" s="695" t="s">
        <v>556</v>
      </c>
      <c r="B129" s="696" t="s">
        <v>3811</v>
      </c>
      <c r="C129" s="696" t="s">
        <v>3589</v>
      </c>
      <c r="D129" s="696" t="s">
        <v>3834</v>
      </c>
      <c r="E129" s="696" t="s">
        <v>3835</v>
      </c>
      <c r="F129" s="711"/>
      <c r="G129" s="711"/>
      <c r="H129" s="711"/>
      <c r="I129" s="711"/>
      <c r="J129" s="711"/>
      <c r="K129" s="711"/>
      <c r="L129" s="711"/>
      <c r="M129" s="711"/>
      <c r="N129" s="711">
        <v>1</v>
      </c>
      <c r="O129" s="711">
        <v>6077</v>
      </c>
      <c r="P129" s="701"/>
      <c r="Q129" s="712">
        <v>6077</v>
      </c>
    </row>
    <row r="130" spans="1:17" ht="14.4" customHeight="1" x14ac:dyDescent="0.3">
      <c r="A130" s="695" t="s">
        <v>556</v>
      </c>
      <c r="B130" s="696" t="s">
        <v>3811</v>
      </c>
      <c r="C130" s="696" t="s">
        <v>3589</v>
      </c>
      <c r="D130" s="696" t="s">
        <v>3836</v>
      </c>
      <c r="E130" s="696" t="s">
        <v>3837</v>
      </c>
      <c r="F130" s="711">
        <v>2</v>
      </c>
      <c r="G130" s="711">
        <v>18000</v>
      </c>
      <c r="H130" s="711">
        <v>1</v>
      </c>
      <c r="I130" s="711">
        <v>9000</v>
      </c>
      <c r="J130" s="711">
        <v>2</v>
      </c>
      <c r="K130" s="711">
        <v>18068</v>
      </c>
      <c r="L130" s="711">
        <v>1.0037777777777779</v>
      </c>
      <c r="M130" s="711">
        <v>9034</v>
      </c>
      <c r="N130" s="711"/>
      <c r="O130" s="711"/>
      <c r="P130" s="701"/>
      <c r="Q130" s="712"/>
    </row>
    <row r="131" spans="1:17" ht="14.4" customHeight="1" x14ac:dyDescent="0.3">
      <c r="A131" s="695" t="s">
        <v>556</v>
      </c>
      <c r="B131" s="696" t="s">
        <v>3811</v>
      </c>
      <c r="C131" s="696" t="s">
        <v>3589</v>
      </c>
      <c r="D131" s="696" t="s">
        <v>3838</v>
      </c>
      <c r="E131" s="696" t="s">
        <v>3839</v>
      </c>
      <c r="F131" s="711"/>
      <c r="G131" s="711"/>
      <c r="H131" s="711"/>
      <c r="I131" s="711"/>
      <c r="J131" s="711">
        <v>1</v>
      </c>
      <c r="K131" s="711">
        <v>1040</v>
      </c>
      <c r="L131" s="711"/>
      <c r="M131" s="711">
        <v>1040</v>
      </c>
      <c r="N131" s="711"/>
      <c r="O131" s="711"/>
      <c r="P131" s="701"/>
      <c r="Q131" s="712"/>
    </row>
    <row r="132" spans="1:17" ht="14.4" customHeight="1" x14ac:dyDescent="0.3">
      <c r="A132" s="695" t="s">
        <v>556</v>
      </c>
      <c r="B132" s="696" t="s">
        <v>3811</v>
      </c>
      <c r="C132" s="696" t="s">
        <v>3589</v>
      </c>
      <c r="D132" s="696" t="s">
        <v>3840</v>
      </c>
      <c r="E132" s="696" t="s">
        <v>3841</v>
      </c>
      <c r="F132" s="711"/>
      <c r="G132" s="711"/>
      <c r="H132" s="711"/>
      <c r="I132" s="711"/>
      <c r="J132" s="711">
        <v>2</v>
      </c>
      <c r="K132" s="711">
        <v>0</v>
      </c>
      <c r="L132" s="711"/>
      <c r="M132" s="711">
        <v>0</v>
      </c>
      <c r="N132" s="711"/>
      <c r="O132" s="711"/>
      <c r="P132" s="701"/>
      <c r="Q132" s="712"/>
    </row>
    <row r="133" spans="1:17" ht="14.4" customHeight="1" x14ac:dyDescent="0.3">
      <c r="A133" s="695" t="s">
        <v>556</v>
      </c>
      <c r="B133" s="696" t="s">
        <v>3811</v>
      </c>
      <c r="C133" s="696" t="s">
        <v>3589</v>
      </c>
      <c r="D133" s="696" t="s">
        <v>3842</v>
      </c>
      <c r="E133" s="696" t="s">
        <v>3843</v>
      </c>
      <c r="F133" s="711"/>
      <c r="G133" s="711"/>
      <c r="H133" s="711"/>
      <c r="I133" s="711"/>
      <c r="J133" s="711">
        <v>1</v>
      </c>
      <c r="K133" s="711">
        <v>0</v>
      </c>
      <c r="L133" s="711"/>
      <c r="M133" s="711">
        <v>0</v>
      </c>
      <c r="N133" s="711"/>
      <c r="O133" s="711"/>
      <c r="P133" s="701"/>
      <c r="Q133" s="712"/>
    </row>
    <row r="134" spans="1:17" ht="14.4" customHeight="1" x14ac:dyDescent="0.3">
      <c r="A134" s="695" t="s">
        <v>556</v>
      </c>
      <c r="B134" s="696" t="s">
        <v>3811</v>
      </c>
      <c r="C134" s="696" t="s">
        <v>3589</v>
      </c>
      <c r="D134" s="696" t="s">
        <v>3844</v>
      </c>
      <c r="E134" s="696" t="s">
        <v>3845</v>
      </c>
      <c r="F134" s="711"/>
      <c r="G134" s="711"/>
      <c r="H134" s="711"/>
      <c r="I134" s="711"/>
      <c r="J134" s="711">
        <v>2</v>
      </c>
      <c r="K134" s="711">
        <v>0</v>
      </c>
      <c r="L134" s="711"/>
      <c r="M134" s="711">
        <v>0</v>
      </c>
      <c r="N134" s="711"/>
      <c r="O134" s="711"/>
      <c r="P134" s="701"/>
      <c r="Q134" s="712"/>
    </row>
    <row r="135" spans="1:17" ht="14.4" customHeight="1" x14ac:dyDescent="0.3">
      <c r="A135" s="695" t="s">
        <v>556</v>
      </c>
      <c r="B135" s="696" t="s">
        <v>3811</v>
      </c>
      <c r="C135" s="696" t="s">
        <v>3589</v>
      </c>
      <c r="D135" s="696" t="s">
        <v>3846</v>
      </c>
      <c r="E135" s="696" t="s">
        <v>3847</v>
      </c>
      <c r="F135" s="711"/>
      <c r="G135" s="711"/>
      <c r="H135" s="711"/>
      <c r="I135" s="711"/>
      <c r="J135" s="711">
        <v>1</v>
      </c>
      <c r="K135" s="711">
        <v>0</v>
      </c>
      <c r="L135" s="711"/>
      <c r="M135" s="711">
        <v>0</v>
      </c>
      <c r="N135" s="711"/>
      <c r="O135" s="711"/>
      <c r="P135" s="701"/>
      <c r="Q135" s="712"/>
    </row>
    <row r="136" spans="1:17" ht="14.4" customHeight="1" x14ac:dyDescent="0.3">
      <c r="A136" s="695" t="s">
        <v>556</v>
      </c>
      <c r="B136" s="696" t="s">
        <v>3811</v>
      </c>
      <c r="C136" s="696" t="s">
        <v>3589</v>
      </c>
      <c r="D136" s="696" t="s">
        <v>3848</v>
      </c>
      <c r="E136" s="696" t="s">
        <v>3849</v>
      </c>
      <c r="F136" s="711">
        <v>1</v>
      </c>
      <c r="G136" s="711">
        <v>5529</v>
      </c>
      <c r="H136" s="711">
        <v>1</v>
      </c>
      <c r="I136" s="711">
        <v>5529</v>
      </c>
      <c r="J136" s="711"/>
      <c r="K136" s="711"/>
      <c r="L136" s="711"/>
      <c r="M136" s="711"/>
      <c r="N136" s="711"/>
      <c r="O136" s="711"/>
      <c r="P136" s="701"/>
      <c r="Q136" s="712"/>
    </row>
    <row r="137" spans="1:17" ht="14.4" customHeight="1" x14ac:dyDescent="0.3">
      <c r="A137" s="695" t="s">
        <v>556</v>
      </c>
      <c r="B137" s="696" t="s">
        <v>3811</v>
      </c>
      <c r="C137" s="696" t="s">
        <v>3589</v>
      </c>
      <c r="D137" s="696" t="s">
        <v>3850</v>
      </c>
      <c r="E137" s="696" t="s">
        <v>3851</v>
      </c>
      <c r="F137" s="711"/>
      <c r="G137" s="711"/>
      <c r="H137" s="711"/>
      <c r="I137" s="711"/>
      <c r="J137" s="711">
        <v>1</v>
      </c>
      <c r="K137" s="711">
        <v>4617</v>
      </c>
      <c r="L137" s="711"/>
      <c r="M137" s="711">
        <v>4617</v>
      </c>
      <c r="N137" s="711"/>
      <c r="O137" s="711"/>
      <c r="P137" s="701"/>
      <c r="Q137" s="712"/>
    </row>
    <row r="138" spans="1:17" ht="14.4" customHeight="1" x14ac:dyDescent="0.3">
      <c r="A138" s="695" t="s">
        <v>556</v>
      </c>
      <c r="B138" s="696" t="s">
        <v>3811</v>
      </c>
      <c r="C138" s="696" t="s">
        <v>3589</v>
      </c>
      <c r="D138" s="696" t="s">
        <v>3852</v>
      </c>
      <c r="E138" s="696" t="s">
        <v>3853</v>
      </c>
      <c r="F138" s="711">
        <v>1</v>
      </c>
      <c r="G138" s="711">
        <v>5082</v>
      </c>
      <c r="H138" s="711">
        <v>1</v>
      </c>
      <c r="I138" s="711">
        <v>5082</v>
      </c>
      <c r="J138" s="711"/>
      <c r="K138" s="711"/>
      <c r="L138" s="711"/>
      <c r="M138" s="711"/>
      <c r="N138" s="711"/>
      <c r="O138" s="711"/>
      <c r="P138" s="701"/>
      <c r="Q138" s="712"/>
    </row>
    <row r="139" spans="1:17" ht="14.4" customHeight="1" x14ac:dyDescent="0.3">
      <c r="A139" s="695" t="s">
        <v>556</v>
      </c>
      <c r="B139" s="696" t="s">
        <v>3783</v>
      </c>
      <c r="C139" s="696" t="s">
        <v>3598</v>
      </c>
      <c r="D139" s="696" t="s">
        <v>3854</v>
      </c>
      <c r="E139" s="696" t="s">
        <v>1534</v>
      </c>
      <c r="F139" s="711">
        <v>279</v>
      </c>
      <c r="G139" s="711">
        <v>38619.360000000001</v>
      </c>
      <c r="H139" s="711">
        <v>1</v>
      </c>
      <c r="I139" s="711">
        <v>138.42064516129034</v>
      </c>
      <c r="J139" s="711">
        <v>120</v>
      </c>
      <c r="K139" s="711">
        <v>16493.980000000003</v>
      </c>
      <c r="L139" s="711">
        <v>0.42709097198917856</v>
      </c>
      <c r="M139" s="711">
        <v>137.44983333333337</v>
      </c>
      <c r="N139" s="711">
        <v>253</v>
      </c>
      <c r="O139" s="711">
        <v>29843.879999999994</v>
      </c>
      <c r="P139" s="701">
        <v>0.77276992679319367</v>
      </c>
      <c r="Q139" s="712">
        <v>117.95999999999998</v>
      </c>
    </row>
    <row r="140" spans="1:17" ht="14.4" customHeight="1" x14ac:dyDescent="0.3">
      <c r="A140" s="695" t="s">
        <v>556</v>
      </c>
      <c r="B140" s="696" t="s">
        <v>3783</v>
      </c>
      <c r="C140" s="696" t="s">
        <v>3598</v>
      </c>
      <c r="D140" s="696" t="s">
        <v>3855</v>
      </c>
      <c r="E140" s="696" t="s">
        <v>3856</v>
      </c>
      <c r="F140" s="711"/>
      <c r="G140" s="711"/>
      <c r="H140" s="711"/>
      <c r="I140" s="711"/>
      <c r="J140" s="711">
        <v>40</v>
      </c>
      <c r="K140" s="711">
        <v>43172.800000000003</v>
      </c>
      <c r="L140" s="711"/>
      <c r="M140" s="711">
        <v>1079.3200000000002</v>
      </c>
      <c r="N140" s="711"/>
      <c r="O140" s="711"/>
      <c r="P140" s="701"/>
      <c r="Q140" s="712"/>
    </row>
    <row r="141" spans="1:17" ht="14.4" customHeight="1" x14ac:dyDescent="0.3">
      <c r="A141" s="695" t="s">
        <v>556</v>
      </c>
      <c r="B141" s="696" t="s">
        <v>3783</v>
      </c>
      <c r="C141" s="696" t="s">
        <v>3598</v>
      </c>
      <c r="D141" s="696" t="s">
        <v>3857</v>
      </c>
      <c r="E141" s="696" t="s">
        <v>3858</v>
      </c>
      <c r="F141" s="711"/>
      <c r="G141" s="711"/>
      <c r="H141" s="711"/>
      <c r="I141" s="711"/>
      <c r="J141" s="711">
        <v>23</v>
      </c>
      <c r="K141" s="711">
        <v>4241.66</v>
      </c>
      <c r="L141" s="711"/>
      <c r="M141" s="711">
        <v>184.42</v>
      </c>
      <c r="N141" s="711"/>
      <c r="O141" s="711"/>
      <c r="P141" s="701"/>
      <c r="Q141" s="712"/>
    </row>
    <row r="142" spans="1:17" ht="14.4" customHeight="1" x14ac:dyDescent="0.3">
      <c r="A142" s="695" t="s">
        <v>556</v>
      </c>
      <c r="B142" s="696" t="s">
        <v>3783</v>
      </c>
      <c r="C142" s="696" t="s">
        <v>3598</v>
      </c>
      <c r="D142" s="696" t="s">
        <v>3859</v>
      </c>
      <c r="E142" s="696" t="s">
        <v>989</v>
      </c>
      <c r="F142" s="711">
        <v>254</v>
      </c>
      <c r="G142" s="711">
        <v>23264.07</v>
      </c>
      <c r="H142" s="711">
        <v>1</v>
      </c>
      <c r="I142" s="711">
        <v>91.590826771653539</v>
      </c>
      <c r="J142" s="711">
        <v>145</v>
      </c>
      <c r="K142" s="711">
        <v>9790.5300000000007</v>
      </c>
      <c r="L142" s="711">
        <v>0.42084338638939794</v>
      </c>
      <c r="M142" s="711">
        <v>67.52089655172415</v>
      </c>
      <c r="N142" s="711">
        <v>293</v>
      </c>
      <c r="O142" s="711">
        <v>17887.650000000001</v>
      </c>
      <c r="P142" s="701">
        <v>0.76889598423663619</v>
      </c>
      <c r="Q142" s="712">
        <v>61.050000000000004</v>
      </c>
    </row>
    <row r="143" spans="1:17" ht="14.4" customHeight="1" x14ac:dyDescent="0.3">
      <c r="A143" s="695" t="s">
        <v>556</v>
      </c>
      <c r="B143" s="696" t="s">
        <v>3783</v>
      </c>
      <c r="C143" s="696" t="s">
        <v>3598</v>
      </c>
      <c r="D143" s="696" t="s">
        <v>3603</v>
      </c>
      <c r="E143" s="696" t="s">
        <v>1016</v>
      </c>
      <c r="F143" s="711"/>
      <c r="G143" s="711"/>
      <c r="H143" s="711"/>
      <c r="I143" s="711"/>
      <c r="J143" s="711"/>
      <c r="K143" s="711"/>
      <c r="L143" s="711"/>
      <c r="M143" s="711"/>
      <c r="N143" s="711">
        <v>1</v>
      </c>
      <c r="O143" s="711">
        <v>1157.1099999999999</v>
      </c>
      <c r="P143" s="701"/>
      <c r="Q143" s="712">
        <v>1157.1099999999999</v>
      </c>
    </row>
    <row r="144" spans="1:17" ht="14.4" customHeight="1" x14ac:dyDescent="0.3">
      <c r="A144" s="695" t="s">
        <v>556</v>
      </c>
      <c r="B144" s="696" t="s">
        <v>3783</v>
      </c>
      <c r="C144" s="696" t="s">
        <v>3598</v>
      </c>
      <c r="D144" s="696" t="s">
        <v>3860</v>
      </c>
      <c r="E144" s="696" t="s">
        <v>3861</v>
      </c>
      <c r="F144" s="711">
        <v>44</v>
      </c>
      <c r="G144" s="711">
        <v>3451.3999999999996</v>
      </c>
      <c r="H144" s="711">
        <v>1</v>
      </c>
      <c r="I144" s="711">
        <v>78.440909090909088</v>
      </c>
      <c r="J144" s="711"/>
      <c r="K144" s="711"/>
      <c r="L144" s="711"/>
      <c r="M144" s="711"/>
      <c r="N144" s="711"/>
      <c r="O144" s="711"/>
      <c r="P144" s="701"/>
      <c r="Q144" s="712"/>
    </row>
    <row r="145" spans="1:17" ht="14.4" customHeight="1" x14ac:dyDescent="0.3">
      <c r="A145" s="695" t="s">
        <v>556</v>
      </c>
      <c r="B145" s="696" t="s">
        <v>3783</v>
      </c>
      <c r="C145" s="696" t="s">
        <v>3598</v>
      </c>
      <c r="D145" s="696" t="s">
        <v>3862</v>
      </c>
      <c r="E145" s="696" t="s">
        <v>3584</v>
      </c>
      <c r="F145" s="711">
        <v>1</v>
      </c>
      <c r="G145" s="711">
        <v>2269.77</v>
      </c>
      <c r="H145" s="711">
        <v>1</v>
      </c>
      <c r="I145" s="711">
        <v>2269.77</v>
      </c>
      <c r="J145" s="711">
        <v>1</v>
      </c>
      <c r="K145" s="711">
        <v>2454.84</v>
      </c>
      <c r="L145" s="711">
        <v>1.0815368958088265</v>
      </c>
      <c r="M145" s="711">
        <v>2454.84</v>
      </c>
      <c r="N145" s="711"/>
      <c r="O145" s="711"/>
      <c r="P145" s="701"/>
      <c r="Q145" s="712"/>
    </row>
    <row r="146" spans="1:17" ht="14.4" customHeight="1" x14ac:dyDescent="0.3">
      <c r="A146" s="695" t="s">
        <v>556</v>
      </c>
      <c r="B146" s="696" t="s">
        <v>3783</v>
      </c>
      <c r="C146" s="696" t="s">
        <v>3598</v>
      </c>
      <c r="D146" s="696" t="s">
        <v>3863</v>
      </c>
      <c r="E146" s="696" t="s">
        <v>1035</v>
      </c>
      <c r="F146" s="711">
        <v>37.799999999999997</v>
      </c>
      <c r="G146" s="711">
        <v>14317.79</v>
      </c>
      <c r="H146" s="711">
        <v>1</v>
      </c>
      <c r="I146" s="711">
        <v>378.77751322751328</v>
      </c>
      <c r="J146" s="711">
        <v>38.9</v>
      </c>
      <c r="K146" s="711">
        <v>15703.779999999999</v>
      </c>
      <c r="L146" s="711">
        <v>1.0968019505803617</v>
      </c>
      <c r="M146" s="711">
        <v>403.6961439588689</v>
      </c>
      <c r="N146" s="711">
        <v>30.1</v>
      </c>
      <c r="O146" s="711">
        <v>12166.42</v>
      </c>
      <c r="P146" s="701">
        <v>0.84974147546513812</v>
      </c>
      <c r="Q146" s="712">
        <v>404.2</v>
      </c>
    </row>
    <row r="147" spans="1:17" ht="14.4" customHeight="1" x14ac:dyDescent="0.3">
      <c r="A147" s="695" t="s">
        <v>556</v>
      </c>
      <c r="B147" s="696" t="s">
        <v>3783</v>
      </c>
      <c r="C147" s="696" t="s">
        <v>3598</v>
      </c>
      <c r="D147" s="696" t="s">
        <v>3864</v>
      </c>
      <c r="E147" s="696" t="s">
        <v>3865</v>
      </c>
      <c r="F147" s="711"/>
      <c r="G147" s="711"/>
      <c r="H147" s="711"/>
      <c r="I147" s="711"/>
      <c r="J147" s="711">
        <v>2.1</v>
      </c>
      <c r="K147" s="711">
        <v>859.95</v>
      </c>
      <c r="L147" s="711"/>
      <c r="M147" s="711">
        <v>409.5</v>
      </c>
      <c r="N147" s="711"/>
      <c r="O147" s="711"/>
      <c r="P147" s="701"/>
      <c r="Q147" s="712"/>
    </row>
    <row r="148" spans="1:17" ht="14.4" customHeight="1" x14ac:dyDescent="0.3">
      <c r="A148" s="695" t="s">
        <v>556</v>
      </c>
      <c r="B148" s="696" t="s">
        <v>3783</v>
      </c>
      <c r="C148" s="696" t="s">
        <v>3598</v>
      </c>
      <c r="D148" s="696" t="s">
        <v>3866</v>
      </c>
      <c r="E148" s="696" t="s">
        <v>1566</v>
      </c>
      <c r="F148" s="711">
        <v>5</v>
      </c>
      <c r="G148" s="711">
        <v>2471.6</v>
      </c>
      <c r="H148" s="711">
        <v>1</v>
      </c>
      <c r="I148" s="711">
        <v>494.32</v>
      </c>
      <c r="J148" s="711"/>
      <c r="K148" s="711"/>
      <c r="L148" s="711"/>
      <c r="M148" s="711"/>
      <c r="N148" s="711">
        <v>7</v>
      </c>
      <c r="O148" s="711">
        <v>332.5</v>
      </c>
      <c r="P148" s="701">
        <v>0.13452824081566597</v>
      </c>
      <c r="Q148" s="712">
        <v>47.5</v>
      </c>
    </row>
    <row r="149" spans="1:17" ht="14.4" customHeight="1" x14ac:dyDescent="0.3">
      <c r="A149" s="695" t="s">
        <v>556</v>
      </c>
      <c r="B149" s="696" t="s">
        <v>3783</v>
      </c>
      <c r="C149" s="696" t="s">
        <v>3598</v>
      </c>
      <c r="D149" s="696" t="s">
        <v>3867</v>
      </c>
      <c r="E149" s="696" t="s">
        <v>1429</v>
      </c>
      <c r="F149" s="711">
        <v>2</v>
      </c>
      <c r="G149" s="711">
        <v>215.7</v>
      </c>
      <c r="H149" s="711">
        <v>1</v>
      </c>
      <c r="I149" s="711">
        <v>107.85</v>
      </c>
      <c r="J149" s="711"/>
      <c r="K149" s="711"/>
      <c r="L149" s="711"/>
      <c r="M149" s="711"/>
      <c r="N149" s="711"/>
      <c r="O149" s="711"/>
      <c r="P149" s="701"/>
      <c r="Q149" s="712"/>
    </row>
    <row r="150" spans="1:17" ht="14.4" customHeight="1" x14ac:dyDescent="0.3">
      <c r="A150" s="695" t="s">
        <v>556</v>
      </c>
      <c r="B150" s="696" t="s">
        <v>3783</v>
      </c>
      <c r="C150" s="696" t="s">
        <v>3598</v>
      </c>
      <c r="D150" s="696" t="s">
        <v>3868</v>
      </c>
      <c r="E150" s="696" t="s">
        <v>1527</v>
      </c>
      <c r="F150" s="711">
        <v>36.599999999999994</v>
      </c>
      <c r="G150" s="711">
        <v>21648.15</v>
      </c>
      <c r="H150" s="711">
        <v>1</v>
      </c>
      <c r="I150" s="711">
        <v>591.47950819672144</v>
      </c>
      <c r="J150" s="711">
        <v>21.6</v>
      </c>
      <c r="K150" s="711">
        <v>8184.7800000000007</v>
      </c>
      <c r="L150" s="711">
        <v>0.37808219178082192</v>
      </c>
      <c r="M150" s="711">
        <v>378.92500000000001</v>
      </c>
      <c r="N150" s="711">
        <v>32.799999999999997</v>
      </c>
      <c r="O150" s="711">
        <v>12455.800000000001</v>
      </c>
      <c r="P150" s="701">
        <v>0.57537480107999994</v>
      </c>
      <c r="Q150" s="712">
        <v>379.75000000000006</v>
      </c>
    </row>
    <row r="151" spans="1:17" ht="14.4" customHeight="1" x14ac:dyDescent="0.3">
      <c r="A151" s="695" t="s">
        <v>556</v>
      </c>
      <c r="B151" s="696" t="s">
        <v>3783</v>
      </c>
      <c r="C151" s="696" t="s">
        <v>3598</v>
      </c>
      <c r="D151" s="696" t="s">
        <v>3869</v>
      </c>
      <c r="E151" s="696" t="s">
        <v>1559</v>
      </c>
      <c r="F151" s="711">
        <v>46</v>
      </c>
      <c r="G151" s="711">
        <v>2523</v>
      </c>
      <c r="H151" s="711">
        <v>1</v>
      </c>
      <c r="I151" s="711">
        <v>54.847826086956523</v>
      </c>
      <c r="J151" s="711">
        <v>4</v>
      </c>
      <c r="K151" s="711">
        <v>163.80000000000001</v>
      </c>
      <c r="L151" s="711">
        <v>6.4922711058263971E-2</v>
      </c>
      <c r="M151" s="711">
        <v>40.950000000000003</v>
      </c>
      <c r="N151" s="711">
        <v>8</v>
      </c>
      <c r="O151" s="711">
        <v>569.76</v>
      </c>
      <c r="P151" s="701">
        <v>0.22582639714625447</v>
      </c>
      <c r="Q151" s="712">
        <v>71.22</v>
      </c>
    </row>
    <row r="152" spans="1:17" ht="14.4" customHeight="1" x14ac:dyDescent="0.3">
      <c r="A152" s="695" t="s">
        <v>556</v>
      </c>
      <c r="B152" s="696" t="s">
        <v>3783</v>
      </c>
      <c r="C152" s="696" t="s">
        <v>3598</v>
      </c>
      <c r="D152" s="696" t="s">
        <v>3870</v>
      </c>
      <c r="E152" s="696" t="s">
        <v>1539</v>
      </c>
      <c r="F152" s="711"/>
      <c r="G152" s="711"/>
      <c r="H152" s="711"/>
      <c r="I152" s="711"/>
      <c r="J152" s="711"/>
      <c r="K152" s="711"/>
      <c r="L152" s="711"/>
      <c r="M152" s="711"/>
      <c r="N152" s="711">
        <v>66</v>
      </c>
      <c r="O152" s="711">
        <v>15124.56</v>
      </c>
      <c r="P152" s="701"/>
      <c r="Q152" s="712">
        <v>229.16</v>
      </c>
    </row>
    <row r="153" spans="1:17" ht="14.4" customHeight="1" x14ac:dyDescent="0.3">
      <c r="A153" s="695" t="s">
        <v>556</v>
      </c>
      <c r="B153" s="696" t="s">
        <v>3783</v>
      </c>
      <c r="C153" s="696" t="s">
        <v>3598</v>
      </c>
      <c r="D153" s="696" t="s">
        <v>3871</v>
      </c>
      <c r="E153" s="696" t="s">
        <v>1403</v>
      </c>
      <c r="F153" s="711">
        <v>3.9999999999999996</v>
      </c>
      <c r="G153" s="711">
        <v>353.15</v>
      </c>
      <c r="H153" s="711">
        <v>1</v>
      </c>
      <c r="I153" s="711">
        <v>88.287500000000009</v>
      </c>
      <c r="J153" s="711">
        <v>2.5</v>
      </c>
      <c r="K153" s="711">
        <v>242.32999999999998</v>
      </c>
      <c r="L153" s="711">
        <v>0.68619566756335837</v>
      </c>
      <c r="M153" s="711">
        <v>96.931999999999988</v>
      </c>
      <c r="N153" s="711">
        <v>0.7</v>
      </c>
      <c r="O153" s="711">
        <v>67.83</v>
      </c>
      <c r="P153" s="701">
        <v>0.19207135777998019</v>
      </c>
      <c r="Q153" s="712">
        <v>96.9</v>
      </c>
    </row>
    <row r="154" spans="1:17" ht="14.4" customHeight="1" x14ac:dyDescent="0.3">
      <c r="A154" s="695" t="s">
        <v>556</v>
      </c>
      <c r="B154" s="696" t="s">
        <v>3783</v>
      </c>
      <c r="C154" s="696" t="s">
        <v>3598</v>
      </c>
      <c r="D154" s="696" t="s">
        <v>3872</v>
      </c>
      <c r="E154" s="696" t="s">
        <v>3873</v>
      </c>
      <c r="F154" s="711"/>
      <c r="G154" s="711"/>
      <c r="H154" s="711"/>
      <c r="I154" s="711"/>
      <c r="J154" s="711"/>
      <c r="K154" s="711"/>
      <c r="L154" s="711"/>
      <c r="M154" s="711"/>
      <c r="N154" s="711">
        <v>93</v>
      </c>
      <c r="O154" s="711">
        <v>5952</v>
      </c>
      <c r="P154" s="701"/>
      <c r="Q154" s="712">
        <v>64</v>
      </c>
    </row>
    <row r="155" spans="1:17" ht="14.4" customHeight="1" x14ac:dyDescent="0.3">
      <c r="A155" s="695" t="s">
        <v>556</v>
      </c>
      <c r="B155" s="696" t="s">
        <v>3783</v>
      </c>
      <c r="C155" s="696" t="s">
        <v>3598</v>
      </c>
      <c r="D155" s="696" t="s">
        <v>3874</v>
      </c>
      <c r="E155" s="696" t="s">
        <v>3584</v>
      </c>
      <c r="F155" s="711">
        <v>62</v>
      </c>
      <c r="G155" s="711">
        <v>18744.46</v>
      </c>
      <c r="H155" s="711">
        <v>1</v>
      </c>
      <c r="I155" s="711">
        <v>302.33</v>
      </c>
      <c r="J155" s="711"/>
      <c r="K155" s="711"/>
      <c r="L155" s="711"/>
      <c r="M155" s="711"/>
      <c r="N155" s="711"/>
      <c r="O155" s="711"/>
      <c r="P155" s="701"/>
      <c r="Q155" s="712"/>
    </row>
    <row r="156" spans="1:17" ht="14.4" customHeight="1" x14ac:dyDescent="0.3">
      <c r="A156" s="695" t="s">
        <v>556</v>
      </c>
      <c r="B156" s="696" t="s">
        <v>3783</v>
      </c>
      <c r="C156" s="696" t="s">
        <v>3598</v>
      </c>
      <c r="D156" s="696" t="s">
        <v>3875</v>
      </c>
      <c r="E156" s="696" t="s">
        <v>3876</v>
      </c>
      <c r="F156" s="711"/>
      <c r="G156" s="711"/>
      <c r="H156" s="711"/>
      <c r="I156" s="711"/>
      <c r="J156" s="711"/>
      <c r="K156" s="711"/>
      <c r="L156" s="711"/>
      <c r="M156" s="711"/>
      <c r="N156" s="711">
        <v>2</v>
      </c>
      <c r="O156" s="711">
        <v>1659</v>
      </c>
      <c r="P156" s="701"/>
      <c r="Q156" s="712">
        <v>829.5</v>
      </c>
    </row>
    <row r="157" spans="1:17" ht="14.4" customHeight="1" x14ac:dyDescent="0.3">
      <c r="A157" s="695" t="s">
        <v>556</v>
      </c>
      <c r="B157" s="696" t="s">
        <v>3783</v>
      </c>
      <c r="C157" s="696" t="s">
        <v>3598</v>
      </c>
      <c r="D157" s="696" t="s">
        <v>3877</v>
      </c>
      <c r="E157" s="696" t="s">
        <v>1009</v>
      </c>
      <c r="F157" s="711">
        <v>0.5</v>
      </c>
      <c r="G157" s="711">
        <v>862.9</v>
      </c>
      <c r="H157" s="711">
        <v>1</v>
      </c>
      <c r="I157" s="711">
        <v>1725.8</v>
      </c>
      <c r="J157" s="711"/>
      <c r="K157" s="711"/>
      <c r="L157" s="711"/>
      <c r="M157" s="711"/>
      <c r="N157" s="711"/>
      <c r="O157" s="711"/>
      <c r="P157" s="701"/>
      <c r="Q157" s="712"/>
    </row>
    <row r="158" spans="1:17" ht="14.4" customHeight="1" x14ac:dyDescent="0.3">
      <c r="A158" s="695" t="s">
        <v>556</v>
      </c>
      <c r="B158" s="696" t="s">
        <v>3783</v>
      </c>
      <c r="C158" s="696" t="s">
        <v>3598</v>
      </c>
      <c r="D158" s="696" t="s">
        <v>3878</v>
      </c>
      <c r="E158" s="696" t="s">
        <v>3879</v>
      </c>
      <c r="F158" s="711"/>
      <c r="G158" s="711"/>
      <c r="H158" s="711"/>
      <c r="I158" s="711"/>
      <c r="J158" s="711"/>
      <c r="K158" s="711"/>
      <c r="L158" s="711"/>
      <c r="M158" s="711"/>
      <c r="N158" s="711">
        <v>0.1</v>
      </c>
      <c r="O158" s="711">
        <v>165.15</v>
      </c>
      <c r="P158" s="701"/>
      <c r="Q158" s="712">
        <v>1651.5</v>
      </c>
    </row>
    <row r="159" spans="1:17" ht="14.4" customHeight="1" x14ac:dyDescent="0.3">
      <c r="A159" s="695" t="s">
        <v>556</v>
      </c>
      <c r="B159" s="696" t="s">
        <v>3783</v>
      </c>
      <c r="C159" s="696" t="s">
        <v>3598</v>
      </c>
      <c r="D159" s="696" t="s">
        <v>3880</v>
      </c>
      <c r="E159" s="696" t="s">
        <v>3881</v>
      </c>
      <c r="F159" s="711"/>
      <c r="G159" s="711"/>
      <c r="H159" s="711"/>
      <c r="I159" s="711"/>
      <c r="J159" s="711"/>
      <c r="K159" s="711"/>
      <c r="L159" s="711"/>
      <c r="M159" s="711"/>
      <c r="N159" s="711">
        <v>2.7</v>
      </c>
      <c r="O159" s="711">
        <v>10599.93</v>
      </c>
      <c r="P159" s="701"/>
      <c r="Q159" s="712">
        <v>3925.8999999999996</v>
      </c>
    </row>
    <row r="160" spans="1:17" ht="14.4" customHeight="1" x14ac:dyDescent="0.3">
      <c r="A160" s="695" t="s">
        <v>556</v>
      </c>
      <c r="B160" s="696" t="s">
        <v>3783</v>
      </c>
      <c r="C160" s="696" t="s">
        <v>3598</v>
      </c>
      <c r="D160" s="696" t="s">
        <v>3882</v>
      </c>
      <c r="E160" s="696" t="s">
        <v>1009</v>
      </c>
      <c r="F160" s="711"/>
      <c r="G160" s="711"/>
      <c r="H160" s="711"/>
      <c r="I160" s="711"/>
      <c r="J160" s="711">
        <v>12</v>
      </c>
      <c r="K160" s="711">
        <v>13799.64</v>
      </c>
      <c r="L160" s="711"/>
      <c r="M160" s="711">
        <v>1149.97</v>
      </c>
      <c r="N160" s="711">
        <v>0.9</v>
      </c>
      <c r="O160" s="711">
        <v>726.52</v>
      </c>
      <c r="P160" s="701"/>
      <c r="Q160" s="712">
        <v>807.24444444444441</v>
      </c>
    </row>
    <row r="161" spans="1:17" ht="14.4" customHeight="1" x14ac:dyDescent="0.3">
      <c r="A161" s="695" t="s">
        <v>556</v>
      </c>
      <c r="B161" s="696" t="s">
        <v>3783</v>
      </c>
      <c r="C161" s="696" t="s">
        <v>3598</v>
      </c>
      <c r="D161" s="696" t="s">
        <v>3883</v>
      </c>
      <c r="E161" s="696" t="s">
        <v>3884</v>
      </c>
      <c r="F161" s="711">
        <v>3</v>
      </c>
      <c r="G161" s="711">
        <v>10884.18</v>
      </c>
      <c r="H161" s="711">
        <v>1</v>
      </c>
      <c r="I161" s="711">
        <v>3628.06</v>
      </c>
      <c r="J161" s="711">
        <v>2.88</v>
      </c>
      <c r="K161" s="711">
        <v>10448.780000000001</v>
      </c>
      <c r="L161" s="711">
        <v>0.95999698645189624</v>
      </c>
      <c r="M161" s="711">
        <v>3628.0486111111113</v>
      </c>
      <c r="N161" s="711"/>
      <c r="O161" s="711"/>
      <c r="P161" s="701"/>
      <c r="Q161" s="712"/>
    </row>
    <row r="162" spans="1:17" ht="14.4" customHeight="1" x14ac:dyDescent="0.3">
      <c r="A162" s="695" t="s">
        <v>556</v>
      </c>
      <c r="B162" s="696" t="s">
        <v>3783</v>
      </c>
      <c r="C162" s="696" t="s">
        <v>3598</v>
      </c>
      <c r="D162" s="696" t="s">
        <v>3885</v>
      </c>
      <c r="E162" s="696" t="s">
        <v>3886</v>
      </c>
      <c r="F162" s="711"/>
      <c r="G162" s="711"/>
      <c r="H162" s="711"/>
      <c r="I162" s="711"/>
      <c r="J162" s="711"/>
      <c r="K162" s="711"/>
      <c r="L162" s="711"/>
      <c r="M162" s="711"/>
      <c r="N162" s="711">
        <v>0</v>
      </c>
      <c r="O162" s="711">
        <v>0</v>
      </c>
      <c r="P162" s="701"/>
      <c r="Q162" s="712"/>
    </row>
    <row r="163" spans="1:17" ht="14.4" customHeight="1" x14ac:dyDescent="0.3">
      <c r="A163" s="695" t="s">
        <v>556</v>
      </c>
      <c r="B163" s="696" t="s">
        <v>3783</v>
      </c>
      <c r="C163" s="696" t="s">
        <v>3598</v>
      </c>
      <c r="D163" s="696" t="s">
        <v>1054</v>
      </c>
      <c r="E163" s="696" t="s">
        <v>3886</v>
      </c>
      <c r="F163" s="711"/>
      <c r="G163" s="711"/>
      <c r="H163" s="711"/>
      <c r="I163" s="711"/>
      <c r="J163" s="711"/>
      <c r="K163" s="711"/>
      <c r="L163" s="711"/>
      <c r="M163" s="711"/>
      <c r="N163" s="711">
        <v>0</v>
      </c>
      <c r="O163" s="711">
        <v>0</v>
      </c>
      <c r="P163" s="701"/>
      <c r="Q163" s="712"/>
    </row>
    <row r="164" spans="1:17" ht="14.4" customHeight="1" x14ac:dyDescent="0.3">
      <c r="A164" s="695" t="s">
        <v>556</v>
      </c>
      <c r="B164" s="696" t="s">
        <v>3783</v>
      </c>
      <c r="C164" s="696" t="s">
        <v>3598</v>
      </c>
      <c r="D164" s="696" t="s">
        <v>3887</v>
      </c>
      <c r="E164" s="696" t="s">
        <v>3888</v>
      </c>
      <c r="F164" s="711"/>
      <c r="G164" s="711"/>
      <c r="H164" s="711"/>
      <c r="I164" s="711"/>
      <c r="J164" s="711"/>
      <c r="K164" s="711"/>
      <c r="L164" s="711"/>
      <c r="M164" s="711"/>
      <c r="N164" s="711">
        <v>48</v>
      </c>
      <c r="O164" s="711">
        <v>2404.3200000000002</v>
      </c>
      <c r="P164" s="701"/>
      <c r="Q164" s="712">
        <v>50.09</v>
      </c>
    </row>
    <row r="165" spans="1:17" ht="14.4" customHeight="1" x14ac:dyDescent="0.3">
      <c r="A165" s="695" t="s">
        <v>556</v>
      </c>
      <c r="B165" s="696" t="s">
        <v>3783</v>
      </c>
      <c r="C165" s="696" t="s">
        <v>3889</v>
      </c>
      <c r="D165" s="696" t="s">
        <v>3890</v>
      </c>
      <c r="E165" s="696" t="s">
        <v>3584</v>
      </c>
      <c r="F165" s="711">
        <v>11</v>
      </c>
      <c r="G165" s="711">
        <v>19603.760000000002</v>
      </c>
      <c r="H165" s="711">
        <v>1</v>
      </c>
      <c r="I165" s="711">
        <v>1782.16</v>
      </c>
      <c r="J165" s="711">
        <v>10</v>
      </c>
      <c r="K165" s="711">
        <v>18175.16</v>
      </c>
      <c r="L165" s="711">
        <v>0.92712622476504492</v>
      </c>
      <c r="M165" s="711">
        <v>1817.5160000000001</v>
      </c>
      <c r="N165" s="711">
        <v>14</v>
      </c>
      <c r="O165" s="711">
        <v>26118.12</v>
      </c>
      <c r="P165" s="701">
        <v>1.332301558476537</v>
      </c>
      <c r="Q165" s="712">
        <v>1865.58</v>
      </c>
    </row>
    <row r="166" spans="1:17" ht="14.4" customHeight="1" x14ac:dyDescent="0.3">
      <c r="A166" s="695" t="s">
        <v>556</v>
      </c>
      <c r="B166" s="696" t="s">
        <v>3783</v>
      </c>
      <c r="C166" s="696" t="s">
        <v>3889</v>
      </c>
      <c r="D166" s="696" t="s">
        <v>3891</v>
      </c>
      <c r="E166" s="696" t="s">
        <v>3584</v>
      </c>
      <c r="F166" s="711"/>
      <c r="G166" s="711"/>
      <c r="H166" s="711"/>
      <c r="I166" s="711"/>
      <c r="J166" s="711"/>
      <c r="K166" s="711"/>
      <c r="L166" s="711"/>
      <c r="M166" s="711"/>
      <c r="N166" s="711">
        <v>1</v>
      </c>
      <c r="O166" s="711">
        <v>2728.71</v>
      </c>
      <c r="P166" s="701"/>
      <c r="Q166" s="712">
        <v>2728.71</v>
      </c>
    </row>
    <row r="167" spans="1:17" ht="14.4" customHeight="1" x14ac:dyDescent="0.3">
      <c r="A167" s="695" t="s">
        <v>556</v>
      </c>
      <c r="B167" s="696" t="s">
        <v>3783</v>
      </c>
      <c r="C167" s="696" t="s">
        <v>3889</v>
      </c>
      <c r="D167" s="696" t="s">
        <v>3892</v>
      </c>
      <c r="E167" s="696" t="s">
        <v>3584</v>
      </c>
      <c r="F167" s="711">
        <v>2</v>
      </c>
      <c r="G167" s="711">
        <v>3564.32</v>
      </c>
      <c r="H167" s="711">
        <v>1</v>
      </c>
      <c r="I167" s="711">
        <v>1782.16</v>
      </c>
      <c r="J167" s="711"/>
      <c r="K167" s="711"/>
      <c r="L167" s="711"/>
      <c r="M167" s="711"/>
      <c r="N167" s="711"/>
      <c r="O167" s="711"/>
      <c r="P167" s="701"/>
      <c r="Q167" s="712"/>
    </row>
    <row r="168" spans="1:17" ht="14.4" customHeight="1" x14ac:dyDescent="0.3">
      <c r="A168" s="695" t="s">
        <v>556</v>
      </c>
      <c r="B168" s="696" t="s">
        <v>3783</v>
      </c>
      <c r="C168" s="696" t="s">
        <v>3889</v>
      </c>
      <c r="D168" s="696" t="s">
        <v>3893</v>
      </c>
      <c r="E168" s="696" t="s">
        <v>3584</v>
      </c>
      <c r="F168" s="711">
        <v>6</v>
      </c>
      <c r="G168" s="711">
        <v>5158.32</v>
      </c>
      <c r="H168" s="711">
        <v>1</v>
      </c>
      <c r="I168" s="711">
        <v>859.71999999999991</v>
      </c>
      <c r="J168" s="711">
        <v>9</v>
      </c>
      <c r="K168" s="711">
        <v>8110.17</v>
      </c>
      <c r="L168" s="711">
        <v>1.5722502675289631</v>
      </c>
      <c r="M168" s="711">
        <v>901.13</v>
      </c>
      <c r="N168" s="711">
        <v>2</v>
      </c>
      <c r="O168" s="711">
        <v>1851.14</v>
      </c>
      <c r="P168" s="701">
        <v>0.3588649017509577</v>
      </c>
      <c r="Q168" s="712">
        <v>925.57</v>
      </c>
    </row>
    <row r="169" spans="1:17" ht="14.4" customHeight="1" x14ac:dyDescent="0.3">
      <c r="A169" s="695" t="s">
        <v>556</v>
      </c>
      <c r="B169" s="696" t="s">
        <v>3783</v>
      </c>
      <c r="C169" s="696" t="s">
        <v>3889</v>
      </c>
      <c r="D169" s="696" t="s">
        <v>3894</v>
      </c>
      <c r="E169" s="696" t="s">
        <v>3584</v>
      </c>
      <c r="F169" s="711"/>
      <c r="G169" s="711"/>
      <c r="H169" s="711"/>
      <c r="I169" s="711"/>
      <c r="J169" s="711"/>
      <c r="K169" s="711"/>
      <c r="L169" s="711"/>
      <c r="M169" s="711"/>
      <c r="N169" s="711">
        <v>1</v>
      </c>
      <c r="O169" s="711">
        <v>238.68</v>
      </c>
      <c r="P169" s="701"/>
      <c r="Q169" s="712">
        <v>238.68</v>
      </c>
    </row>
    <row r="170" spans="1:17" ht="14.4" customHeight="1" x14ac:dyDescent="0.3">
      <c r="A170" s="695" t="s">
        <v>556</v>
      </c>
      <c r="B170" s="696" t="s">
        <v>3783</v>
      </c>
      <c r="C170" s="696" t="s">
        <v>3620</v>
      </c>
      <c r="D170" s="696" t="s">
        <v>3895</v>
      </c>
      <c r="E170" s="696" t="s">
        <v>3896</v>
      </c>
      <c r="F170" s="711">
        <v>171</v>
      </c>
      <c r="G170" s="711">
        <v>56426.58</v>
      </c>
      <c r="H170" s="711">
        <v>1</v>
      </c>
      <c r="I170" s="711">
        <v>329.98</v>
      </c>
      <c r="J170" s="711">
        <v>269</v>
      </c>
      <c r="K170" s="711">
        <v>88764.62</v>
      </c>
      <c r="L170" s="711">
        <v>1.5730994152046782</v>
      </c>
      <c r="M170" s="711">
        <v>329.97999999999996</v>
      </c>
      <c r="N170" s="711">
        <v>170</v>
      </c>
      <c r="O170" s="711">
        <v>56096.6</v>
      </c>
      <c r="P170" s="701">
        <v>0.99415204678362568</v>
      </c>
      <c r="Q170" s="712">
        <v>329.98</v>
      </c>
    </row>
    <row r="171" spans="1:17" ht="14.4" customHeight="1" x14ac:dyDescent="0.3">
      <c r="A171" s="695" t="s">
        <v>556</v>
      </c>
      <c r="B171" s="696" t="s">
        <v>3783</v>
      </c>
      <c r="C171" s="696" t="s">
        <v>3620</v>
      </c>
      <c r="D171" s="696" t="s">
        <v>3897</v>
      </c>
      <c r="E171" s="696" t="s">
        <v>3896</v>
      </c>
      <c r="F171" s="711">
        <v>24</v>
      </c>
      <c r="G171" s="711">
        <v>10401.839999999998</v>
      </c>
      <c r="H171" s="711">
        <v>1</v>
      </c>
      <c r="I171" s="711">
        <v>433.40999999999991</v>
      </c>
      <c r="J171" s="711">
        <v>16</v>
      </c>
      <c r="K171" s="711">
        <v>6934.56</v>
      </c>
      <c r="L171" s="711">
        <v>0.66666666666666685</v>
      </c>
      <c r="M171" s="711">
        <v>433.41</v>
      </c>
      <c r="N171" s="711">
        <v>5</v>
      </c>
      <c r="O171" s="711">
        <v>2167.0500000000002</v>
      </c>
      <c r="P171" s="701">
        <v>0.2083333333333334</v>
      </c>
      <c r="Q171" s="712">
        <v>433.41</v>
      </c>
    </row>
    <row r="172" spans="1:17" ht="14.4" customHeight="1" x14ac:dyDescent="0.3">
      <c r="A172" s="695" t="s">
        <v>556</v>
      </c>
      <c r="B172" s="696" t="s">
        <v>3783</v>
      </c>
      <c r="C172" s="696" t="s">
        <v>3620</v>
      </c>
      <c r="D172" s="696" t="s">
        <v>3898</v>
      </c>
      <c r="E172" s="696" t="s">
        <v>3899</v>
      </c>
      <c r="F172" s="711">
        <v>14</v>
      </c>
      <c r="G172" s="711">
        <v>20095.04</v>
      </c>
      <c r="H172" s="711">
        <v>1</v>
      </c>
      <c r="I172" s="711">
        <v>1435.3600000000001</v>
      </c>
      <c r="J172" s="711">
        <v>11</v>
      </c>
      <c r="K172" s="711">
        <v>15788.96</v>
      </c>
      <c r="L172" s="711">
        <v>0.78571428571428559</v>
      </c>
      <c r="M172" s="711">
        <v>1435.36</v>
      </c>
      <c r="N172" s="711">
        <v>8</v>
      </c>
      <c r="O172" s="711">
        <v>11482.88</v>
      </c>
      <c r="P172" s="701">
        <v>0.5714285714285714</v>
      </c>
      <c r="Q172" s="712">
        <v>1435.36</v>
      </c>
    </row>
    <row r="173" spans="1:17" ht="14.4" customHeight="1" x14ac:dyDescent="0.3">
      <c r="A173" s="695" t="s">
        <v>556</v>
      </c>
      <c r="B173" s="696" t="s">
        <v>3783</v>
      </c>
      <c r="C173" s="696" t="s">
        <v>3620</v>
      </c>
      <c r="D173" s="696" t="s">
        <v>3900</v>
      </c>
      <c r="E173" s="696" t="s">
        <v>3899</v>
      </c>
      <c r="F173" s="711">
        <v>2</v>
      </c>
      <c r="G173" s="711">
        <v>3395.54</v>
      </c>
      <c r="H173" s="711">
        <v>1</v>
      </c>
      <c r="I173" s="711">
        <v>1697.77</v>
      </c>
      <c r="J173" s="711"/>
      <c r="K173" s="711"/>
      <c r="L173" s="711"/>
      <c r="M173" s="711"/>
      <c r="N173" s="711">
        <v>1</v>
      </c>
      <c r="O173" s="711">
        <v>1697.77</v>
      </c>
      <c r="P173" s="701">
        <v>0.5</v>
      </c>
      <c r="Q173" s="712">
        <v>1697.77</v>
      </c>
    </row>
    <row r="174" spans="1:17" ht="14.4" customHeight="1" x14ac:dyDescent="0.3">
      <c r="A174" s="695" t="s">
        <v>556</v>
      </c>
      <c r="B174" s="696" t="s">
        <v>3783</v>
      </c>
      <c r="C174" s="696" t="s">
        <v>3620</v>
      </c>
      <c r="D174" s="696" t="s">
        <v>3901</v>
      </c>
      <c r="E174" s="696" t="s">
        <v>3902</v>
      </c>
      <c r="F174" s="711">
        <v>6</v>
      </c>
      <c r="G174" s="711">
        <v>4337.82</v>
      </c>
      <c r="H174" s="711">
        <v>1</v>
      </c>
      <c r="I174" s="711">
        <v>722.96999999999991</v>
      </c>
      <c r="J174" s="711">
        <v>11</v>
      </c>
      <c r="K174" s="711">
        <v>7952.67</v>
      </c>
      <c r="L174" s="711">
        <v>1.8333333333333335</v>
      </c>
      <c r="M174" s="711">
        <v>722.97</v>
      </c>
      <c r="N174" s="711">
        <v>3</v>
      </c>
      <c r="O174" s="711">
        <v>2168.91</v>
      </c>
      <c r="P174" s="701">
        <v>0.5</v>
      </c>
      <c r="Q174" s="712">
        <v>722.96999999999991</v>
      </c>
    </row>
    <row r="175" spans="1:17" ht="14.4" customHeight="1" x14ac:dyDescent="0.3">
      <c r="A175" s="695" t="s">
        <v>556</v>
      </c>
      <c r="B175" s="696" t="s">
        <v>3783</v>
      </c>
      <c r="C175" s="696" t="s">
        <v>3620</v>
      </c>
      <c r="D175" s="696" t="s">
        <v>3903</v>
      </c>
      <c r="E175" s="696" t="s">
        <v>3902</v>
      </c>
      <c r="F175" s="711">
        <v>25</v>
      </c>
      <c r="G175" s="711">
        <v>11812</v>
      </c>
      <c r="H175" s="711">
        <v>1</v>
      </c>
      <c r="I175" s="711">
        <v>472.48</v>
      </c>
      <c r="J175" s="711">
        <v>24</v>
      </c>
      <c r="K175" s="711">
        <v>11339.52</v>
      </c>
      <c r="L175" s="711">
        <v>0.96000000000000008</v>
      </c>
      <c r="M175" s="711">
        <v>472.48</v>
      </c>
      <c r="N175" s="711">
        <v>41</v>
      </c>
      <c r="O175" s="711">
        <v>19371.68</v>
      </c>
      <c r="P175" s="701">
        <v>1.6400000000000001</v>
      </c>
      <c r="Q175" s="712">
        <v>472.48</v>
      </c>
    </row>
    <row r="176" spans="1:17" ht="14.4" customHeight="1" x14ac:dyDescent="0.3">
      <c r="A176" s="695" t="s">
        <v>556</v>
      </c>
      <c r="B176" s="696" t="s">
        <v>3783</v>
      </c>
      <c r="C176" s="696" t="s">
        <v>3620</v>
      </c>
      <c r="D176" s="696" t="s">
        <v>3904</v>
      </c>
      <c r="E176" s="696" t="s">
        <v>3902</v>
      </c>
      <c r="F176" s="711"/>
      <c r="G176" s="711"/>
      <c r="H176" s="711"/>
      <c r="I176" s="711"/>
      <c r="J176" s="711">
        <v>7</v>
      </c>
      <c r="K176" s="711">
        <v>3265.29</v>
      </c>
      <c r="L176" s="711"/>
      <c r="M176" s="711">
        <v>466.46999999999997</v>
      </c>
      <c r="N176" s="711">
        <v>16</v>
      </c>
      <c r="O176" s="711">
        <v>7463.52</v>
      </c>
      <c r="P176" s="701"/>
      <c r="Q176" s="712">
        <v>466.47</v>
      </c>
    </row>
    <row r="177" spans="1:17" ht="14.4" customHeight="1" x14ac:dyDescent="0.3">
      <c r="A177" s="695" t="s">
        <v>556</v>
      </c>
      <c r="B177" s="696" t="s">
        <v>3783</v>
      </c>
      <c r="C177" s="696" t="s">
        <v>3620</v>
      </c>
      <c r="D177" s="696" t="s">
        <v>3905</v>
      </c>
      <c r="E177" s="696" t="s">
        <v>3906</v>
      </c>
      <c r="F177" s="711">
        <v>3</v>
      </c>
      <c r="G177" s="711">
        <v>12936</v>
      </c>
      <c r="H177" s="711">
        <v>1</v>
      </c>
      <c r="I177" s="711">
        <v>4312</v>
      </c>
      <c r="J177" s="711">
        <v>1</v>
      </c>
      <c r="K177" s="711">
        <v>4312</v>
      </c>
      <c r="L177" s="711">
        <v>0.33333333333333331</v>
      </c>
      <c r="M177" s="711">
        <v>4312</v>
      </c>
      <c r="N177" s="711">
        <v>2</v>
      </c>
      <c r="O177" s="711">
        <v>8624</v>
      </c>
      <c r="P177" s="701">
        <v>0.66666666666666663</v>
      </c>
      <c r="Q177" s="712">
        <v>4312</v>
      </c>
    </row>
    <row r="178" spans="1:17" ht="14.4" customHeight="1" x14ac:dyDescent="0.3">
      <c r="A178" s="695" t="s">
        <v>556</v>
      </c>
      <c r="B178" s="696" t="s">
        <v>3783</v>
      </c>
      <c r="C178" s="696" t="s">
        <v>3620</v>
      </c>
      <c r="D178" s="696" t="s">
        <v>3907</v>
      </c>
      <c r="E178" s="696" t="s">
        <v>3908</v>
      </c>
      <c r="F178" s="711"/>
      <c r="G178" s="711"/>
      <c r="H178" s="711"/>
      <c r="I178" s="711"/>
      <c r="J178" s="711"/>
      <c r="K178" s="711"/>
      <c r="L178" s="711"/>
      <c r="M178" s="711"/>
      <c r="N178" s="711">
        <v>2</v>
      </c>
      <c r="O178" s="711">
        <v>8872.94</v>
      </c>
      <c r="P178" s="701"/>
      <c r="Q178" s="712">
        <v>4436.47</v>
      </c>
    </row>
    <row r="179" spans="1:17" ht="14.4" customHeight="1" x14ac:dyDescent="0.3">
      <c r="A179" s="695" t="s">
        <v>556</v>
      </c>
      <c r="B179" s="696" t="s">
        <v>3783</v>
      </c>
      <c r="C179" s="696" t="s">
        <v>3620</v>
      </c>
      <c r="D179" s="696" t="s">
        <v>3909</v>
      </c>
      <c r="E179" s="696" t="s">
        <v>3910</v>
      </c>
      <c r="F179" s="711"/>
      <c r="G179" s="711"/>
      <c r="H179" s="711"/>
      <c r="I179" s="711"/>
      <c r="J179" s="711">
        <v>1</v>
      </c>
      <c r="K179" s="711">
        <v>4124.5200000000004</v>
      </c>
      <c r="L179" s="711"/>
      <c r="M179" s="711">
        <v>4124.5200000000004</v>
      </c>
      <c r="N179" s="711">
        <v>3</v>
      </c>
      <c r="O179" s="711">
        <v>12373.560000000001</v>
      </c>
      <c r="P179" s="701"/>
      <c r="Q179" s="712">
        <v>4124.5200000000004</v>
      </c>
    </row>
    <row r="180" spans="1:17" ht="14.4" customHeight="1" x14ac:dyDescent="0.3">
      <c r="A180" s="695" t="s">
        <v>556</v>
      </c>
      <c r="B180" s="696" t="s">
        <v>3783</v>
      </c>
      <c r="C180" s="696" t="s">
        <v>3620</v>
      </c>
      <c r="D180" s="696" t="s">
        <v>3911</v>
      </c>
      <c r="E180" s="696" t="s">
        <v>3912</v>
      </c>
      <c r="F180" s="711">
        <v>2</v>
      </c>
      <c r="G180" s="711">
        <v>1190.78</v>
      </c>
      <c r="H180" s="711">
        <v>1</v>
      </c>
      <c r="I180" s="711">
        <v>595.39</v>
      </c>
      <c r="J180" s="711">
        <v>10</v>
      </c>
      <c r="K180" s="711">
        <v>5953.9</v>
      </c>
      <c r="L180" s="711">
        <v>5</v>
      </c>
      <c r="M180" s="711">
        <v>595.39</v>
      </c>
      <c r="N180" s="711">
        <v>1</v>
      </c>
      <c r="O180" s="711">
        <v>595.39</v>
      </c>
      <c r="P180" s="701">
        <v>0.5</v>
      </c>
      <c r="Q180" s="712">
        <v>595.39</v>
      </c>
    </row>
    <row r="181" spans="1:17" ht="14.4" customHeight="1" x14ac:dyDescent="0.3">
      <c r="A181" s="695" t="s">
        <v>556</v>
      </c>
      <c r="B181" s="696" t="s">
        <v>3783</v>
      </c>
      <c r="C181" s="696" t="s">
        <v>3620</v>
      </c>
      <c r="D181" s="696" t="s">
        <v>3913</v>
      </c>
      <c r="E181" s="696" t="s">
        <v>3914</v>
      </c>
      <c r="F181" s="711">
        <v>5</v>
      </c>
      <c r="G181" s="711">
        <v>3037.05</v>
      </c>
      <c r="H181" s="711">
        <v>1</v>
      </c>
      <c r="I181" s="711">
        <v>607.41000000000008</v>
      </c>
      <c r="J181" s="711">
        <v>3</v>
      </c>
      <c r="K181" s="711">
        <v>1822.23</v>
      </c>
      <c r="L181" s="711">
        <v>0.6</v>
      </c>
      <c r="M181" s="711">
        <v>607.41</v>
      </c>
      <c r="N181" s="711">
        <v>2</v>
      </c>
      <c r="O181" s="711">
        <v>1214.82</v>
      </c>
      <c r="P181" s="701">
        <v>0.39999999999999997</v>
      </c>
      <c r="Q181" s="712">
        <v>607.41</v>
      </c>
    </row>
    <row r="182" spans="1:17" ht="14.4" customHeight="1" x14ac:dyDescent="0.3">
      <c r="A182" s="695" t="s">
        <v>556</v>
      </c>
      <c r="B182" s="696" t="s">
        <v>3783</v>
      </c>
      <c r="C182" s="696" t="s">
        <v>3620</v>
      </c>
      <c r="D182" s="696" t="s">
        <v>3915</v>
      </c>
      <c r="E182" s="696" t="s">
        <v>3916</v>
      </c>
      <c r="F182" s="711">
        <v>1</v>
      </c>
      <c r="G182" s="711">
        <v>1265.81</v>
      </c>
      <c r="H182" s="711">
        <v>1</v>
      </c>
      <c r="I182" s="711">
        <v>1265.81</v>
      </c>
      <c r="J182" s="711">
        <v>1.1000000000000001</v>
      </c>
      <c r="K182" s="711">
        <v>1392.38</v>
      </c>
      <c r="L182" s="711">
        <v>1.0999913099122303</v>
      </c>
      <c r="M182" s="711">
        <v>1265.8</v>
      </c>
      <c r="N182" s="711">
        <v>0.9</v>
      </c>
      <c r="O182" s="711">
        <v>1139.22</v>
      </c>
      <c r="P182" s="701">
        <v>0.89999288992818838</v>
      </c>
      <c r="Q182" s="712">
        <v>1265.8</v>
      </c>
    </row>
    <row r="183" spans="1:17" ht="14.4" customHeight="1" x14ac:dyDescent="0.3">
      <c r="A183" s="695" t="s">
        <v>556</v>
      </c>
      <c r="B183" s="696" t="s">
        <v>3783</v>
      </c>
      <c r="C183" s="696" t="s">
        <v>3620</v>
      </c>
      <c r="D183" s="696" t="s">
        <v>3917</v>
      </c>
      <c r="E183" s="696" t="s">
        <v>3918</v>
      </c>
      <c r="F183" s="711"/>
      <c r="G183" s="711"/>
      <c r="H183" s="711"/>
      <c r="I183" s="711"/>
      <c r="J183" s="711">
        <v>1</v>
      </c>
      <c r="K183" s="711">
        <v>114</v>
      </c>
      <c r="L183" s="711"/>
      <c r="M183" s="711">
        <v>114</v>
      </c>
      <c r="N183" s="711"/>
      <c r="O183" s="711"/>
      <c r="P183" s="701"/>
      <c r="Q183" s="712"/>
    </row>
    <row r="184" spans="1:17" ht="14.4" customHeight="1" x14ac:dyDescent="0.3">
      <c r="A184" s="695" t="s">
        <v>556</v>
      </c>
      <c r="B184" s="696" t="s">
        <v>3783</v>
      </c>
      <c r="C184" s="696" t="s">
        <v>3620</v>
      </c>
      <c r="D184" s="696" t="s">
        <v>3919</v>
      </c>
      <c r="E184" s="696" t="s">
        <v>3918</v>
      </c>
      <c r="F184" s="711">
        <v>4</v>
      </c>
      <c r="G184" s="711">
        <v>348.2</v>
      </c>
      <c r="H184" s="711">
        <v>1</v>
      </c>
      <c r="I184" s="711">
        <v>87.05</v>
      </c>
      <c r="J184" s="711">
        <v>50</v>
      </c>
      <c r="K184" s="711">
        <v>4352.5</v>
      </c>
      <c r="L184" s="711">
        <v>12.5</v>
      </c>
      <c r="M184" s="711">
        <v>87.05</v>
      </c>
      <c r="N184" s="711">
        <v>31</v>
      </c>
      <c r="O184" s="711">
        <v>2698.5499999999997</v>
      </c>
      <c r="P184" s="701">
        <v>7.7499999999999991</v>
      </c>
      <c r="Q184" s="712">
        <v>87.05</v>
      </c>
    </row>
    <row r="185" spans="1:17" ht="14.4" customHeight="1" x14ac:dyDescent="0.3">
      <c r="A185" s="695" t="s">
        <v>556</v>
      </c>
      <c r="B185" s="696" t="s">
        <v>3783</v>
      </c>
      <c r="C185" s="696" t="s">
        <v>3620</v>
      </c>
      <c r="D185" s="696" t="s">
        <v>3920</v>
      </c>
      <c r="E185" s="696" t="s">
        <v>3918</v>
      </c>
      <c r="F185" s="711">
        <v>11</v>
      </c>
      <c r="G185" s="711">
        <v>1419.33</v>
      </c>
      <c r="H185" s="711">
        <v>1</v>
      </c>
      <c r="I185" s="711">
        <v>129.03</v>
      </c>
      <c r="J185" s="711">
        <v>5</v>
      </c>
      <c r="K185" s="711">
        <v>645.15</v>
      </c>
      <c r="L185" s="711">
        <v>0.45454545454545453</v>
      </c>
      <c r="M185" s="711">
        <v>129.03</v>
      </c>
      <c r="N185" s="711">
        <v>7</v>
      </c>
      <c r="O185" s="711">
        <v>903.21</v>
      </c>
      <c r="P185" s="701">
        <v>0.63636363636363646</v>
      </c>
      <c r="Q185" s="712">
        <v>129.03</v>
      </c>
    </row>
    <row r="186" spans="1:17" ht="14.4" customHeight="1" x14ac:dyDescent="0.3">
      <c r="A186" s="695" t="s">
        <v>556</v>
      </c>
      <c r="B186" s="696" t="s">
        <v>3783</v>
      </c>
      <c r="C186" s="696" t="s">
        <v>3620</v>
      </c>
      <c r="D186" s="696" t="s">
        <v>3921</v>
      </c>
      <c r="E186" s="696" t="s">
        <v>3918</v>
      </c>
      <c r="F186" s="711"/>
      <c r="G186" s="711"/>
      <c r="H186" s="711"/>
      <c r="I186" s="711"/>
      <c r="J186" s="711">
        <v>2</v>
      </c>
      <c r="K186" s="711">
        <v>337.86</v>
      </c>
      <c r="L186" s="711"/>
      <c r="M186" s="711">
        <v>168.93</v>
      </c>
      <c r="N186" s="711"/>
      <c r="O186" s="711"/>
      <c r="P186" s="701"/>
      <c r="Q186" s="712"/>
    </row>
    <row r="187" spans="1:17" ht="14.4" customHeight="1" x14ac:dyDescent="0.3">
      <c r="A187" s="695" t="s">
        <v>556</v>
      </c>
      <c r="B187" s="696" t="s">
        <v>3783</v>
      </c>
      <c r="C187" s="696" t="s">
        <v>3620</v>
      </c>
      <c r="D187" s="696" t="s">
        <v>3922</v>
      </c>
      <c r="E187" s="696" t="s">
        <v>3923</v>
      </c>
      <c r="F187" s="711">
        <v>3</v>
      </c>
      <c r="G187" s="711">
        <v>2627.79</v>
      </c>
      <c r="H187" s="711">
        <v>1</v>
      </c>
      <c r="I187" s="711">
        <v>875.93</v>
      </c>
      <c r="J187" s="711">
        <v>2</v>
      </c>
      <c r="K187" s="711">
        <v>1751.86</v>
      </c>
      <c r="L187" s="711">
        <v>0.66666666666666663</v>
      </c>
      <c r="M187" s="711">
        <v>875.93</v>
      </c>
      <c r="N187" s="711">
        <v>3</v>
      </c>
      <c r="O187" s="711">
        <v>2627.79</v>
      </c>
      <c r="P187" s="701">
        <v>1</v>
      </c>
      <c r="Q187" s="712">
        <v>875.93</v>
      </c>
    </row>
    <row r="188" spans="1:17" ht="14.4" customHeight="1" x14ac:dyDescent="0.3">
      <c r="A188" s="695" t="s">
        <v>556</v>
      </c>
      <c r="B188" s="696" t="s">
        <v>3783</v>
      </c>
      <c r="C188" s="696" t="s">
        <v>3620</v>
      </c>
      <c r="D188" s="696" t="s">
        <v>3924</v>
      </c>
      <c r="E188" s="696" t="s">
        <v>3925</v>
      </c>
      <c r="F188" s="711">
        <v>1</v>
      </c>
      <c r="G188" s="711">
        <v>511.45</v>
      </c>
      <c r="H188" s="711">
        <v>1</v>
      </c>
      <c r="I188" s="711">
        <v>511.45</v>
      </c>
      <c r="J188" s="711">
        <v>3</v>
      </c>
      <c r="K188" s="711">
        <v>1534.35</v>
      </c>
      <c r="L188" s="711">
        <v>3</v>
      </c>
      <c r="M188" s="711">
        <v>511.45</v>
      </c>
      <c r="N188" s="711"/>
      <c r="O188" s="711"/>
      <c r="P188" s="701"/>
      <c r="Q188" s="712"/>
    </row>
    <row r="189" spans="1:17" ht="14.4" customHeight="1" x14ac:dyDescent="0.3">
      <c r="A189" s="695" t="s">
        <v>556</v>
      </c>
      <c r="B189" s="696" t="s">
        <v>3783</v>
      </c>
      <c r="C189" s="696" t="s">
        <v>3620</v>
      </c>
      <c r="D189" s="696" t="s">
        <v>3926</v>
      </c>
      <c r="E189" s="696" t="s">
        <v>3927</v>
      </c>
      <c r="F189" s="711">
        <v>0.1</v>
      </c>
      <c r="G189" s="711">
        <v>96.27</v>
      </c>
      <c r="H189" s="711">
        <v>1</v>
      </c>
      <c r="I189" s="711">
        <v>962.69999999999993</v>
      </c>
      <c r="J189" s="711">
        <v>0.7</v>
      </c>
      <c r="K189" s="711">
        <v>673.93000000000006</v>
      </c>
      <c r="L189" s="711">
        <v>7.000415498078322</v>
      </c>
      <c r="M189" s="711">
        <v>962.75714285714298</v>
      </c>
      <c r="N189" s="711">
        <v>1.5</v>
      </c>
      <c r="O189" s="711">
        <v>1444.1399999999999</v>
      </c>
      <c r="P189" s="701">
        <v>15.000934870676222</v>
      </c>
      <c r="Q189" s="712">
        <v>962.75999999999988</v>
      </c>
    </row>
    <row r="190" spans="1:17" ht="14.4" customHeight="1" x14ac:dyDescent="0.3">
      <c r="A190" s="695" t="s">
        <v>556</v>
      </c>
      <c r="B190" s="696" t="s">
        <v>3783</v>
      </c>
      <c r="C190" s="696" t="s">
        <v>3620</v>
      </c>
      <c r="D190" s="696" t="s">
        <v>3928</v>
      </c>
      <c r="E190" s="696" t="s">
        <v>3927</v>
      </c>
      <c r="F190" s="711">
        <v>0.5</v>
      </c>
      <c r="G190" s="711">
        <v>56.1</v>
      </c>
      <c r="H190" s="711">
        <v>1</v>
      </c>
      <c r="I190" s="711">
        <v>112.2</v>
      </c>
      <c r="J190" s="711">
        <v>0.6</v>
      </c>
      <c r="K190" s="711">
        <v>68.760000000000005</v>
      </c>
      <c r="L190" s="711">
        <v>1.2256684491978611</v>
      </c>
      <c r="M190" s="711">
        <v>114.60000000000001</v>
      </c>
      <c r="N190" s="711"/>
      <c r="O190" s="711"/>
      <c r="P190" s="701"/>
      <c r="Q190" s="712"/>
    </row>
    <row r="191" spans="1:17" ht="14.4" customHeight="1" x14ac:dyDescent="0.3">
      <c r="A191" s="695" t="s">
        <v>556</v>
      </c>
      <c r="B191" s="696" t="s">
        <v>3783</v>
      </c>
      <c r="C191" s="696" t="s">
        <v>3620</v>
      </c>
      <c r="D191" s="696" t="s">
        <v>3929</v>
      </c>
      <c r="E191" s="696" t="s">
        <v>3927</v>
      </c>
      <c r="F191" s="711"/>
      <c r="G191" s="711"/>
      <c r="H191" s="711"/>
      <c r="I191" s="711"/>
      <c r="J191" s="711">
        <v>1.2000000000000002</v>
      </c>
      <c r="K191" s="711">
        <v>165.5</v>
      </c>
      <c r="L191" s="711"/>
      <c r="M191" s="711">
        <v>137.91666666666666</v>
      </c>
      <c r="N191" s="711"/>
      <c r="O191" s="711"/>
      <c r="P191" s="701"/>
      <c r="Q191" s="712"/>
    </row>
    <row r="192" spans="1:17" ht="14.4" customHeight="1" x14ac:dyDescent="0.3">
      <c r="A192" s="695" t="s">
        <v>556</v>
      </c>
      <c r="B192" s="696" t="s">
        <v>3783</v>
      </c>
      <c r="C192" s="696" t="s">
        <v>3620</v>
      </c>
      <c r="D192" s="696" t="s">
        <v>3930</v>
      </c>
      <c r="E192" s="696" t="s">
        <v>3927</v>
      </c>
      <c r="F192" s="711">
        <v>2.4</v>
      </c>
      <c r="G192" s="711">
        <v>1511</v>
      </c>
      <c r="H192" s="711">
        <v>1</v>
      </c>
      <c r="I192" s="711">
        <v>629.58333333333337</v>
      </c>
      <c r="J192" s="711">
        <v>4.5</v>
      </c>
      <c r="K192" s="711">
        <v>2833.12</v>
      </c>
      <c r="L192" s="711">
        <v>1.8749966909331568</v>
      </c>
      <c r="M192" s="711">
        <v>629.58222222222219</v>
      </c>
      <c r="N192" s="711">
        <v>3.3</v>
      </c>
      <c r="O192" s="711">
        <v>2077.6000000000004</v>
      </c>
      <c r="P192" s="701">
        <v>1.3749834546657844</v>
      </c>
      <c r="Q192" s="712">
        <v>629.57575757575773</v>
      </c>
    </row>
    <row r="193" spans="1:17" ht="14.4" customHeight="1" x14ac:dyDescent="0.3">
      <c r="A193" s="695" t="s">
        <v>556</v>
      </c>
      <c r="B193" s="696" t="s">
        <v>3783</v>
      </c>
      <c r="C193" s="696" t="s">
        <v>3620</v>
      </c>
      <c r="D193" s="696" t="s">
        <v>3931</v>
      </c>
      <c r="E193" s="696" t="s">
        <v>3932</v>
      </c>
      <c r="F193" s="711">
        <v>1</v>
      </c>
      <c r="G193" s="711">
        <v>1169.8499999999999</v>
      </c>
      <c r="H193" s="711">
        <v>1</v>
      </c>
      <c r="I193" s="711">
        <v>1169.8499999999999</v>
      </c>
      <c r="J193" s="711"/>
      <c r="K193" s="711"/>
      <c r="L193" s="711"/>
      <c r="M193" s="711"/>
      <c r="N193" s="711"/>
      <c r="O193" s="711"/>
      <c r="P193" s="701"/>
      <c r="Q193" s="712"/>
    </row>
    <row r="194" spans="1:17" ht="14.4" customHeight="1" x14ac:dyDescent="0.3">
      <c r="A194" s="695" t="s">
        <v>556</v>
      </c>
      <c r="B194" s="696" t="s">
        <v>3783</v>
      </c>
      <c r="C194" s="696" t="s">
        <v>3620</v>
      </c>
      <c r="D194" s="696" t="s">
        <v>3933</v>
      </c>
      <c r="E194" s="696" t="s">
        <v>3934</v>
      </c>
      <c r="F194" s="711"/>
      <c r="G194" s="711"/>
      <c r="H194" s="711"/>
      <c r="I194" s="711"/>
      <c r="J194" s="711">
        <v>2</v>
      </c>
      <c r="K194" s="711">
        <v>7361.08</v>
      </c>
      <c r="L194" s="711"/>
      <c r="M194" s="711">
        <v>3680.54</v>
      </c>
      <c r="N194" s="711"/>
      <c r="O194" s="711"/>
      <c r="P194" s="701"/>
      <c r="Q194" s="712"/>
    </row>
    <row r="195" spans="1:17" ht="14.4" customHeight="1" x14ac:dyDescent="0.3">
      <c r="A195" s="695" t="s">
        <v>556</v>
      </c>
      <c r="B195" s="696" t="s">
        <v>3783</v>
      </c>
      <c r="C195" s="696" t="s">
        <v>3620</v>
      </c>
      <c r="D195" s="696" t="s">
        <v>3935</v>
      </c>
      <c r="E195" s="696" t="s">
        <v>3934</v>
      </c>
      <c r="F195" s="711">
        <v>1</v>
      </c>
      <c r="G195" s="711">
        <v>2111.8000000000002</v>
      </c>
      <c r="H195" s="711">
        <v>1</v>
      </c>
      <c r="I195" s="711">
        <v>2111.8000000000002</v>
      </c>
      <c r="J195" s="711">
        <v>5</v>
      </c>
      <c r="K195" s="711">
        <v>10559</v>
      </c>
      <c r="L195" s="711">
        <v>5</v>
      </c>
      <c r="M195" s="711">
        <v>2111.8000000000002</v>
      </c>
      <c r="N195" s="711">
        <v>1</v>
      </c>
      <c r="O195" s="711">
        <v>2111.8000000000002</v>
      </c>
      <c r="P195" s="701">
        <v>1</v>
      </c>
      <c r="Q195" s="712">
        <v>2111.8000000000002</v>
      </c>
    </row>
    <row r="196" spans="1:17" ht="14.4" customHeight="1" x14ac:dyDescent="0.3">
      <c r="A196" s="695" t="s">
        <v>556</v>
      </c>
      <c r="B196" s="696" t="s">
        <v>3783</v>
      </c>
      <c r="C196" s="696" t="s">
        <v>3620</v>
      </c>
      <c r="D196" s="696" t="s">
        <v>3936</v>
      </c>
      <c r="E196" s="696" t="s">
        <v>3937</v>
      </c>
      <c r="F196" s="711">
        <v>4</v>
      </c>
      <c r="G196" s="711">
        <v>4137.16</v>
      </c>
      <c r="H196" s="711">
        <v>1</v>
      </c>
      <c r="I196" s="711">
        <v>1034.29</v>
      </c>
      <c r="J196" s="711">
        <v>20</v>
      </c>
      <c r="K196" s="711">
        <v>20685.8</v>
      </c>
      <c r="L196" s="711">
        <v>5</v>
      </c>
      <c r="M196" s="711">
        <v>1034.29</v>
      </c>
      <c r="N196" s="711">
        <v>8</v>
      </c>
      <c r="O196" s="711">
        <v>8274.32</v>
      </c>
      <c r="P196" s="701">
        <v>2</v>
      </c>
      <c r="Q196" s="712">
        <v>1034.29</v>
      </c>
    </row>
    <row r="197" spans="1:17" ht="14.4" customHeight="1" x14ac:dyDescent="0.3">
      <c r="A197" s="695" t="s">
        <v>556</v>
      </c>
      <c r="B197" s="696" t="s">
        <v>3783</v>
      </c>
      <c r="C197" s="696" t="s">
        <v>3620</v>
      </c>
      <c r="D197" s="696" t="s">
        <v>3938</v>
      </c>
      <c r="E197" s="696" t="s">
        <v>3937</v>
      </c>
      <c r="F197" s="711">
        <v>29</v>
      </c>
      <c r="G197" s="711">
        <v>31887.82</v>
      </c>
      <c r="H197" s="711">
        <v>1</v>
      </c>
      <c r="I197" s="711">
        <v>1099.58</v>
      </c>
      <c r="J197" s="711">
        <v>15</v>
      </c>
      <c r="K197" s="711">
        <v>16493.699999999997</v>
      </c>
      <c r="L197" s="711">
        <v>0.51724137931034475</v>
      </c>
      <c r="M197" s="711">
        <v>1099.5799999999997</v>
      </c>
      <c r="N197" s="711">
        <v>26</v>
      </c>
      <c r="O197" s="711">
        <v>28589.079999999998</v>
      </c>
      <c r="P197" s="701">
        <v>0.89655172413793094</v>
      </c>
      <c r="Q197" s="712">
        <v>1099.58</v>
      </c>
    </row>
    <row r="198" spans="1:17" ht="14.4" customHeight="1" x14ac:dyDescent="0.3">
      <c r="A198" s="695" t="s">
        <v>556</v>
      </c>
      <c r="B198" s="696" t="s">
        <v>3783</v>
      </c>
      <c r="C198" s="696" t="s">
        <v>3620</v>
      </c>
      <c r="D198" s="696" t="s">
        <v>3939</v>
      </c>
      <c r="E198" s="696" t="s">
        <v>3937</v>
      </c>
      <c r="F198" s="711">
        <v>33</v>
      </c>
      <c r="G198" s="711">
        <v>38953.86</v>
      </c>
      <c r="H198" s="711">
        <v>1</v>
      </c>
      <c r="I198" s="711">
        <v>1180.42</v>
      </c>
      <c r="J198" s="711">
        <v>18</v>
      </c>
      <c r="K198" s="711">
        <v>21247.56</v>
      </c>
      <c r="L198" s="711">
        <v>0.54545454545454553</v>
      </c>
      <c r="M198" s="711">
        <v>1180.42</v>
      </c>
      <c r="N198" s="711">
        <v>31</v>
      </c>
      <c r="O198" s="711">
        <v>36593.020000000004</v>
      </c>
      <c r="P198" s="701">
        <v>0.93939393939393945</v>
      </c>
      <c r="Q198" s="712">
        <v>1180.42</v>
      </c>
    </row>
    <row r="199" spans="1:17" ht="14.4" customHeight="1" x14ac:dyDescent="0.3">
      <c r="A199" s="695" t="s">
        <v>556</v>
      </c>
      <c r="B199" s="696" t="s">
        <v>3783</v>
      </c>
      <c r="C199" s="696" t="s">
        <v>3620</v>
      </c>
      <c r="D199" s="696" t="s">
        <v>3940</v>
      </c>
      <c r="E199" s="696" t="s">
        <v>3937</v>
      </c>
      <c r="F199" s="711">
        <v>20</v>
      </c>
      <c r="G199" s="711">
        <v>24955.600000000002</v>
      </c>
      <c r="H199" s="711">
        <v>1</v>
      </c>
      <c r="I199" s="711">
        <v>1247.7800000000002</v>
      </c>
      <c r="J199" s="711">
        <v>9</v>
      </c>
      <c r="K199" s="711">
        <v>11230.02</v>
      </c>
      <c r="L199" s="711">
        <v>0.44999999999999996</v>
      </c>
      <c r="M199" s="711">
        <v>1247.78</v>
      </c>
      <c r="N199" s="711">
        <v>30</v>
      </c>
      <c r="O199" s="711">
        <v>37433.4</v>
      </c>
      <c r="P199" s="701">
        <v>1.5</v>
      </c>
      <c r="Q199" s="712">
        <v>1247.78</v>
      </c>
    </row>
    <row r="200" spans="1:17" ht="14.4" customHeight="1" x14ac:dyDescent="0.3">
      <c r="A200" s="695" t="s">
        <v>556</v>
      </c>
      <c r="B200" s="696" t="s">
        <v>3783</v>
      </c>
      <c r="C200" s="696" t="s">
        <v>3620</v>
      </c>
      <c r="D200" s="696" t="s">
        <v>3941</v>
      </c>
      <c r="E200" s="696" t="s">
        <v>3937</v>
      </c>
      <c r="F200" s="711">
        <v>4</v>
      </c>
      <c r="G200" s="711">
        <v>5505.16</v>
      </c>
      <c r="H200" s="711">
        <v>1</v>
      </c>
      <c r="I200" s="711">
        <v>1376.29</v>
      </c>
      <c r="J200" s="711"/>
      <c r="K200" s="711"/>
      <c r="L200" s="711"/>
      <c r="M200" s="711"/>
      <c r="N200" s="711"/>
      <c r="O200" s="711"/>
      <c r="P200" s="701"/>
      <c r="Q200" s="712"/>
    </row>
    <row r="201" spans="1:17" ht="14.4" customHeight="1" x14ac:dyDescent="0.3">
      <c r="A201" s="695" t="s">
        <v>556</v>
      </c>
      <c r="B201" s="696" t="s">
        <v>3783</v>
      </c>
      <c r="C201" s="696" t="s">
        <v>3620</v>
      </c>
      <c r="D201" s="696" t="s">
        <v>3942</v>
      </c>
      <c r="E201" s="696" t="s">
        <v>3943</v>
      </c>
      <c r="F201" s="711">
        <v>2</v>
      </c>
      <c r="G201" s="711">
        <v>21251.68</v>
      </c>
      <c r="H201" s="711">
        <v>1</v>
      </c>
      <c r="I201" s="711">
        <v>10625.84</v>
      </c>
      <c r="J201" s="711">
        <v>1</v>
      </c>
      <c r="K201" s="711">
        <v>10625.84</v>
      </c>
      <c r="L201" s="711">
        <v>0.5</v>
      </c>
      <c r="M201" s="711">
        <v>10625.84</v>
      </c>
      <c r="N201" s="711">
        <v>2</v>
      </c>
      <c r="O201" s="711">
        <v>21251.68</v>
      </c>
      <c r="P201" s="701">
        <v>1</v>
      </c>
      <c r="Q201" s="712">
        <v>10625.84</v>
      </c>
    </row>
    <row r="202" spans="1:17" ht="14.4" customHeight="1" x14ac:dyDescent="0.3">
      <c r="A202" s="695" t="s">
        <v>556</v>
      </c>
      <c r="B202" s="696" t="s">
        <v>3783</v>
      </c>
      <c r="C202" s="696" t="s">
        <v>3620</v>
      </c>
      <c r="D202" s="696" t="s">
        <v>3944</v>
      </c>
      <c r="E202" s="696" t="s">
        <v>3945</v>
      </c>
      <c r="F202" s="711"/>
      <c r="G202" s="711"/>
      <c r="H202" s="711"/>
      <c r="I202" s="711"/>
      <c r="J202" s="711"/>
      <c r="K202" s="711"/>
      <c r="L202" s="711"/>
      <c r="M202" s="711"/>
      <c r="N202" s="711">
        <v>5</v>
      </c>
      <c r="O202" s="711">
        <v>12822.5</v>
      </c>
      <c r="P202" s="701"/>
      <c r="Q202" s="712">
        <v>2564.5</v>
      </c>
    </row>
    <row r="203" spans="1:17" ht="14.4" customHeight="1" x14ac:dyDescent="0.3">
      <c r="A203" s="695" t="s">
        <v>556</v>
      </c>
      <c r="B203" s="696" t="s">
        <v>3783</v>
      </c>
      <c r="C203" s="696" t="s">
        <v>3620</v>
      </c>
      <c r="D203" s="696" t="s">
        <v>3946</v>
      </c>
      <c r="E203" s="696" t="s">
        <v>3947</v>
      </c>
      <c r="F203" s="711"/>
      <c r="G203" s="711"/>
      <c r="H203" s="711"/>
      <c r="I203" s="711"/>
      <c r="J203" s="711"/>
      <c r="K203" s="711"/>
      <c r="L203" s="711"/>
      <c r="M203" s="711"/>
      <c r="N203" s="711">
        <v>2</v>
      </c>
      <c r="O203" s="711">
        <v>3887.8</v>
      </c>
      <c r="P203" s="701"/>
      <c r="Q203" s="712">
        <v>1943.9</v>
      </c>
    </row>
    <row r="204" spans="1:17" ht="14.4" customHeight="1" x14ac:dyDescent="0.3">
      <c r="A204" s="695" t="s">
        <v>556</v>
      </c>
      <c r="B204" s="696" t="s">
        <v>3783</v>
      </c>
      <c r="C204" s="696" t="s">
        <v>3620</v>
      </c>
      <c r="D204" s="696" t="s">
        <v>3948</v>
      </c>
      <c r="E204" s="696" t="s">
        <v>3949</v>
      </c>
      <c r="F204" s="711"/>
      <c r="G204" s="711"/>
      <c r="H204" s="711"/>
      <c r="I204" s="711"/>
      <c r="J204" s="711"/>
      <c r="K204" s="711"/>
      <c r="L204" s="711"/>
      <c r="M204" s="711"/>
      <c r="N204" s="711">
        <v>2</v>
      </c>
      <c r="O204" s="711">
        <v>3887.8</v>
      </c>
      <c r="P204" s="701"/>
      <c r="Q204" s="712">
        <v>1943.9</v>
      </c>
    </row>
    <row r="205" spans="1:17" ht="14.4" customHeight="1" x14ac:dyDescent="0.3">
      <c r="A205" s="695" t="s">
        <v>556</v>
      </c>
      <c r="B205" s="696" t="s">
        <v>3783</v>
      </c>
      <c r="C205" s="696" t="s">
        <v>3620</v>
      </c>
      <c r="D205" s="696" t="s">
        <v>3950</v>
      </c>
      <c r="E205" s="696" t="s">
        <v>3951</v>
      </c>
      <c r="F205" s="711">
        <v>10</v>
      </c>
      <c r="G205" s="711">
        <v>38880</v>
      </c>
      <c r="H205" s="711">
        <v>1</v>
      </c>
      <c r="I205" s="711">
        <v>3888</v>
      </c>
      <c r="J205" s="711"/>
      <c r="K205" s="711"/>
      <c r="L205" s="711"/>
      <c r="M205" s="711"/>
      <c r="N205" s="711"/>
      <c r="O205" s="711"/>
      <c r="P205" s="701"/>
      <c r="Q205" s="712"/>
    </row>
    <row r="206" spans="1:17" ht="14.4" customHeight="1" x14ac:dyDescent="0.3">
      <c r="A206" s="695" t="s">
        <v>556</v>
      </c>
      <c r="B206" s="696" t="s">
        <v>3783</v>
      </c>
      <c r="C206" s="696" t="s">
        <v>3620</v>
      </c>
      <c r="D206" s="696" t="s">
        <v>3952</v>
      </c>
      <c r="E206" s="696" t="s">
        <v>3953</v>
      </c>
      <c r="F206" s="711"/>
      <c r="G206" s="711"/>
      <c r="H206" s="711"/>
      <c r="I206" s="711"/>
      <c r="J206" s="711">
        <v>1</v>
      </c>
      <c r="K206" s="711">
        <v>2117.29</v>
      </c>
      <c r="L206" s="711"/>
      <c r="M206" s="711">
        <v>2117.29</v>
      </c>
      <c r="N206" s="711"/>
      <c r="O206" s="711"/>
      <c r="P206" s="701"/>
      <c r="Q206" s="712"/>
    </row>
    <row r="207" spans="1:17" ht="14.4" customHeight="1" x14ac:dyDescent="0.3">
      <c r="A207" s="695" t="s">
        <v>556</v>
      </c>
      <c r="B207" s="696" t="s">
        <v>3783</v>
      </c>
      <c r="C207" s="696" t="s">
        <v>3620</v>
      </c>
      <c r="D207" s="696" t="s">
        <v>3954</v>
      </c>
      <c r="E207" s="696" t="s">
        <v>3955</v>
      </c>
      <c r="F207" s="711">
        <v>4</v>
      </c>
      <c r="G207" s="711">
        <v>1998.12</v>
      </c>
      <c r="H207" s="711">
        <v>1</v>
      </c>
      <c r="I207" s="711">
        <v>499.53</v>
      </c>
      <c r="J207" s="711">
        <v>17</v>
      </c>
      <c r="K207" s="711">
        <v>8492.01</v>
      </c>
      <c r="L207" s="711">
        <v>4.25</v>
      </c>
      <c r="M207" s="711">
        <v>499.53000000000003</v>
      </c>
      <c r="N207" s="711">
        <v>13</v>
      </c>
      <c r="O207" s="711">
        <v>6493.8899999999994</v>
      </c>
      <c r="P207" s="701">
        <v>3.25</v>
      </c>
      <c r="Q207" s="712">
        <v>499.53</v>
      </c>
    </row>
    <row r="208" spans="1:17" ht="14.4" customHeight="1" x14ac:dyDescent="0.3">
      <c r="A208" s="695" t="s">
        <v>556</v>
      </c>
      <c r="B208" s="696" t="s">
        <v>3783</v>
      </c>
      <c r="C208" s="696" t="s">
        <v>3620</v>
      </c>
      <c r="D208" s="696" t="s">
        <v>3956</v>
      </c>
      <c r="E208" s="696" t="s">
        <v>3955</v>
      </c>
      <c r="F208" s="711"/>
      <c r="G208" s="711"/>
      <c r="H208" s="711"/>
      <c r="I208" s="711"/>
      <c r="J208" s="711">
        <v>1</v>
      </c>
      <c r="K208" s="711">
        <v>426.98</v>
      </c>
      <c r="L208" s="711"/>
      <c r="M208" s="711">
        <v>426.98</v>
      </c>
      <c r="N208" s="711"/>
      <c r="O208" s="711"/>
      <c r="P208" s="701"/>
      <c r="Q208" s="712"/>
    </row>
    <row r="209" spans="1:17" ht="14.4" customHeight="1" x14ac:dyDescent="0.3">
      <c r="A209" s="695" t="s">
        <v>556</v>
      </c>
      <c r="B209" s="696" t="s">
        <v>3783</v>
      </c>
      <c r="C209" s="696" t="s">
        <v>3620</v>
      </c>
      <c r="D209" s="696" t="s">
        <v>3957</v>
      </c>
      <c r="E209" s="696" t="s">
        <v>3958</v>
      </c>
      <c r="F209" s="711">
        <v>1</v>
      </c>
      <c r="G209" s="711">
        <v>9657.8700000000008</v>
      </c>
      <c r="H209" s="711">
        <v>1</v>
      </c>
      <c r="I209" s="711">
        <v>9657.8700000000008</v>
      </c>
      <c r="J209" s="711">
        <v>4</v>
      </c>
      <c r="K209" s="711">
        <v>38631.480000000003</v>
      </c>
      <c r="L209" s="711">
        <v>4</v>
      </c>
      <c r="M209" s="711">
        <v>9657.8700000000008</v>
      </c>
      <c r="N209" s="711">
        <v>4</v>
      </c>
      <c r="O209" s="711">
        <v>38631.480000000003</v>
      </c>
      <c r="P209" s="701">
        <v>4</v>
      </c>
      <c r="Q209" s="712">
        <v>9657.8700000000008</v>
      </c>
    </row>
    <row r="210" spans="1:17" ht="14.4" customHeight="1" x14ac:dyDescent="0.3">
      <c r="A210" s="695" t="s">
        <v>556</v>
      </c>
      <c r="B210" s="696" t="s">
        <v>3783</v>
      </c>
      <c r="C210" s="696" t="s">
        <v>3620</v>
      </c>
      <c r="D210" s="696" t="s">
        <v>3959</v>
      </c>
      <c r="E210" s="696" t="s">
        <v>3918</v>
      </c>
      <c r="F210" s="711">
        <v>28</v>
      </c>
      <c r="G210" s="711">
        <v>1932.56</v>
      </c>
      <c r="H210" s="711">
        <v>1</v>
      </c>
      <c r="I210" s="711">
        <v>69.02</v>
      </c>
      <c r="J210" s="711">
        <v>84</v>
      </c>
      <c r="K210" s="711">
        <v>5797.68</v>
      </c>
      <c r="L210" s="711">
        <v>3.0000000000000004</v>
      </c>
      <c r="M210" s="711">
        <v>69.02000000000001</v>
      </c>
      <c r="N210" s="711">
        <v>67</v>
      </c>
      <c r="O210" s="711">
        <v>4624.3399999999992</v>
      </c>
      <c r="P210" s="701">
        <v>2.3928571428571423</v>
      </c>
      <c r="Q210" s="712">
        <v>69.019999999999982</v>
      </c>
    </row>
    <row r="211" spans="1:17" ht="14.4" customHeight="1" x14ac:dyDescent="0.3">
      <c r="A211" s="695" t="s">
        <v>556</v>
      </c>
      <c r="B211" s="696" t="s">
        <v>3783</v>
      </c>
      <c r="C211" s="696" t="s">
        <v>3620</v>
      </c>
      <c r="D211" s="696" t="s">
        <v>3960</v>
      </c>
      <c r="E211" s="696" t="s">
        <v>3918</v>
      </c>
      <c r="F211" s="711">
        <v>13</v>
      </c>
      <c r="G211" s="711">
        <v>1104.74</v>
      </c>
      <c r="H211" s="711">
        <v>1</v>
      </c>
      <c r="I211" s="711">
        <v>84.98</v>
      </c>
      <c r="J211" s="711">
        <v>7</v>
      </c>
      <c r="K211" s="711">
        <v>594.86</v>
      </c>
      <c r="L211" s="711">
        <v>0.53846153846153844</v>
      </c>
      <c r="M211" s="711">
        <v>84.98</v>
      </c>
      <c r="N211" s="711">
        <v>14</v>
      </c>
      <c r="O211" s="711">
        <v>1189.72</v>
      </c>
      <c r="P211" s="701">
        <v>1.0769230769230769</v>
      </c>
      <c r="Q211" s="712">
        <v>84.98</v>
      </c>
    </row>
    <row r="212" spans="1:17" ht="14.4" customHeight="1" x14ac:dyDescent="0.3">
      <c r="A212" s="695" t="s">
        <v>556</v>
      </c>
      <c r="B212" s="696" t="s">
        <v>3783</v>
      </c>
      <c r="C212" s="696" t="s">
        <v>3620</v>
      </c>
      <c r="D212" s="696" t="s">
        <v>3961</v>
      </c>
      <c r="E212" s="696" t="s">
        <v>3962</v>
      </c>
      <c r="F212" s="711"/>
      <c r="G212" s="711"/>
      <c r="H212" s="711"/>
      <c r="I212" s="711"/>
      <c r="J212" s="711"/>
      <c r="K212" s="711"/>
      <c r="L212" s="711"/>
      <c r="M212" s="711"/>
      <c r="N212" s="711">
        <v>1</v>
      </c>
      <c r="O212" s="711">
        <v>6832.75</v>
      </c>
      <c r="P212" s="701"/>
      <c r="Q212" s="712">
        <v>6832.75</v>
      </c>
    </row>
    <row r="213" spans="1:17" ht="14.4" customHeight="1" x14ac:dyDescent="0.3">
      <c r="A213" s="695" t="s">
        <v>556</v>
      </c>
      <c r="B213" s="696" t="s">
        <v>3783</v>
      </c>
      <c r="C213" s="696" t="s">
        <v>3620</v>
      </c>
      <c r="D213" s="696" t="s">
        <v>3963</v>
      </c>
      <c r="E213" s="696" t="s">
        <v>3964</v>
      </c>
      <c r="F213" s="711"/>
      <c r="G213" s="711"/>
      <c r="H213" s="711"/>
      <c r="I213" s="711"/>
      <c r="J213" s="711">
        <v>1</v>
      </c>
      <c r="K213" s="711">
        <v>1370.07</v>
      </c>
      <c r="L213" s="711"/>
      <c r="M213" s="711">
        <v>1370.07</v>
      </c>
      <c r="N213" s="711"/>
      <c r="O213" s="711"/>
      <c r="P213" s="701"/>
      <c r="Q213" s="712"/>
    </row>
    <row r="214" spans="1:17" ht="14.4" customHeight="1" x14ac:dyDescent="0.3">
      <c r="A214" s="695" t="s">
        <v>556</v>
      </c>
      <c r="B214" s="696" t="s">
        <v>3783</v>
      </c>
      <c r="C214" s="696" t="s">
        <v>3620</v>
      </c>
      <c r="D214" s="696" t="s">
        <v>3965</v>
      </c>
      <c r="E214" s="696" t="s">
        <v>3964</v>
      </c>
      <c r="F214" s="711">
        <v>12</v>
      </c>
      <c r="G214" s="711">
        <v>8556.24</v>
      </c>
      <c r="H214" s="711">
        <v>1</v>
      </c>
      <c r="I214" s="711">
        <v>713.02</v>
      </c>
      <c r="J214" s="711">
        <v>24</v>
      </c>
      <c r="K214" s="711">
        <v>17112.48</v>
      </c>
      <c r="L214" s="711">
        <v>2</v>
      </c>
      <c r="M214" s="711">
        <v>713.02</v>
      </c>
      <c r="N214" s="711">
        <v>14</v>
      </c>
      <c r="O214" s="711">
        <v>9982.2799999999988</v>
      </c>
      <c r="P214" s="701">
        <v>1.1666666666666665</v>
      </c>
      <c r="Q214" s="712">
        <v>713.01999999999987</v>
      </c>
    </row>
    <row r="215" spans="1:17" ht="14.4" customHeight="1" x14ac:dyDescent="0.3">
      <c r="A215" s="695" t="s">
        <v>556</v>
      </c>
      <c r="B215" s="696" t="s">
        <v>3783</v>
      </c>
      <c r="C215" s="696" t="s">
        <v>3620</v>
      </c>
      <c r="D215" s="696" t="s">
        <v>3966</v>
      </c>
      <c r="E215" s="696" t="s">
        <v>3967</v>
      </c>
      <c r="F215" s="711">
        <v>26</v>
      </c>
      <c r="G215" s="711">
        <v>5981.82</v>
      </c>
      <c r="H215" s="711">
        <v>1</v>
      </c>
      <c r="I215" s="711">
        <v>230.07</v>
      </c>
      <c r="J215" s="711">
        <v>53</v>
      </c>
      <c r="K215" s="711">
        <v>12193.71</v>
      </c>
      <c r="L215" s="711">
        <v>2.0384615384615383</v>
      </c>
      <c r="M215" s="711">
        <v>230.07</v>
      </c>
      <c r="N215" s="711">
        <v>19</v>
      </c>
      <c r="O215" s="711">
        <v>4371.33</v>
      </c>
      <c r="P215" s="701">
        <v>0.73076923076923084</v>
      </c>
      <c r="Q215" s="712">
        <v>230.07</v>
      </c>
    </row>
    <row r="216" spans="1:17" ht="14.4" customHeight="1" x14ac:dyDescent="0.3">
      <c r="A216" s="695" t="s">
        <v>556</v>
      </c>
      <c r="B216" s="696" t="s">
        <v>3783</v>
      </c>
      <c r="C216" s="696" t="s">
        <v>3620</v>
      </c>
      <c r="D216" s="696" t="s">
        <v>3968</v>
      </c>
      <c r="E216" s="696" t="s">
        <v>3969</v>
      </c>
      <c r="F216" s="711">
        <v>2</v>
      </c>
      <c r="G216" s="711">
        <v>246.66</v>
      </c>
      <c r="H216" s="711">
        <v>1</v>
      </c>
      <c r="I216" s="711">
        <v>123.33</v>
      </c>
      <c r="J216" s="711">
        <v>11</v>
      </c>
      <c r="K216" s="711">
        <v>1356.63</v>
      </c>
      <c r="L216" s="711">
        <v>5.5000000000000009</v>
      </c>
      <c r="M216" s="711">
        <v>123.33000000000001</v>
      </c>
      <c r="N216" s="711">
        <v>2</v>
      </c>
      <c r="O216" s="711">
        <v>246.66</v>
      </c>
      <c r="P216" s="701">
        <v>1</v>
      </c>
      <c r="Q216" s="712">
        <v>123.33</v>
      </c>
    </row>
    <row r="217" spans="1:17" ht="14.4" customHeight="1" x14ac:dyDescent="0.3">
      <c r="A217" s="695" t="s">
        <v>556</v>
      </c>
      <c r="B217" s="696" t="s">
        <v>3783</v>
      </c>
      <c r="C217" s="696" t="s">
        <v>3620</v>
      </c>
      <c r="D217" s="696" t="s">
        <v>3970</v>
      </c>
      <c r="E217" s="696" t="s">
        <v>3969</v>
      </c>
      <c r="F217" s="711">
        <v>3</v>
      </c>
      <c r="G217" s="711">
        <v>273.60000000000002</v>
      </c>
      <c r="H217" s="711">
        <v>1</v>
      </c>
      <c r="I217" s="711">
        <v>91.2</v>
      </c>
      <c r="J217" s="711"/>
      <c r="K217" s="711"/>
      <c r="L217" s="711"/>
      <c r="M217" s="711"/>
      <c r="N217" s="711"/>
      <c r="O217" s="711"/>
      <c r="P217" s="701"/>
      <c r="Q217" s="712"/>
    </row>
    <row r="218" spans="1:17" ht="14.4" customHeight="1" x14ac:dyDescent="0.3">
      <c r="A218" s="695" t="s">
        <v>556</v>
      </c>
      <c r="B218" s="696" t="s">
        <v>3783</v>
      </c>
      <c r="C218" s="696" t="s">
        <v>3620</v>
      </c>
      <c r="D218" s="696" t="s">
        <v>3971</v>
      </c>
      <c r="E218" s="696" t="s">
        <v>3972</v>
      </c>
      <c r="F218" s="711">
        <v>6</v>
      </c>
      <c r="G218" s="711">
        <v>1305.8400000000001</v>
      </c>
      <c r="H218" s="711">
        <v>1</v>
      </c>
      <c r="I218" s="711">
        <v>217.64000000000001</v>
      </c>
      <c r="J218" s="711">
        <v>4</v>
      </c>
      <c r="K218" s="711">
        <v>870.56</v>
      </c>
      <c r="L218" s="711">
        <v>0.66666666666666652</v>
      </c>
      <c r="M218" s="711">
        <v>217.64</v>
      </c>
      <c r="N218" s="711">
        <v>8</v>
      </c>
      <c r="O218" s="711">
        <v>1741.12</v>
      </c>
      <c r="P218" s="701">
        <v>1.333333333333333</v>
      </c>
      <c r="Q218" s="712">
        <v>217.64</v>
      </c>
    </row>
    <row r="219" spans="1:17" ht="14.4" customHeight="1" x14ac:dyDescent="0.3">
      <c r="A219" s="695" t="s">
        <v>556</v>
      </c>
      <c r="B219" s="696" t="s">
        <v>3783</v>
      </c>
      <c r="C219" s="696" t="s">
        <v>3620</v>
      </c>
      <c r="D219" s="696" t="s">
        <v>3973</v>
      </c>
      <c r="E219" s="696" t="s">
        <v>3972</v>
      </c>
      <c r="F219" s="711">
        <v>3</v>
      </c>
      <c r="G219" s="711">
        <v>795.93000000000006</v>
      </c>
      <c r="H219" s="711">
        <v>1</v>
      </c>
      <c r="I219" s="711">
        <v>265.31</v>
      </c>
      <c r="J219" s="711">
        <v>8</v>
      </c>
      <c r="K219" s="711">
        <v>2122.48</v>
      </c>
      <c r="L219" s="711">
        <v>2.6666666666666665</v>
      </c>
      <c r="M219" s="711">
        <v>265.31</v>
      </c>
      <c r="N219" s="711">
        <v>1</v>
      </c>
      <c r="O219" s="711">
        <v>265.31</v>
      </c>
      <c r="P219" s="701">
        <v>0.33333333333333331</v>
      </c>
      <c r="Q219" s="712">
        <v>265.31</v>
      </c>
    </row>
    <row r="220" spans="1:17" ht="14.4" customHeight="1" x14ac:dyDescent="0.3">
      <c r="A220" s="695" t="s">
        <v>556</v>
      </c>
      <c r="B220" s="696" t="s">
        <v>3783</v>
      </c>
      <c r="C220" s="696" t="s">
        <v>3620</v>
      </c>
      <c r="D220" s="696" t="s">
        <v>3974</v>
      </c>
      <c r="E220" s="696" t="s">
        <v>3975</v>
      </c>
      <c r="F220" s="711"/>
      <c r="G220" s="711"/>
      <c r="H220" s="711"/>
      <c r="I220" s="711"/>
      <c r="J220" s="711">
        <v>1</v>
      </c>
      <c r="K220" s="711">
        <v>487.09</v>
      </c>
      <c r="L220" s="711"/>
      <c r="M220" s="711">
        <v>487.09</v>
      </c>
      <c r="N220" s="711"/>
      <c r="O220" s="711"/>
      <c r="P220" s="701"/>
      <c r="Q220" s="712"/>
    </row>
    <row r="221" spans="1:17" ht="14.4" customHeight="1" x14ac:dyDescent="0.3">
      <c r="A221" s="695" t="s">
        <v>556</v>
      </c>
      <c r="B221" s="696" t="s">
        <v>3783</v>
      </c>
      <c r="C221" s="696" t="s">
        <v>3620</v>
      </c>
      <c r="D221" s="696" t="s">
        <v>3976</v>
      </c>
      <c r="E221" s="696" t="s">
        <v>3977</v>
      </c>
      <c r="F221" s="711">
        <v>6</v>
      </c>
      <c r="G221" s="711">
        <v>3109.0799999999995</v>
      </c>
      <c r="H221" s="711">
        <v>1</v>
      </c>
      <c r="I221" s="711">
        <v>518.17999999999995</v>
      </c>
      <c r="J221" s="711">
        <v>17</v>
      </c>
      <c r="K221" s="711">
        <v>8809.06</v>
      </c>
      <c r="L221" s="711">
        <v>2.8333333333333335</v>
      </c>
      <c r="M221" s="711">
        <v>518.17999999999995</v>
      </c>
      <c r="N221" s="711">
        <v>8</v>
      </c>
      <c r="O221" s="711">
        <v>4145.4399999999996</v>
      </c>
      <c r="P221" s="701">
        <v>1.3333333333333335</v>
      </c>
      <c r="Q221" s="712">
        <v>518.17999999999995</v>
      </c>
    </row>
    <row r="222" spans="1:17" ht="14.4" customHeight="1" x14ac:dyDescent="0.3">
      <c r="A222" s="695" t="s">
        <v>556</v>
      </c>
      <c r="B222" s="696" t="s">
        <v>3783</v>
      </c>
      <c r="C222" s="696" t="s">
        <v>3620</v>
      </c>
      <c r="D222" s="696" t="s">
        <v>3978</v>
      </c>
      <c r="E222" s="696" t="s">
        <v>3979</v>
      </c>
      <c r="F222" s="711">
        <v>11</v>
      </c>
      <c r="G222" s="711">
        <v>11377.189999999999</v>
      </c>
      <c r="H222" s="711">
        <v>1</v>
      </c>
      <c r="I222" s="711">
        <v>1034.29</v>
      </c>
      <c r="J222" s="711">
        <v>18</v>
      </c>
      <c r="K222" s="711">
        <v>18617.22</v>
      </c>
      <c r="L222" s="711">
        <v>1.6363636363636367</v>
      </c>
      <c r="M222" s="711">
        <v>1034.29</v>
      </c>
      <c r="N222" s="711">
        <v>3</v>
      </c>
      <c r="O222" s="711">
        <v>3102.87</v>
      </c>
      <c r="P222" s="701">
        <v>0.27272727272727276</v>
      </c>
      <c r="Q222" s="712">
        <v>1034.29</v>
      </c>
    </row>
    <row r="223" spans="1:17" ht="14.4" customHeight="1" x14ac:dyDescent="0.3">
      <c r="A223" s="695" t="s">
        <v>556</v>
      </c>
      <c r="B223" s="696" t="s">
        <v>3783</v>
      </c>
      <c r="C223" s="696" t="s">
        <v>3620</v>
      </c>
      <c r="D223" s="696" t="s">
        <v>3980</v>
      </c>
      <c r="E223" s="696" t="s">
        <v>3916</v>
      </c>
      <c r="F223" s="711">
        <v>17</v>
      </c>
      <c r="G223" s="711">
        <v>1550.4</v>
      </c>
      <c r="H223" s="711">
        <v>1</v>
      </c>
      <c r="I223" s="711">
        <v>91.2</v>
      </c>
      <c r="J223" s="711">
        <v>5</v>
      </c>
      <c r="K223" s="711">
        <v>456</v>
      </c>
      <c r="L223" s="711">
        <v>0.29411764705882354</v>
      </c>
      <c r="M223" s="711">
        <v>91.2</v>
      </c>
      <c r="N223" s="711"/>
      <c r="O223" s="711"/>
      <c r="P223" s="701"/>
      <c r="Q223" s="712"/>
    </row>
    <row r="224" spans="1:17" ht="14.4" customHeight="1" x14ac:dyDescent="0.3">
      <c r="A224" s="695" t="s">
        <v>556</v>
      </c>
      <c r="B224" s="696" t="s">
        <v>3783</v>
      </c>
      <c r="C224" s="696" t="s">
        <v>3620</v>
      </c>
      <c r="D224" s="696" t="s">
        <v>3981</v>
      </c>
      <c r="E224" s="696" t="s">
        <v>3918</v>
      </c>
      <c r="F224" s="711">
        <v>12</v>
      </c>
      <c r="G224" s="711">
        <v>1156.56</v>
      </c>
      <c r="H224" s="711">
        <v>1</v>
      </c>
      <c r="I224" s="711">
        <v>96.38</v>
      </c>
      <c r="J224" s="711">
        <v>18</v>
      </c>
      <c r="K224" s="711">
        <v>1734.84</v>
      </c>
      <c r="L224" s="711">
        <v>1.5</v>
      </c>
      <c r="M224" s="711">
        <v>96.38</v>
      </c>
      <c r="N224" s="711"/>
      <c r="O224" s="711"/>
      <c r="P224" s="701"/>
      <c r="Q224" s="712"/>
    </row>
    <row r="225" spans="1:17" ht="14.4" customHeight="1" x14ac:dyDescent="0.3">
      <c r="A225" s="695" t="s">
        <v>556</v>
      </c>
      <c r="B225" s="696" t="s">
        <v>3783</v>
      </c>
      <c r="C225" s="696" t="s">
        <v>3620</v>
      </c>
      <c r="D225" s="696" t="s">
        <v>3982</v>
      </c>
      <c r="E225" s="696" t="s">
        <v>3918</v>
      </c>
      <c r="F225" s="711">
        <v>116</v>
      </c>
      <c r="G225" s="711">
        <v>14060.75</v>
      </c>
      <c r="H225" s="711">
        <v>1</v>
      </c>
      <c r="I225" s="711">
        <v>121.21336206896552</v>
      </c>
      <c r="J225" s="711">
        <v>44</v>
      </c>
      <c r="K225" s="711">
        <v>5335</v>
      </c>
      <c r="L225" s="711">
        <v>0.37942499511050265</v>
      </c>
      <c r="M225" s="711">
        <v>121.25</v>
      </c>
      <c r="N225" s="711">
        <v>19</v>
      </c>
      <c r="O225" s="711">
        <v>2303.75</v>
      </c>
      <c r="P225" s="701">
        <v>0.16384261152498977</v>
      </c>
      <c r="Q225" s="712">
        <v>121.25</v>
      </c>
    </row>
    <row r="226" spans="1:17" ht="14.4" customHeight="1" x14ac:dyDescent="0.3">
      <c r="A226" s="695" t="s">
        <v>556</v>
      </c>
      <c r="B226" s="696" t="s">
        <v>3783</v>
      </c>
      <c r="C226" s="696" t="s">
        <v>3620</v>
      </c>
      <c r="D226" s="696" t="s">
        <v>3983</v>
      </c>
      <c r="E226" s="696" t="s">
        <v>3918</v>
      </c>
      <c r="F226" s="711">
        <v>1</v>
      </c>
      <c r="G226" s="711">
        <v>103.64</v>
      </c>
      <c r="H226" s="711">
        <v>1</v>
      </c>
      <c r="I226" s="711">
        <v>103.64</v>
      </c>
      <c r="J226" s="711">
        <v>3</v>
      </c>
      <c r="K226" s="711">
        <v>310.92</v>
      </c>
      <c r="L226" s="711">
        <v>3</v>
      </c>
      <c r="M226" s="711">
        <v>103.64</v>
      </c>
      <c r="N226" s="711">
        <v>6</v>
      </c>
      <c r="O226" s="711">
        <v>621.84</v>
      </c>
      <c r="P226" s="701">
        <v>6</v>
      </c>
      <c r="Q226" s="712">
        <v>103.64</v>
      </c>
    </row>
    <row r="227" spans="1:17" ht="14.4" customHeight="1" x14ac:dyDescent="0.3">
      <c r="A227" s="695" t="s">
        <v>556</v>
      </c>
      <c r="B227" s="696" t="s">
        <v>3783</v>
      </c>
      <c r="C227" s="696" t="s">
        <v>3620</v>
      </c>
      <c r="D227" s="696" t="s">
        <v>3984</v>
      </c>
      <c r="E227" s="696" t="s">
        <v>3918</v>
      </c>
      <c r="F227" s="711">
        <v>1</v>
      </c>
      <c r="G227" s="711">
        <v>114</v>
      </c>
      <c r="H227" s="711">
        <v>1</v>
      </c>
      <c r="I227" s="711">
        <v>114</v>
      </c>
      <c r="J227" s="711"/>
      <c r="K227" s="711"/>
      <c r="L227" s="711"/>
      <c r="M227" s="711"/>
      <c r="N227" s="711">
        <v>1</v>
      </c>
      <c r="O227" s="711">
        <v>114</v>
      </c>
      <c r="P227" s="701">
        <v>1</v>
      </c>
      <c r="Q227" s="712">
        <v>114</v>
      </c>
    </row>
    <row r="228" spans="1:17" ht="14.4" customHeight="1" x14ac:dyDescent="0.3">
      <c r="A228" s="695" t="s">
        <v>556</v>
      </c>
      <c r="B228" s="696" t="s">
        <v>3783</v>
      </c>
      <c r="C228" s="696" t="s">
        <v>3620</v>
      </c>
      <c r="D228" s="696" t="s">
        <v>3985</v>
      </c>
      <c r="E228" s="696" t="s">
        <v>3918</v>
      </c>
      <c r="F228" s="711"/>
      <c r="G228" s="711"/>
      <c r="H228" s="711"/>
      <c r="I228" s="711"/>
      <c r="J228" s="711">
        <v>6</v>
      </c>
      <c r="K228" s="711">
        <v>1032.24</v>
      </c>
      <c r="L228" s="711"/>
      <c r="M228" s="711">
        <v>172.04</v>
      </c>
      <c r="N228" s="711">
        <v>1</v>
      </c>
      <c r="O228" s="711">
        <v>172.04</v>
      </c>
      <c r="P228" s="701"/>
      <c r="Q228" s="712">
        <v>172.04</v>
      </c>
    </row>
    <row r="229" spans="1:17" ht="14.4" customHeight="1" x14ac:dyDescent="0.3">
      <c r="A229" s="695" t="s">
        <v>556</v>
      </c>
      <c r="B229" s="696" t="s">
        <v>3783</v>
      </c>
      <c r="C229" s="696" t="s">
        <v>3620</v>
      </c>
      <c r="D229" s="696" t="s">
        <v>3986</v>
      </c>
      <c r="E229" s="696" t="s">
        <v>3918</v>
      </c>
      <c r="F229" s="711">
        <v>51</v>
      </c>
      <c r="G229" s="711">
        <v>4598.16</v>
      </c>
      <c r="H229" s="711">
        <v>1</v>
      </c>
      <c r="I229" s="711">
        <v>90.16</v>
      </c>
      <c r="J229" s="711">
        <v>60</v>
      </c>
      <c r="K229" s="711">
        <v>5409.5999999999995</v>
      </c>
      <c r="L229" s="711">
        <v>1.1764705882352939</v>
      </c>
      <c r="M229" s="711">
        <v>90.16</v>
      </c>
      <c r="N229" s="711">
        <v>35</v>
      </c>
      <c r="O229" s="711">
        <v>3155.6</v>
      </c>
      <c r="P229" s="701">
        <v>0.68627450980392157</v>
      </c>
      <c r="Q229" s="712">
        <v>90.16</v>
      </c>
    </row>
    <row r="230" spans="1:17" ht="14.4" customHeight="1" x14ac:dyDescent="0.3">
      <c r="A230" s="695" t="s">
        <v>556</v>
      </c>
      <c r="B230" s="696" t="s">
        <v>3783</v>
      </c>
      <c r="C230" s="696" t="s">
        <v>3620</v>
      </c>
      <c r="D230" s="696" t="s">
        <v>3987</v>
      </c>
      <c r="E230" s="696" t="s">
        <v>3988</v>
      </c>
      <c r="F230" s="711"/>
      <c r="G230" s="711"/>
      <c r="H230" s="711"/>
      <c r="I230" s="711"/>
      <c r="J230" s="711">
        <v>7</v>
      </c>
      <c r="K230" s="711">
        <v>1450.89</v>
      </c>
      <c r="L230" s="711"/>
      <c r="M230" s="711">
        <v>207.27</v>
      </c>
      <c r="N230" s="711"/>
      <c r="O230" s="711"/>
      <c r="P230" s="701"/>
      <c r="Q230" s="712"/>
    </row>
    <row r="231" spans="1:17" ht="14.4" customHeight="1" x14ac:dyDescent="0.3">
      <c r="A231" s="695" t="s">
        <v>556</v>
      </c>
      <c r="B231" s="696" t="s">
        <v>3783</v>
      </c>
      <c r="C231" s="696" t="s">
        <v>3620</v>
      </c>
      <c r="D231" s="696" t="s">
        <v>3989</v>
      </c>
      <c r="E231" s="696" t="s">
        <v>3988</v>
      </c>
      <c r="F231" s="711">
        <v>2</v>
      </c>
      <c r="G231" s="711">
        <v>466.36</v>
      </c>
      <c r="H231" s="711">
        <v>1</v>
      </c>
      <c r="I231" s="711">
        <v>233.18</v>
      </c>
      <c r="J231" s="711"/>
      <c r="K231" s="711"/>
      <c r="L231" s="711"/>
      <c r="M231" s="711"/>
      <c r="N231" s="711"/>
      <c r="O231" s="711"/>
      <c r="P231" s="701"/>
      <c r="Q231" s="712"/>
    </row>
    <row r="232" spans="1:17" ht="14.4" customHeight="1" x14ac:dyDescent="0.3">
      <c r="A232" s="695" t="s">
        <v>556</v>
      </c>
      <c r="B232" s="696" t="s">
        <v>3783</v>
      </c>
      <c r="C232" s="696" t="s">
        <v>3620</v>
      </c>
      <c r="D232" s="696" t="s">
        <v>3990</v>
      </c>
      <c r="E232" s="696" t="s">
        <v>3991</v>
      </c>
      <c r="F232" s="711"/>
      <c r="G232" s="711"/>
      <c r="H232" s="711"/>
      <c r="I232" s="711"/>
      <c r="J232" s="711">
        <v>1</v>
      </c>
      <c r="K232" s="711">
        <v>4452.0600000000004</v>
      </c>
      <c r="L232" s="711"/>
      <c r="M232" s="711">
        <v>4452.0600000000004</v>
      </c>
      <c r="N232" s="711">
        <v>2</v>
      </c>
      <c r="O232" s="711">
        <v>8904.1200000000008</v>
      </c>
      <c r="P232" s="701"/>
      <c r="Q232" s="712">
        <v>4452.0600000000004</v>
      </c>
    </row>
    <row r="233" spans="1:17" ht="14.4" customHeight="1" x14ac:dyDescent="0.3">
      <c r="A233" s="695" t="s">
        <v>556</v>
      </c>
      <c r="B233" s="696" t="s">
        <v>3783</v>
      </c>
      <c r="C233" s="696" t="s">
        <v>3620</v>
      </c>
      <c r="D233" s="696" t="s">
        <v>3992</v>
      </c>
      <c r="E233" s="696" t="s">
        <v>3993</v>
      </c>
      <c r="F233" s="711"/>
      <c r="G233" s="711"/>
      <c r="H233" s="711"/>
      <c r="I233" s="711"/>
      <c r="J233" s="711">
        <v>5</v>
      </c>
      <c r="K233" s="711">
        <v>427.5</v>
      </c>
      <c r="L233" s="711"/>
      <c r="M233" s="711">
        <v>85.5</v>
      </c>
      <c r="N233" s="711"/>
      <c r="O233" s="711"/>
      <c r="P233" s="701"/>
      <c r="Q233" s="712"/>
    </row>
    <row r="234" spans="1:17" ht="14.4" customHeight="1" x14ac:dyDescent="0.3">
      <c r="A234" s="695" t="s">
        <v>556</v>
      </c>
      <c r="B234" s="696" t="s">
        <v>3783</v>
      </c>
      <c r="C234" s="696" t="s">
        <v>3620</v>
      </c>
      <c r="D234" s="696" t="s">
        <v>3994</v>
      </c>
      <c r="E234" s="696" t="s">
        <v>3995</v>
      </c>
      <c r="F234" s="711">
        <v>2</v>
      </c>
      <c r="G234" s="711">
        <v>362.4</v>
      </c>
      <c r="H234" s="711">
        <v>1</v>
      </c>
      <c r="I234" s="711">
        <v>181.2</v>
      </c>
      <c r="J234" s="711"/>
      <c r="K234" s="711"/>
      <c r="L234" s="711"/>
      <c r="M234" s="711"/>
      <c r="N234" s="711"/>
      <c r="O234" s="711"/>
      <c r="P234" s="701"/>
      <c r="Q234" s="712"/>
    </row>
    <row r="235" spans="1:17" ht="14.4" customHeight="1" x14ac:dyDescent="0.3">
      <c r="A235" s="695" t="s">
        <v>556</v>
      </c>
      <c r="B235" s="696" t="s">
        <v>3783</v>
      </c>
      <c r="C235" s="696" t="s">
        <v>3620</v>
      </c>
      <c r="D235" s="696" t="s">
        <v>3996</v>
      </c>
      <c r="E235" s="696" t="s">
        <v>3995</v>
      </c>
      <c r="F235" s="711">
        <v>1</v>
      </c>
      <c r="G235" s="711">
        <v>144.69999999999999</v>
      </c>
      <c r="H235" s="711">
        <v>1</v>
      </c>
      <c r="I235" s="711">
        <v>144.69999999999999</v>
      </c>
      <c r="J235" s="711"/>
      <c r="K235" s="711"/>
      <c r="L235" s="711"/>
      <c r="M235" s="711"/>
      <c r="N235" s="711"/>
      <c r="O235" s="711"/>
      <c r="P235" s="701"/>
      <c r="Q235" s="712"/>
    </row>
    <row r="236" spans="1:17" ht="14.4" customHeight="1" x14ac:dyDescent="0.3">
      <c r="A236" s="695" t="s">
        <v>556</v>
      </c>
      <c r="B236" s="696" t="s">
        <v>3783</v>
      </c>
      <c r="C236" s="696" t="s">
        <v>3620</v>
      </c>
      <c r="D236" s="696" t="s">
        <v>3997</v>
      </c>
      <c r="E236" s="696" t="s">
        <v>3998</v>
      </c>
      <c r="F236" s="711">
        <v>3</v>
      </c>
      <c r="G236" s="711">
        <v>14190</v>
      </c>
      <c r="H236" s="711">
        <v>1</v>
      </c>
      <c r="I236" s="711">
        <v>4730</v>
      </c>
      <c r="J236" s="711">
        <v>1</v>
      </c>
      <c r="K236" s="711">
        <v>4902</v>
      </c>
      <c r="L236" s="711">
        <v>0.34545454545454546</v>
      </c>
      <c r="M236" s="711">
        <v>4902</v>
      </c>
      <c r="N236" s="711">
        <v>2</v>
      </c>
      <c r="O236" s="711">
        <v>9804</v>
      </c>
      <c r="P236" s="701">
        <v>0.69090909090909092</v>
      </c>
      <c r="Q236" s="712">
        <v>4902</v>
      </c>
    </row>
    <row r="237" spans="1:17" ht="14.4" customHeight="1" x14ac:dyDescent="0.3">
      <c r="A237" s="695" t="s">
        <v>556</v>
      </c>
      <c r="B237" s="696" t="s">
        <v>3783</v>
      </c>
      <c r="C237" s="696" t="s">
        <v>3620</v>
      </c>
      <c r="D237" s="696" t="s">
        <v>3999</v>
      </c>
      <c r="E237" s="696" t="s">
        <v>4000</v>
      </c>
      <c r="F237" s="711">
        <v>8</v>
      </c>
      <c r="G237" s="711">
        <v>38524</v>
      </c>
      <c r="H237" s="711">
        <v>1</v>
      </c>
      <c r="I237" s="711">
        <v>4815.5</v>
      </c>
      <c r="J237" s="711">
        <v>3</v>
      </c>
      <c r="K237" s="711">
        <v>14970</v>
      </c>
      <c r="L237" s="711">
        <v>0.38858893157512198</v>
      </c>
      <c r="M237" s="711">
        <v>4990</v>
      </c>
      <c r="N237" s="711">
        <v>2</v>
      </c>
      <c r="O237" s="711">
        <v>9980</v>
      </c>
      <c r="P237" s="701">
        <v>0.25905928771674802</v>
      </c>
      <c r="Q237" s="712">
        <v>4990</v>
      </c>
    </row>
    <row r="238" spans="1:17" ht="14.4" customHeight="1" x14ac:dyDescent="0.3">
      <c r="A238" s="695" t="s">
        <v>556</v>
      </c>
      <c r="B238" s="696" t="s">
        <v>3783</v>
      </c>
      <c r="C238" s="696" t="s">
        <v>3620</v>
      </c>
      <c r="D238" s="696" t="s">
        <v>4001</v>
      </c>
      <c r="E238" s="696" t="s">
        <v>4002</v>
      </c>
      <c r="F238" s="711">
        <v>1</v>
      </c>
      <c r="G238" s="711">
        <v>1486.15</v>
      </c>
      <c r="H238" s="711">
        <v>1</v>
      </c>
      <c r="I238" s="711">
        <v>1486.15</v>
      </c>
      <c r="J238" s="711">
        <v>1</v>
      </c>
      <c r="K238" s="711">
        <v>1486.15</v>
      </c>
      <c r="L238" s="711">
        <v>1</v>
      </c>
      <c r="M238" s="711">
        <v>1486.15</v>
      </c>
      <c r="N238" s="711"/>
      <c r="O238" s="711"/>
      <c r="P238" s="701"/>
      <c r="Q238" s="712"/>
    </row>
    <row r="239" spans="1:17" ht="14.4" customHeight="1" x14ac:dyDescent="0.3">
      <c r="A239" s="695" t="s">
        <v>556</v>
      </c>
      <c r="B239" s="696" t="s">
        <v>3783</v>
      </c>
      <c r="C239" s="696" t="s">
        <v>3620</v>
      </c>
      <c r="D239" s="696" t="s">
        <v>4003</v>
      </c>
      <c r="E239" s="696" t="s">
        <v>4004</v>
      </c>
      <c r="F239" s="711">
        <v>1</v>
      </c>
      <c r="G239" s="711">
        <v>2916.33</v>
      </c>
      <c r="H239" s="711">
        <v>1</v>
      </c>
      <c r="I239" s="711">
        <v>2916.33</v>
      </c>
      <c r="J239" s="711"/>
      <c r="K239" s="711"/>
      <c r="L239" s="711"/>
      <c r="M239" s="711"/>
      <c r="N239" s="711">
        <v>2</v>
      </c>
      <c r="O239" s="711">
        <v>5832.66</v>
      </c>
      <c r="P239" s="701">
        <v>2</v>
      </c>
      <c r="Q239" s="712">
        <v>2916.33</v>
      </c>
    </row>
    <row r="240" spans="1:17" ht="14.4" customHeight="1" x14ac:dyDescent="0.3">
      <c r="A240" s="695" t="s">
        <v>556</v>
      </c>
      <c r="B240" s="696" t="s">
        <v>3783</v>
      </c>
      <c r="C240" s="696" t="s">
        <v>3620</v>
      </c>
      <c r="D240" s="696" t="s">
        <v>4005</v>
      </c>
      <c r="E240" s="696" t="s">
        <v>4006</v>
      </c>
      <c r="F240" s="711"/>
      <c r="G240" s="711"/>
      <c r="H240" s="711"/>
      <c r="I240" s="711"/>
      <c r="J240" s="711">
        <v>1</v>
      </c>
      <c r="K240" s="711">
        <v>3199.25</v>
      </c>
      <c r="L240" s="711"/>
      <c r="M240" s="711">
        <v>3199.25</v>
      </c>
      <c r="N240" s="711"/>
      <c r="O240" s="711"/>
      <c r="P240" s="701"/>
      <c r="Q240" s="712"/>
    </row>
    <row r="241" spans="1:17" ht="14.4" customHeight="1" x14ac:dyDescent="0.3">
      <c r="A241" s="695" t="s">
        <v>556</v>
      </c>
      <c r="B241" s="696" t="s">
        <v>3783</v>
      </c>
      <c r="C241" s="696" t="s">
        <v>3620</v>
      </c>
      <c r="D241" s="696" t="s">
        <v>4007</v>
      </c>
      <c r="E241" s="696" t="s">
        <v>4008</v>
      </c>
      <c r="F241" s="711"/>
      <c r="G241" s="711"/>
      <c r="H241" s="711"/>
      <c r="I241" s="711"/>
      <c r="J241" s="711">
        <v>5</v>
      </c>
      <c r="K241" s="711">
        <v>8155</v>
      </c>
      <c r="L241" s="711"/>
      <c r="M241" s="711">
        <v>1631</v>
      </c>
      <c r="N241" s="711"/>
      <c r="O241" s="711"/>
      <c r="P241" s="701"/>
      <c r="Q241" s="712"/>
    </row>
    <row r="242" spans="1:17" ht="14.4" customHeight="1" x14ac:dyDescent="0.3">
      <c r="A242" s="695" t="s">
        <v>556</v>
      </c>
      <c r="B242" s="696" t="s">
        <v>3783</v>
      </c>
      <c r="C242" s="696" t="s">
        <v>3620</v>
      </c>
      <c r="D242" s="696" t="s">
        <v>4009</v>
      </c>
      <c r="E242" s="696" t="s">
        <v>4010</v>
      </c>
      <c r="F242" s="711"/>
      <c r="G242" s="711"/>
      <c r="H242" s="711"/>
      <c r="I242" s="711"/>
      <c r="J242" s="711"/>
      <c r="K242" s="711"/>
      <c r="L242" s="711"/>
      <c r="M242" s="711"/>
      <c r="N242" s="711">
        <v>1</v>
      </c>
      <c r="O242" s="711">
        <v>2834.45</v>
      </c>
      <c r="P242" s="701"/>
      <c r="Q242" s="712">
        <v>2834.45</v>
      </c>
    </row>
    <row r="243" spans="1:17" ht="14.4" customHeight="1" x14ac:dyDescent="0.3">
      <c r="A243" s="695" t="s">
        <v>556</v>
      </c>
      <c r="B243" s="696" t="s">
        <v>3783</v>
      </c>
      <c r="C243" s="696" t="s">
        <v>3620</v>
      </c>
      <c r="D243" s="696" t="s">
        <v>4011</v>
      </c>
      <c r="E243" s="696" t="s">
        <v>4010</v>
      </c>
      <c r="F243" s="711">
        <v>1</v>
      </c>
      <c r="G243" s="711">
        <v>4301.95</v>
      </c>
      <c r="H243" s="711">
        <v>1</v>
      </c>
      <c r="I243" s="711">
        <v>4301.95</v>
      </c>
      <c r="J243" s="711"/>
      <c r="K243" s="711"/>
      <c r="L243" s="711"/>
      <c r="M243" s="711"/>
      <c r="N243" s="711">
        <v>1</v>
      </c>
      <c r="O243" s="711">
        <v>4301.95</v>
      </c>
      <c r="P243" s="701">
        <v>1</v>
      </c>
      <c r="Q243" s="712">
        <v>4301.95</v>
      </c>
    </row>
    <row r="244" spans="1:17" ht="14.4" customHeight="1" x14ac:dyDescent="0.3">
      <c r="A244" s="695" t="s">
        <v>556</v>
      </c>
      <c r="B244" s="696" t="s">
        <v>3783</v>
      </c>
      <c r="C244" s="696" t="s">
        <v>3620</v>
      </c>
      <c r="D244" s="696" t="s">
        <v>4012</v>
      </c>
      <c r="E244" s="696" t="s">
        <v>4013</v>
      </c>
      <c r="F244" s="711">
        <v>2</v>
      </c>
      <c r="G244" s="711">
        <v>7164</v>
      </c>
      <c r="H244" s="711">
        <v>1</v>
      </c>
      <c r="I244" s="711">
        <v>3582</v>
      </c>
      <c r="J244" s="711"/>
      <c r="K244" s="711"/>
      <c r="L244" s="711"/>
      <c r="M244" s="711"/>
      <c r="N244" s="711"/>
      <c r="O244" s="711"/>
      <c r="P244" s="701"/>
      <c r="Q244" s="712"/>
    </row>
    <row r="245" spans="1:17" ht="14.4" customHeight="1" x14ac:dyDescent="0.3">
      <c r="A245" s="695" t="s">
        <v>556</v>
      </c>
      <c r="B245" s="696" t="s">
        <v>3783</v>
      </c>
      <c r="C245" s="696" t="s">
        <v>3620</v>
      </c>
      <c r="D245" s="696" t="s">
        <v>4014</v>
      </c>
      <c r="E245" s="696" t="s">
        <v>4015</v>
      </c>
      <c r="F245" s="711">
        <v>8</v>
      </c>
      <c r="G245" s="711">
        <v>9982.24</v>
      </c>
      <c r="H245" s="711">
        <v>1</v>
      </c>
      <c r="I245" s="711">
        <v>1247.78</v>
      </c>
      <c r="J245" s="711">
        <v>10</v>
      </c>
      <c r="K245" s="711">
        <v>12477.8</v>
      </c>
      <c r="L245" s="711">
        <v>1.25</v>
      </c>
      <c r="M245" s="711">
        <v>1247.78</v>
      </c>
      <c r="N245" s="711">
        <v>9</v>
      </c>
      <c r="O245" s="711">
        <v>11230.02</v>
      </c>
      <c r="P245" s="701">
        <v>1.125</v>
      </c>
      <c r="Q245" s="712">
        <v>1247.78</v>
      </c>
    </row>
    <row r="246" spans="1:17" ht="14.4" customHeight="1" x14ac:dyDescent="0.3">
      <c r="A246" s="695" t="s">
        <v>556</v>
      </c>
      <c r="B246" s="696" t="s">
        <v>3783</v>
      </c>
      <c r="C246" s="696" t="s">
        <v>3620</v>
      </c>
      <c r="D246" s="696" t="s">
        <v>4016</v>
      </c>
      <c r="E246" s="696" t="s">
        <v>4015</v>
      </c>
      <c r="F246" s="711">
        <v>15</v>
      </c>
      <c r="G246" s="711">
        <v>21328.35</v>
      </c>
      <c r="H246" s="711">
        <v>1</v>
      </c>
      <c r="I246" s="711">
        <v>1421.8899999999999</v>
      </c>
      <c r="J246" s="711">
        <v>15</v>
      </c>
      <c r="K246" s="711">
        <v>21328.35</v>
      </c>
      <c r="L246" s="711">
        <v>1</v>
      </c>
      <c r="M246" s="711">
        <v>1421.8899999999999</v>
      </c>
      <c r="N246" s="711">
        <v>15</v>
      </c>
      <c r="O246" s="711">
        <v>21328.35</v>
      </c>
      <c r="P246" s="701">
        <v>1</v>
      </c>
      <c r="Q246" s="712">
        <v>1421.8899999999999</v>
      </c>
    </row>
    <row r="247" spans="1:17" ht="14.4" customHeight="1" x14ac:dyDescent="0.3">
      <c r="A247" s="695" t="s">
        <v>556</v>
      </c>
      <c r="B247" s="696" t="s">
        <v>3783</v>
      </c>
      <c r="C247" s="696" t="s">
        <v>3620</v>
      </c>
      <c r="D247" s="696" t="s">
        <v>4017</v>
      </c>
      <c r="E247" s="696" t="s">
        <v>4015</v>
      </c>
      <c r="F247" s="711">
        <v>17</v>
      </c>
      <c r="G247" s="711">
        <v>28153.87</v>
      </c>
      <c r="H247" s="711">
        <v>1</v>
      </c>
      <c r="I247" s="711">
        <v>1656.11</v>
      </c>
      <c r="J247" s="711">
        <v>10</v>
      </c>
      <c r="K247" s="711">
        <v>16561.099999999999</v>
      </c>
      <c r="L247" s="711">
        <v>0.58823529411764708</v>
      </c>
      <c r="M247" s="711">
        <v>1656.11</v>
      </c>
      <c r="N247" s="711">
        <v>9</v>
      </c>
      <c r="O247" s="711">
        <v>14904.99</v>
      </c>
      <c r="P247" s="701">
        <v>0.52941176470588236</v>
      </c>
      <c r="Q247" s="712">
        <v>1656.11</v>
      </c>
    </row>
    <row r="248" spans="1:17" ht="14.4" customHeight="1" x14ac:dyDescent="0.3">
      <c r="A248" s="695" t="s">
        <v>556</v>
      </c>
      <c r="B248" s="696" t="s">
        <v>3783</v>
      </c>
      <c r="C248" s="696" t="s">
        <v>3620</v>
      </c>
      <c r="D248" s="696" t="s">
        <v>4018</v>
      </c>
      <c r="E248" s="696" t="s">
        <v>4015</v>
      </c>
      <c r="F248" s="711">
        <v>2</v>
      </c>
      <c r="G248" s="711">
        <v>3558.88</v>
      </c>
      <c r="H248" s="711">
        <v>1</v>
      </c>
      <c r="I248" s="711">
        <v>1779.44</v>
      </c>
      <c r="J248" s="711">
        <v>3</v>
      </c>
      <c r="K248" s="711">
        <v>5338.32</v>
      </c>
      <c r="L248" s="711">
        <v>1.4999999999999998</v>
      </c>
      <c r="M248" s="711">
        <v>1779.4399999999998</v>
      </c>
      <c r="N248" s="711"/>
      <c r="O248" s="711"/>
      <c r="P248" s="701"/>
      <c r="Q248" s="712"/>
    </row>
    <row r="249" spans="1:17" ht="14.4" customHeight="1" x14ac:dyDescent="0.3">
      <c r="A249" s="695" t="s">
        <v>556</v>
      </c>
      <c r="B249" s="696" t="s">
        <v>3783</v>
      </c>
      <c r="C249" s="696" t="s">
        <v>3620</v>
      </c>
      <c r="D249" s="696" t="s">
        <v>4019</v>
      </c>
      <c r="E249" s="696" t="s">
        <v>4020</v>
      </c>
      <c r="F249" s="711">
        <v>1</v>
      </c>
      <c r="G249" s="711">
        <v>9370.7999999999993</v>
      </c>
      <c r="H249" s="711">
        <v>1</v>
      </c>
      <c r="I249" s="711">
        <v>9370.7999999999993</v>
      </c>
      <c r="J249" s="711"/>
      <c r="K249" s="711"/>
      <c r="L249" s="711"/>
      <c r="M249" s="711"/>
      <c r="N249" s="711"/>
      <c r="O249" s="711"/>
      <c r="P249" s="701"/>
      <c r="Q249" s="712"/>
    </row>
    <row r="250" spans="1:17" ht="14.4" customHeight="1" x14ac:dyDescent="0.3">
      <c r="A250" s="695" t="s">
        <v>556</v>
      </c>
      <c r="B250" s="696" t="s">
        <v>3783</v>
      </c>
      <c r="C250" s="696" t="s">
        <v>3620</v>
      </c>
      <c r="D250" s="696" t="s">
        <v>4021</v>
      </c>
      <c r="E250" s="696" t="s">
        <v>4020</v>
      </c>
      <c r="F250" s="711">
        <v>1</v>
      </c>
      <c r="G250" s="711">
        <v>10408.200000000001</v>
      </c>
      <c r="H250" s="711">
        <v>1</v>
      </c>
      <c r="I250" s="711">
        <v>10408.200000000001</v>
      </c>
      <c r="J250" s="711"/>
      <c r="K250" s="711"/>
      <c r="L250" s="711"/>
      <c r="M250" s="711"/>
      <c r="N250" s="711"/>
      <c r="O250" s="711"/>
      <c r="P250" s="701"/>
      <c r="Q250" s="712"/>
    </row>
    <row r="251" spans="1:17" ht="14.4" customHeight="1" x14ac:dyDescent="0.3">
      <c r="A251" s="695" t="s">
        <v>556</v>
      </c>
      <c r="B251" s="696" t="s">
        <v>3783</v>
      </c>
      <c r="C251" s="696" t="s">
        <v>3620</v>
      </c>
      <c r="D251" s="696" t="s">
        <v>4022</v>
      </c>
      <c r="E251" s="696" t="s">
        <v>4023</v>
      </c>
      <c r="F251" s="711">
        <v>18</v>
      </c>
      <c r="G251" s="711">
        <v>25556.760000000002</v>
      </c>
      <c r="H251" s="711">
        <v>1</v>
      </c>
      <c r="I251" s="711">
        <v>1419.8200000000002</v>
      </c>
      <c r="J251" s="711">
        <v>13</v>
      </c>
      <c r="K251" s="711">
        <v>18457.66</v>
      </c>
      <c r="L251" s="711">
        <v>0.72222222222222221</v>
      </c>
      <c r="M251" s="711">
        <v>1419.82</v>
      </c>
      <c r="N251" s="711">
        <v>18</v>
      </c>
      <c r="O251" s="711">
        <v>25556.760000000002</v>
      </c>
      <c r="P251" s="701">
        <v>1</v>
      </c>
      <c r="Q251" s="712">
        <v>1419.8200000000002</v>
      </c>
    </row>
    <row r="252" spans="1:17" ht="14.4" customHeight="1" x14ac:dyDescent="0.3">
      <c r="A252" s="695" t="s">
        <v>556</v>
      </c>
      <c r="B252" s="696" t="s">
        <v>3783</v>
      </c>
      <c r="C252" s="696" t="s">
        <v>3620</v>
      </c>
      <c r="D252" s="696" t="s">
        <v>4024</v>
      </c>
      <c r="E252" s="696" t="s">
        <v>4023</v>
      </c>
      <c r="F252" s="711">
        <v>5</v>
      </c>
      <c r="G252" s="711">
        <v>7736.45</v>
      </c>
      <c r="H252" s="711">
        <v>1</v>
      </c>
      <c r="I252" s="711">
        <v>1547.29</v>
      </c>
      <c r="J252" s="711">
        <v>12</v>
      </c>
      <c r="K252" s="711">
        <v>18567.48</v>
      </c>
      <c r="L252" s="711">
        <v>2.4</v>
      </c>
      <c r="M252" s="711">
        <v>1547.29</v>
      </c>
      <c r="N252" s="711">
        <v>8</v>
      </c>
      <c r="O252" s="711">
        <v>12378.32</v>
      </c>
      <c r="P252" s="701">
        <v>1.6</v>
      </c>
      <c r="Q252" s="712">
        <v>1547.29</v>
      </c>
    </row>
    <row r="253" spans="1:17" ht="14.4" customHeight="1" x14ac:dyDescent="0.3">
      <c r="A253" s="695" t="s">
        <v>556</v>
      </c>
      <c r="B253" s="696" t="s">
        <v>3783</v>
      </c>
      <c r="C253" s="696" t="s">
        <v>3620</v>
      </c>
      <c r="D253" s="696" t="s">
        <v>4025</v>
      </c>
      <c r="E253" s="696" t="s">
        <v>4023</v>
      </c>
      <c r="F253" s="711"/>
      <c r="G253" s="711"/>
      <c r="H253" s="711"/>
      <c r="I253" s="711"/>
      <c r="J253" s="711"/>
      <c r="K253" s="711"/>
      <c r="L253" s="711"/>
      <c r="M253" s="711"/>
      <c r="N253" s="711">
        <v>1</v>
      </c>
      <c r="O253" s="711">
        <v>1644.71</v>
      </c>
      <c r="P253" s="701"/>
      <c r="Q253" s="712">
        <v>1644.71</v>
      </c>
    </row>
    <row r="254" spans="1:17" ht="14.4" customHeight="1" x14ac:dyDescent="0.3">
      <c r="A254" s="695" t="s">
        <v>556</v>
      </c>
      <c r="B254" s="696" t="s">
        <v>3783</v>
      </c>
      <c r="C254" s="696" t="s">
        <v>3620</v>
      </c>
      <c r="D254" s="696" t="s">
        <v>4026</v>
      </c>
      <c r="E254" s="696" t="s">
        <v>4023</v>
      </c>
      <c r="F254" s="711"/>
      <c r="G254" s="711"/>
      <c r="H254" s="711"/>
      <c r="I254" s="711"/>
      <c r="J254" s="711">
        <v>1</v>
      </c>
      <c r="K254" s="711">
        <v>1783.58</v>
      </c>
      <c r="L254" s="711"/>
      <c r="M254" s="711">
        <v>1783.58</v>
      </c>
      <c r="N254" s="711"/>
      <c r="O254" s="711"/>
      <c r="P254" s="701"/>
      <c r="Q254" s="712"/>
    </row>
    <row r="255" spans="1:17" ht="14.4" customHeight="1" x14ac:dyDescent="0.3">
      <c r="A255" s="695" t="s">
        <v>556</v>
      </c>
      <c r="B255" s="696" t="s">
        <v>3783</v>
      </c>
      <c r="C255" s="696" t="s">
        <v>3620</v>
      </c>
      <c r="D255" s="696" t="s">
        <v>4027</v>
      </c>
      <c r="E255" s="696" t="s">
        <v>4028</v>
      </c>
      <c r="F255" s="711">
        <v>2</v>
      </c>
      <c r="G255" s="711">
        <v>3469.74</v>
      </c>
      <c r="H255" s="711">
        <v>1</v>
      </c>
      <c r="I255" s="711">
        <v>1734.87</v>
      </c>
      <c r="J255" s="711"/>
      <c r="K255" s="711"/>
      <c r="L255" s="711"/>
      <c r="M255" s="711"/>
      <c r="N255" s="711"/>
      <c r="O255" s="711"/>
      <c r="P255" s="701"/>
      <c r="Q255" s="712"/>
    </row>
    <row r="256" spans="1:17" ht="14.4" customHeight="1" x14ac:dyDescent="0.3">
      <c r="A256" s="695" t="s">
        <v>556</v>
      </c>
      <c r="B256" s="696" t="s">
        <v>3783</v>
      </c>
      <c r="C256" s="696" t="s">
        <v>3620</v>
      </c>
      <c r="D256" s="696" t="s">
        <v>4029</v>
      </c>
      <c r="E256" s="696" t="s">
        <v>4028</v>
      </c>
      <c r="F256" s="711">
        <v>3</v>
      </c>
      <c r="G256" s="711">
        <v>5658.54</v>
      </c>
      <c r="H256" s="711">
        <v>1</v>
      </c>
      <c r="I256" s="711">
        <v>1886.18</v>
      </c>
      <c r="J256" s="711"/>
      <c r="K256" s="711"/>
      <c r="L256" s="711"/>
      <c r="M256" s="711"/>
      <c r="N256" s="711"/>
      <c r="O256" s="711"/>
      <c r="P256" s="701"/>
      <c r="Q256" s="712"/>
    </row>
    <row r="257" spans="1:17" ht="14.4" customHeight="1" x14ac:dyDescent="0.3">
      <c r="A257" s="695" t="s">
        <v>556</v>
      </c>
      <c r="B257" s="696" t="s">
        <v>3783</v>
      </c>
      <c r="C257" s="696" t="s">
        <v>3620</v>
      </c>
      <c r="D257" s="696" t="s">
        <v>4030</v>
      </c>
      <c r="E257" s="696" t="s">
        <v>4028</v>
      </c>
      <c r="F257" s="711">
        <v>2</v>
      </c>
      <c r="G257" s="711">
        <v>4068.76</v>
      </c>
      <c r="H257" s="711">
        <v>1</v>
      </c>
      <c r="I257" s="711">
        <v>2034.38</v>
      </c>
      <c r="J257" s="711"/>
      <c r="K257" s="711"/>
      <c r="L257" s="711"/>
      <c r="M257" s="711"/>
      <c r="N257" s="711"/>
      <c r="O257" s="711"/>
      <c r="P257" s="701"/>
      <c r="Q257" s="712"/>
    </row>
    <row r="258" spans="1:17" ht="14.4" customHeight="1" x14ac:dyDescent="0.3">
      <c r="A258" s="695" t="s">
        <v>556</v>
      </c>
      <c r="B258" s="696" t="s">
        <v>3783</v>
      </c>
      <c r="C258" s="696" t="s">
        <v>3620</v>
      </c>
      <c r="D258" s="696" t="s">
        <v>4031</v>
      </c>
      <c r="E258" s="696" t="s">
        <v>4028</v>
      </c>
      <c r="F258" s="711">
        <v>1</v>
      </c>
      <c r="G258" s="711">
        <v>2228.1799999999998</v>
      </c>
      <c r="H258" s="711">
        <v>1</v>
      </c>
      <c r="I258" s="711">
        <v>2228.1799999999998</v>
      </c>
      <c r="J258" s="711"/>
      <c r="K258" s="711"/>
      <c r="L258" s="711"/>
      <c r="M258" s="711"/>
      <c r="N258" s="711"/>
      <c r="O258" s="711"/>
      <c r="P258" s="701"/>
      <c r="Q258" s="712"/>
    </row>
    <row r="259" spans="1:17" ht="14.4" customHeight="1" x14ac:dyDescent="0.3">
      <c r="A259" s="695" t="s">
        <v>556</v>
      </c>
      <c r="B259" s="696" t="s">
        <v>3783</v>
      </c>
      <c r="C259" s="696" t="s">
        <v>3620</v>
      </c>
      <c r="D259" s="696" t="s">
        <v>4032</v>
      </c>
      <c r="E259" s="696" t="s">
        <v>4033</v>
      </c>
      <c r="F259" s="711"/>
      <c r="G259" s="711"/>
      <c r="H259" s="711"/>
      <c r="I259" s="711"/>
      <c r="J259" s="711">
        <v>18</v>
      </c>
      <c r="K259" s="711">
        <v>14207.22</v>
      </c>
      <c r="L259" s="711"/>
      <c r="M259" s="711">
        <v>789.29</v>
      </c>
      <c r="N259" s="711">
        <v>23</v>
      </c>
      <c r="O259" s="711">
        <v>18153.669999999998</v>
      </c>
      <c r="P259" s="701"/>
      <c r="Q259" s="712">
        <v>789.29</v>
      </c>
    </row>
    <row r="260" spans="1:17" ht="14.4" customHeight="1" x14ac:dyDescent="0.3">
      <c r="A260" s="695" t="s">
        <v>556</v>
      </c>
      <c r="B260" s="696" t="s">
        <v>3783</v>
      </c>
      <c r="C260" s="696" t="s">
        <v>3620</v>
      </c>
      <c r="D260" s="696" t="s">
        <v>4034</v>
      </c>
      <c r="E260" s="696" t="s">
        <v>4028</v>
      </c>
      <c r="F260" s="711">
        <v>1</v>
      </c>
      <c r="G260" s="711">
        <v>2478.98</v>
      </c>
      <c r="H260" s="711">
        <v>1</v>
      </c>
      <c r="I260" s="711">
        <v>2478.98</v>
      </c>
      <c r="J260" s="711"/>
      <c r="K260" s="711"/>
      <c r="L260" s="711"/>
      <c r="M260" s="711"/>
      <c r="N260" s="711"/>
      <c r="O260" s="711"/>
      <c r="P260" s="701"/>
      <c r="Q260" s="712"/>
    </row>
    <row r="261" spans="1:17" ht="14.4" customHeight="1" x14ac:dyDescent="0.3">
      <c r="A261" s="695" t="s">
        <v>556</v>
      </c>
      <c r="B261" s="696" t="s">
        <v>3783</v>
      </c>
      <c r="C261" s="696" t="s">
        <v>3620</v>
      </c>
      <c r="D261" s="696" t="s">
        <v>4035</v>
      </c>
      <c r="E261" s="696" t="s">
        <v>4036</v>
      </c>
      <c r="F261" s="711">
        <v>4</v>
      </c>
      <c r="G261" s="711">
        <v>32890.04</v>
      </c>
      <c r="H261" s="711">
        <v>1</v>
      </c>
      <c r="I261" s="711">
        <v>8222.51</v>
      </c>
      <c r="J261" s="711">
        <v>1</v>
      </c>
      <c r="K261" s="711">
        <v>8222.51</v>
      </c>
      <c r="L261" s="711">
        <v>0.25</v>
      </c>
      <c r="M261" s="711">
        <v>8222.51</v>
      </c>
      <c r="N261" s="711">
        <v>2</v>
      </c>
      <c r="O261" s="711">
        <v>16445.02</v>
      </c>
      <c r="P261" s="701">
        <v>0.5</v>
      </c>
      <c r="Q261" s="712">
        <v>8222.51</v>
      </c>
    </row>
    <row r="262" spans="1:17" ht="14.4" customHeight="1" x14ac:dyDescent="0.3">
      <c r="A262" s="695" t="s">
        <v>556</v>
      </c>
      <c r="B262" s="696" t="s">
        <v>3783</v>
      </c>
      <c r="C262" s="696" t="s">
        <v>3620</v>
      </c>
      <c r="D262" s="696" t="s">
        <v>4037</v>
      </c>
      <c r="E262" s="696" t="s">
        <v>4038</v>
      </c>
      <c r="F262" s="711">
        <v>2</v>
      </c>
      <c r="G262" s="711">
        <v>8223.6</v>
      </c>
      <c r="H262" s="711">
        <v>1</v>
      </c>
      <c r="I262" s="711">
        <v>4111.8</v>
      </c>
      <c r="J262" s="711">
        <v>4</v>
      </c>
      <c r="K262" s="711">
        <v>17045.28</v>
      </c>
      <c r="L262" s="711">
        <v>2.0727272727272723</v>
      </c>
      <c r="M262" s="711">
        <v>4261.32</v>
      </c>
      <c r="N262" s="711"/>
      <c r="O262" s="711"/>
      <c r="P262" s="701"/>
      <c r="Q262" s="712"/>
    </row>
    <row r="263" spans="1:17" ht="14.4" customHeight="1" x14ac:dyDescent="0.3">
      <c r="A263" s="695" t="s">
        <v>556</v>
      </c>
      <c r="B263" s="696" t="s">
        <v>3783</v>
      </c>
      <c r="C263" s="696" t="s">
        <v>3620</v>
      </c>
      <c r="D263" s="696" t="s">
        <v>4039</v>
      </c>
      <c r="E263" s="696" t="s">
        <v>3785</v>
      </c>
      <c r="F263" s="711">
        <v>10</v>
      </c>
      <c r="G263" s="711">
        <v>3109</v>
      </c>
      <c r="H263" s="711">
        <v>1</v>
      </c>
      <c r="I263" s="711">
        <v>310.89999999999998</v>
      </c>
      <c r="J263" s="711">
        <v>1</v>
      </c>
      <c r="K263" s="711">
        <v>322.20999999999998</v>
      </c>
      <c r="L263" s="711">
        <v>0.10363782566741717</v>
      </c>
      <c r="M263" s="711">
        <v>322.20999999999998</v>
      </c>
      <c r="N263" s="711"/>
      <c r="O263" s="711"/>
      <c r="P263" s="701"/>
      <c r="Q263" s="712"/>
    </row>
    <row r="264" spans="1:17" ht="14.4" customHeight="1" x14ac:dyDescent="0.3">
      <c r="A264" s="695" t="s">
        <v>556</v>
      </c>
      <c r="B264" s="696" t="s">
        <v>3783</v>
      </c>
      <c r="C264" s="696" t="s">
        <v>3620</v>
      </c>
      <c r="D264" s="696" t="s">
        <v>4040</v>
      </c>
      <c r="E264" s="696" t="s">
        <v>4041</v>
      </c>
      <c r="F264" s="711">
        <v>2</v>
      </c>
      <c r="G264" s="711">
        <v>10412.76</v>
      </c>
      <c r="H264" s="711">
        <v>1</v>
      </c>
      <c r="I264" s="711">
        <v>5206.38</v>
      </c>
      <c r="J264" s="711"/>
      <c r="K264" s="711"/>
      <c r="L264" s="711"/>
      <c r="M264" s="711"/>
      <c r="N264" s="711"/>
      <c r="O264" s="711"/>
      <c r="P264" s="701"/>
      <c r="Q264" s="712"/>
    </row>
    <row r="265" spans="1:17" ht="14.4" customHeight="1" x14ac:dyDescent="0.3">
      <c r="A265" s="695" t="s">
        <v>556</v>
      </c>
      <c r="B265" s="696" t="s">
        <v>3783</v>
      </c>
      <c r="C265" s="696" t="s">
        <v>3620</v>
      </c>
      <c r="D265" s="696" t="s">
        <v>4042</v>
      </c>
      <c r="E265" s="696" t="s">
        <v>4023</v>
      </c>
      <c r="F265" s="711">
        <v>23</v>
      </c>
      <c r="G265" s="711">
        <v>29318.79</v>
      </c>
      <c r="H265" s="711">
        <v>1</v>
      </c>
      <c r="I265" s="711">
        <v>1274.73</v>
      </c>
      <c r="J265" s="711">
        <v>6</v>
      </c>
      <c r="K265" s="711">
        <v>7648.38</v>
      </c>
      <c r="L265" s="711">
        <v>0.2608695652173913</v>
      </c>
      <c r="M265" s="711">
        <v>1274.73</v>
      </c>
      <c r="N265" s="711">
        <v>14</v>
      </c>
      <c r="O265" s="711">
        <v>17846.22</v>
      </c>
      <c r="P265" s="701">
        <v>0.60869565217391308</v>
      </c>
      <c r="Q265" s="712">
        <v>1274.73</v>
      </c>
    </row>
    <row r="266" spans="1:17" ht="14.4" customHeight="1" x14ac:dyDescent="0.3">
      <c r="A266" s="695" t="s">
        <v>556</v>
      </c>
      <c r="B266" s="696" t="s">
        <v>3783</v>
      </c>
      <c r="C266" s="696" t="s">
        <v>3620</v>
      </c>
      <c r="D266" s="696" t="s">
        <v>4043</v>
      </c>
      <c r="E266" s="696" t="s">
        <v>4044</v>
      </c>
      <c r="F266" s="711">
        <v>1</v>
      </c>
      <c r="G266" s="711">
        <v>12640.53</v>
      </c>
      <c r="H266" s="711">
        <v>1</v>
      </c>
      <c r="I266" s="711">
        <v>12640.53</v>
      </c>
      <c r="J266" s="711">
        <v>2</v>
      </c>
      <c r="K266" s="711">
        <v>25281.06</v>
      </c>
      <c r="L266" s="711">
        <v>2</v>
      </c>
      <c r="M266" s="711">
        <v>12640.53</v>
      </c>
      <c r="N266" s="711"/>
      <c r="O266" s="711"/>
      <c r="P266" s="701"/>
      <c r="Q266" s="712"/>
    </row>
    <row r="267" spans="1:17" ht="14.4" customHeight="1" x14ac:dyDescent="0.3">
      <c r="A267" s="695" t="s">
        <v>556</v>
      </c>
      <c r="B267" s="696" t="s">
        <v>3783</v>
      </c>
      <c r="C267" s="696" t="s">
        <v>3620</v>
      </c>
      <c r="D267" s="696" t="s">
        <v>4045</v>
      </c>
      <c r="E267" s="696" t="s">
        <v>4046</v>
      </c>
      <c r="F267" s="711">
        <v>1</v>
      </c>
      <c r="G267" s="711">
        <v>1048.8</v>
      </c>
      <c r="H267" s="711">
        <v>1</v>
      </c>
      <c r="I267" s="711">
        <v>1048.8</v>
      </c>
      <c r="J267" s="711"/>
      <c r="K267" s="711"/>
      <c r="L267" s="711"/>
      <c r="M267" s="711"/>
      <c r="N267" s="711"/>
      <c r="O267" s="711"/>
      <c r="P267" s="701"/>
      <c r="Q267" s="712"/>
    </row>
    <row r="268" spans="1:17" ht="14.4" customHeight="1" x14ac:dyDescent="0.3">
      <c r="A268" s="695" t="s">
        <v>556</v>
      </c>
      <c r="B268" s="696" t="s">
        <v>3783</v>
      </c>
      <c r="C268" s="696" t="s">
        <v>3620</v>
      </c>
      <c r="D268" s="696" t="s">
        <v>4047</v>
      </c>
      <c r="E268" s="696" t="s">
        <v>4048</v>
      </c>
      <c r="F268" s="711">
        <v>4</v>
      </c>
      <c r="G268" s="711">
        <v>49807.64</v>
      </c>
      <c r="H268" s="711">
        <v>1</v>
      </c>
      <c r="I268" s="711">
        <v>12451.91</v>
      </c>
      <c r="J268" s="711">
        <v>2</v>
      </c>
      <c r="K268" s="711">
        <v>24903.82</v>
      </c>
      <c r="L268" s="711">
        <v>0.5</v>
      </c>
      <c r="M268" s="711">
        <v>12451.91</v>
      </c>
      <c r="N268" s="711">
        <v>2</v>
      </c>
      <c r="O268" s="711">
        <v>24903.82</v>
      </c>
      <c r="P268" s="701">
        <v>0.5</v>
      </c>
      <c r="Q268" s="712">
        <v>12451.91</v>
      </c>
    </row>
    <row r="269" spans="1:17" ht="14.4" customHeight="1" x14ac:dyDescent="0.3">
      <c r="A269" s="695" t="s">
        <v>556</v>
      </c>
      <c r="B269" s="696" t="s">
        <v>3783</v>
      </c>
      <c r="C269" s="696" t="s">
        <v>3620</v>
      </c>
      <c r="D269" s="696" t="s">
        <v>4049</v>
      </c>
      <c r="E269" s="696" t="s">
        <v>4046</v>
      </c>
      <c r="F269" s="711">
        <v>1</v>
      </c>
      <c r="G269" s="711">
        <v>1206</v>
      </c>
      <c r="H269" s="711">
        <v>1</v>
      </c>
      <c r="I269" s="711">
        <v>1206</v>
      </c>
      <c r="J269" s="711">
        <v>4</v>
      </c>
      <c r="K269" s="711">
        <v>4824</v>
      </c>
      <c r="L269" s="711">
        <v>4</v>
      </c>
      <c r="M269" s="711">
        <v>1206</v>
      </c>
      <c r="N269" s="711"/>
      <c r="O269" s="711"/>
      <c r="P269" s="701"/>
      <c r="Q269" s="712"/>
    </row>
    <row r="270" spans="1:17" ht="14.4" customHeight="1" x14ac:dyDescent="0.3">
      <c r="A270" s="695" t="s">
        <v>556</v>
      </c>
      <c r="B270" s="696" t="s">
        <v>3783</v>
      </c>
      <c r="C270" s="696" t="s">
        <v>3620</v>
      </c>
      <c r="D270" s="696" t="s">
        <v>4050</v>
      </c>
      <c r="E270" s="696" t="s">
        <v>4046</v>
      </c>
      <c r="F270" s="711">
        <v>17</v>
      </c>
      <c r="G270" s="711">
        <v>21624</v>
      </c>
      <c r="H270" s="711">
        <v>1</v>
      </c>
      <c r="I270" s="711">
        <v>1272</v>
      </c>
      <c r="J270" s="711">
        <v>2</v>
      </c>
      <c r="K270" s="711">
        <v>2544</v>
      </c>
      <c r="L270" s="711">
        <v>0.11764705882352941</v>
      </c>
      <c r="M270" s="711">
        <v>1272</v>
      </c>
      <c r="N270" s="711"/>
      <c r="O270" s="711"/>
      <c r="P270" s="701"/>
      <c r="Q270" s="712"/>
    </row>
    <row r="271" spans="1:17" ht="14.4" customHeight="1" x14ac:dyDescent="0.3">
      <c r="A271" s="695" t="s">
        <v>556</v>
      </c>
      <c r="B271" s="696" t="s">
        <v>3783</v>
      </c>
      <c r="C271" s="696" t="s">
        <v>3620</v>
      </c>
      <c r="D271" s="696" t="s">
        <v>4051</v>
      </c>
      <c r="E271" s="696" t="s">
        <v>4052</v>
      </c>
      <c r="F271" s="711">
        <v>1</v>
      </c>
      <c r="G271" s="711">
        <v>11545.09</v>
      </c>
      <c r="H271" s="711">
        <v>1</v>
      </c>
      <c r="I271" s="711">
        <v>11545.09</v>
      </c>
      <c r="J271" s="711"/>
      <c r="K271" s="711"/>
      <c r="L271" s="711"/>
      <c r="M271" s="711"/>
      <c r="N271" s="711"/>
      <c r="O271" s="711"/>
      <c r="P271" s="701"/>
      <c r="Q271" s="712"/>
    </row>
    <row r="272" spans="1:17" ht="14.4" customHeight="1" x14ac:dyDescent="0.3">
      <c r="A272" s="695" t="s">
        <v>556</v>
      </c>
      <c r="B272" s="696" t="s">
        <v>3783</v>
      </c>
      <c r="C272" s="696" t="s">
        <v>3620</v>
      </c>
      <c r="D272" s="696" t="s">
        <v>4053</v>
      </c>
      <c r="E272" s="696" t="s">
        <v>4054</v>
      </c>
      <c r="F272" s="711">
        <v>1</v>
      </c>
      <c r="G272" s="711">
        <v>10628.95</v>
      </c>
      <c r="H272" s="711">
        <v>1</v>
      </c>
      <c r="I272" s="711">
        <v>10628.95</v>
      </c>
      <c r="J272" s="711"/>
      <c r="K272" s="711"/>
      <c r="L272" s="711"/>
      <c r="M272" s="711"/>
      <c r="N272" s="711"/>
      <c r="O272" s="711"/>
      <c r="P272" s="701"/>
      <c r="Q272" s="712"/>
    </row>
    <row r="273" spans="1:17" ht="14.4" customHeight="1" x14ac:dyDescent="0.3">
      <c r="A273" s="695" t="s">
        <v>556</v>
      </c>
      <c r="B273" s="696" t="s">
        <v>3783</v>
      </c>
      <c r="C273" s="696" t="s">
        <v>3620</v>
      </c>
      <c r="D273" s="696" t="s">
        <v>4055</v>
      </c>
      <c r="E273" s="696" t="s">
        <v>4056</v>
      </c>
      <c r="F273" s="711">
        <v>2</v>
      </c>
      <c r="G273" s="711">
        <v>74318</v>
      </c>
      <c r="H273" s="711">
        <v>1</v>
      </c>
      <c r="I273" s="711">
        <v>37159</v>
      </c>
      <c r="J273" s="711">
        <v>1</v>
      </c>
      <c r="K273" s="711">
        <v>37159</v>
      </c>
      <c r="L273" s="711">
        <v>0.5</v>
      </c>
      <c r="M273" s="711">
        <v>37159</v>
      </c>
      <c r="N273" s="711">
        <v>3</v>
      </c>
      <c r="O273" s="711">
        <v>111477</v>
      </c>
      <c r="P273" s="701">
        <v>1.5</v>
      </c>
      <c r="Q273" s="712">
        <v>37159</v>
      </c>
    </row>
    <row r="274" spans="1:17" ht="14.4" customHeight="1" x14ac:dyDescent="0.3">
      <c r="A274" s="695" t="s">
        <v>556</v>
      </c>
      <c r="B274" s="696" t="s">
        <v>3783</v>
      </c>
      <c r="C274" s="696" t="s">
        <v>3620</v>
      </c>
      <c r="D274" s="696" t="s">
        <v>4057</v>
      </c>
      <c r="E274" s="696" t="s">
        <v>4058</v>
      </c>
      <c r="F274" s="711">
        <v>1</v>
      </c>
      <c r="G274" s="711">
        <v>9636</v>
      </c>
      <c r="H274" s="711">
        <v>1</v>
      </c>
      <c r="I274" s="711">
        <v>9636</v>
      </c>
      <c r="J274" s="711">
        <v>1</v>
      </c>
      <c r="K274" s="711">
        <v>9986.4</v>
      </c>
      <c r="L274" s="711">
        <v>1.0363636363636364</v>
      </c>
      <c r="M274" s="711">
        <v>9986.4</v>
      </c>
      <c r="N274" s="711">
        <v>3</v>
      </c>
      <c r="O274" s="711">
        <v>29958</v>
      </c>
      <c r="P274" s="701">
        <v>3.108966376089664</v>
      </c>
      <c r="Q274" s="712">
        <v>9986</v>
      </c>
    </row>
    <row r="275" spans="1:17" ht="14.4" customHeight="1" x14ac:dyDescent="0.3">
      <c r="A275" s="695" t="s">
        <v>556</v>
      </c>
      <c r="B275" s="696" t="s">
        <v>3783</v>
      </c>
      <c r="C275" s="696" t="s">
        <v>3620</v>
      </c>
      <c r="D275" s="696" t="s">
        <v>4059</v>
      </c>
      <c r="E275" s="696" t="s">
        <v>4060</v>
      </c>
      <c r="F275" s="711">
        <v>1</v>
      </c>
      <c r="G275" s="711">
        <v>20761</v>
      </c>
      <c r="H275" s="711">
        <v>1</v>
      </c>
      <c r="I275" s="711">
        <v>20761</v>
      </c>
      <c r="J275" s="711"/>
      <c r="K275" s="711"/>
      <c r="L275" s="711"/>
      <c r="M275" s="711"/>
      <c r="N275" s="711"/>
      <c r="O275" s="711"/>
      <c r="P275" s="701"/>
      <c r="Q275" s="712"/>
    </row>
    <row r="276" spans="1:17" ht="14.4" customHeight="1" x14ac:dyDescent="0.3">
      <c r="A276" s="695" t="s">
        <v>556</v>
      </c>
      <c r="B276" s="696" t="s">
        <v>3783</v>
      </c>
      <c r="C276" s="696" t="s">
        <v>3620</v>
      </c>
      <c r="D276" s="696" t="s">
        <v>4061</v>
      </c>
      <c r="E276" s="696" t="s">
        <v>4062</v>
      </c>
      <c r="F276" s="711">
        <v>2</v>
      </c>
      <c r="G276" s="711">
        <v>4530</v>
      </c>
      <c r="H276" s="711">
        <v>1</v>
      </c>
      <c r="I276" s="711">
        <v>2265</v>
      </c>
      <c r="J276" s="711">
        <v>1</v>
      </c>
      <c r="K276" s="711">
        <v>2347.36</v>
      </c>
      <c r="L276" s="711">
        <v>0.5181810154525387</v>
      </c>
      <c r="M276" s="711">
        <v>2347.36</v>
      </c>
      <c r="N276" s="711">
        <v>2</v>
      </c>
      <c r="O276" s="711">
        <v>4694</v>
      </c>
      <c r="P276" s="701">
        <v>1.0362030905077262</v>
      </c>
      <c r="Q276" s="712">
        <v>2347</v>
      </c>
    </row>
    <row r="277" spans="1:17" ht="14.4" customHeight="1" x14ac:dyDescent="0.3">
      <c r="A277" s="695" t="s">
        <v>556</v>
      </c>
      <c r="B277" s="696" t="s">
        <v>3783</v>
      </c>
      <c r="C277" s="696" t="s">
        <v>3620</v>
      </c>
      <c r="D277" s="696" t="s">
        <v>4063</v>
      </c>
      <c r="E277" s="696" t="s">
        <v>4064</v>
      </c>
      <c r="F277" s="711"/>
      <c r="G277" s="711"/>
      <c r="H277" s="711"/>
      <c r="I277" s="711"/>
      <c r="J277" s="711"/>
      <c r="K277" s="711"/>
      <c r="L277" s="711"/>
      <c r="M277" s="711"/>
      <c r="N277" s="711">
        <v>1</v>
      </c>
      <c r="O277" s="711">
        <v>6086</v>
      </c>
      <c r="P277" s="701"/>
      <c r="Q277" s="712">
        <v>6086</v>
      </c>
    </row>
    <row r="278" spans="1:17" ht="14.4" customHeight="1" x14ac:dyDescent="0.3">
      <c r="A278" s="695" t="s">
        <v>556</v>
      </c>
      <c r="B278" s="696" t="s">
        <v>3783</v>
      </c>
      <c r="C278" s="696" t="s">
        <v>3620</v>
      </c>
      <c r="D278" s="696" t="s">
        <v>4065</v>
      </c>
      <c r="E278" s="696" t="s">
        <v>4066</v>
      </c>
      <c r="F278" s="711">
        <v>3</v>
      </c>
      <c r="G278" s="711">
        <v>3285.69</v>
      </c>
      <c r="H278" s="711">
        <v>1</v>
      </c>
      <c r="I278" s="711">
        <v>1095.23</v>
      </c>
      <c r="J278" s="711">
        <v>2</v>
      </c>
      <c r="K278" s="711">
        <v>2190.46</v>
      </c>
      <c r="L278" s="711">
        <v>0.66666666666666663</v>
      </c>
      <c r="M278" s="711">
        <v>1095.23</v>
      </c>
      <c r="N278" s="711">
        <v>1</v>
      </c>
      <c r="O278" s="711">
        <v>1095.23</v>
      </c>
      <c r="P278" s="701">
        <v>0.33333333333333331</v>
      </c>
      <c r="Q278" s="712">
        <v>1095.23</v>
      </c>
    </row>
    <row r="279" spans="1:17" ht="14.4" customHeight="1" x14ac:dyDescent="0.3">
      <c r="A279" s="695" t="s">
        <v>556</v>
      </c>
      <c r="B279" s="696" t="s">
        <v>3783</v>
      </c>
      <c r="C279" s="696" t="s">
        <v>3620</v>
      </c>
      <c r="D279" s="696" t="s">
        <v>4067</v>
      </c>
      <c r="E279" s="696" t="s">
        <v>4068</v>
      </c>
      <c r="F279" s="711">
        <v>1</v>
      </c>
      <c r="G279" s="711">
        <v>11674</v>
      </c>
      <c r="H279" s="711">
        <v>1</v>
      </c>
      <c r="I279" s="711">
        <v>11674</v>
      </c>
      <c r="J279" s="711">
        <v>1</v>
      </c>
      <c r="K279" s="711">
        <v>11674</v>
      </c>
      <c r="L279" s="711">
        <v>1</v>
      </c>
      <c r="M279" s="711">
        <v>11674</v>
      </c>
      <c r="N279" s="711"/>
      <c r="O279" s="711"/>
      <c r="P279" s="701"/>
      <c r="Q279" s="712"/>
    </row>
    <row r="280" spans="1:17" ht="14.4" customHeight="1" x14ac:dyDescent="0.3">
      <c r="A280" s="695" t="s">
        <v>556</v>
      </c>
      <c r="B280" s="696" t="s">
        <v>3783</v>
      </c>
      <c r="C280" s="696" t="s">
        <v>3620</v>
      </c>
      <c r="D280" s="696" t="s">
        <v>4069</v>
      </c>
      <c r="E280" s="696" t="s">
        <v>4070</v>
      </c>
      <c r="F280" s="711">
        <v>10</v>
      </c>
      <c r="G280" s="711">
        <v>9026.7000000000007</v>
      </c>
      <c r="H280" s="711">
        <v>1</v>
      </c>
      <c r="I280" s="711">
        <v>902.67000000000007</v>
      </c>
      <c r="J280" s="711"/>
      <c r="K280" s="711"/>
      <c r="L280" s="711"/>
      <c r="M280" s="711"/>
      <c r="N280" s="711">
        <v>3</v>
      </c>
      <c r="O280" s="711">
        <v>2708.01</v>
      </c>
      <c r="P280" s="701">
        <v>0.3</v>
      </c>
      <c r="Q280" s="712">
        <v>902.67000000000007</v>
      </c>
    </row>
    <row r="281" spans="1:17" ht="14.4" customHeight="1" x14ac:dyDescent="0.3">
      <c r="A281" s="695" t="s">
        <v>556</v>
      </c>
      <c r="B281" s="696" t="s">
        <v>3783</v>
      </c>
      <c r="C281" s="696" t="s">
        <v>3620</v>
      </c>
      <c r="D281" s="696" t="s">
        <v>4071</v>
      </c>
      <c r="E281" s="696" t="s">
        <v>4070</v>
      </c>
      <c r="F281" s="711">
        <v>3</v>
      </c>
      <c r="G281" s="711">
        <v>3088.26</v>
      </c>
      <c r="H281" s="711">
        <v>1</v>
      </c>
      <c r="I281" s="711">
        <v>1029.42</v>
      </c>
      <c r="J281" s="711">
        <v>11</v>
      </c>
      <c r="K281" s="711">
        <v>11323.62</v>
      </c>
      <c r="L281" s="711">
        <v>3.6666666666666665</v>
      </c>
      <c r="M281" s="711">
        <v>1029.42</v>
      </c>
      <c r="N281" s="711">
        <v>5</v>
      </c>
      <c r="O281" s="711">
        <v>5147.1000000000004</v>
      </c>
      <c r="P281" s="701">
        <v>1.6666666666666667</v>
      </c>
      <c r="Q281" s="712">
        <v>1029.42</v>
      </c>
    </row>
    <row r="282" spans="1:17" ht="14.4" customHeight="1" x14ac:dyDescent="0.3">
      <c r="A282" s="695" t="s">
        <v>556</v>
      </c>
      <c r="B282" s="696" t="s">
        <v>3783</v>
      </c>
      <c r="C282" s="696" t="s">
        <v>3620</v>
      </c>
      <c r="D282" s="696" t="s">
        <v>4072</v>
      </c>
      <c r="E282" s="696" t="s">
        <v>4073</v>
      </c>
      <c r="F282" s="711">
        <v>2</v>
      </c>
      <c r="G282" s="711">
        <v>19008.98</v>
      </c>
      <c r="H282" s="711">
        <v>1</v>
      </c>
      <c r="I282" s="711">
        <v>9504.49</v>
      </c>
      <c r="J282" s="711"/>
      <c r="K282" s="711"/>
      <c r="L282" s="711"/>
      <c r="M282" s="711"/>
      <c r="N282" s="711">
        <v>1</v>
      </c>
      <c r="O282" s="711">
        <v>9504.49</v>
      </c>
      <c r="P282" s="701">
        <v>0.5</v>
      </c>
      <c r="Q282" s="712">
        <v>9504.49</v>
      </c>
    </row>
    <row r="283" spans="1:17" ht="14.4" customHeight="1" x14ac:dyDescent="0.3">
      <c r="A283" s="695" t="s">
        <v>556</v>
      </c>
      <c r="B283" s="696" t="s">
        <v>3783</v>
      </c>
      <c r="C283" s="696" t="s">
        <v>3620</v>
      </c>
      <c r="D283" s="696" t="s">
        <v>4074</v>
      </c>
      <c r="E283" s="696" t="s">
        <v>4075</v>
      </c>
      <c r="F283" s="711"/>
      <c r="G283" s="711"/>
      <c r="H283" s="711"/>
      <c r="I283" s="711"/>
      <c r="J283" s="711"/>
      <c r="K283" s="711"/>
      <c r="L283" s="711"/>
      <c r="M283" s="711"/>
      <c r="N283" s="711">
        <v>4</v>
      </c>
      <c r="O283" s="711">
        <v>13696.8</v>
      </c>
      <c r="P283" s="701"/>
      <c r="Q283" s="712">
        <v>3424.2</v>
      </c>
    </row>
    <row r="284" spans="1:17" ht="14.4" customHeight="1" x14ac:dyDescent="0.3">
      <c r="A284" s="695" t="s">
        <v>556</v>
      </c>
      <c r="B284" s="696" t="s">
        <v>3783</v>
      </c>
      <c r="C284" s="696" t="s">
        <v>3620</v>
      </c>
      <c r="D284" s="696" t="s">
        <v>4076</v>
      </c>
      <c r="E284" s="696" t="s">
        <v>4077</v>
      </c>
      <c r="F284" s="711">
        <v>1</v>
      </c>
      <c r="G284" s="711">
        <v>12855.2</v>
      </c>
      <c r="H284" s="711">
        <v>1</v>
      </c>
      <c r="I284" s="711">
        <v>12855.2</v>
      </c>
      <c r="J284" s="711"/>
      <c r="K284" s="711"/>
      <c r="L284" s="711"/>
      <c r="M284" s="711"/>
      <c r="N284" s="711"/>
      <c r="O284" s="711"/>
      <c r="P284" s="701"/>
      <c r="Q284" s="712"/>
    </row>
    <row r="285" spans="1:17" ht="14.4" customHeight="1" x14ac:dyDescent="0.3">
      <c r="A285" s="695" t="s">
        <v>556</v>
      </c>
      <c r="B285" s="696" t="s">
        <v>3783</v>
      </c>
      <c r="C285" s="696" t="s">
        <v>3620</v>
      </c>
      <c r="D285" s="696" t="s">
        <v>4078</v>
      </c>
      <c r="E285" s="696" t="s">
        <v>4079</v>
      </c>
      <c r="F285" s="711"/>
      <c r="G285" s="711"/>
      <c r="H285" s="711"/>
      <c r="I285" s="711"/>
      <c r="J285" s="711">
        <v>1</v>
      </c>
      <c r="K285" s="711">
        <v>9469.25</v>
      </c>
      <c r="L285" s="711"/>
      <c r="M285" s="711">
        <v>9469.25</v>
      </c>
      <c r="N285" s="711">
        <v>1</v>
      </c>
      <c r="O285" s="711">
        <v>9469.25</v>
      </c>
      <c r="P285" s="701"/>
      <c r="Q285" s="712">
        <v>9469.25</v>
      </c>
    </row>
    <row r="286" spans="1:17" ht="14.4" customHeight="1" x14ac:dyDescent="0.3">
      <c r="A286" s="695" t="s">
        <v>556</v>
      </c>
      <c r="B286" s="696" t="s">
        <v>3783</v>
      </c>
      <c r="C286" s="696" t="s">
        <v>3620</v>
      </c>
      <c r="D286" s="696" t="s">
        <v>4080</v>
      </c>
      <c r="E286" s="696" t="s">
        <v>4081</v>
      </c>
      <c r="F286" s="711">
        <v>2</v>
      </c>
      <c r="G286" s="711">
        <v>18370.580000000002</v>
      </c>
      <c r="H286" s="711">
        <v>1</v>
      </c>
      <c r="I286" s="711">
        <v>9185.2900000000009</v>
      </c>
      <c r="J286" s="711">
        <v>1</v>
      </c>
      <c r="K286" s="711">
        <v>9185.2900000000009</v>
      </c>
      <c r="L286" s="711">
        <v>0.5</v>
      </c>
      <c r="M286" s="711">
        <v>9185.2900000000009</v>
      </c>
      <c r="N286" s="711"/>
      <c r="O286" s="711"/>
      <c r="P286" s="701"/>
      <c r="Q286" s="712"/>
    </row>
    <row r="287" spans="1:17" ht="14.4" customHeight="1" x14ac:dyDescent="0.3">
      <c r="A287" s="695" t="s">
        <v>556</v>
      </c>
      <c r="B287" s="696" t="s">
        <v>3783</v>
      </c>
      <c r="C287" s="696" t="s">
        <v>3620</v>
      </c>
      <c r="D287" s="696" t="s">
        <v>4082</v>
      </c>
      <c r="E287" s="696" t="s">
        <v>4083</v>
      </c>
      <c r="F287" s="711">
        <v>3</v>
      </c>
      <c r="G287" s="711">
        <v>1837.47</v>
      </c>
      <c r="H287" s="711">
        <v>1</v>
      </c>
      <c r="I287" s="711">
        <v>612.49</v>
      </c>
      <c r="J287" s="711"/>
      <c r="K287" s="711"/>
      <c r="L287" s="711"/>
      <c r="M287" s="711"/>
      <c r="N287" s="711"/>
      <c r="O287" s="711"/>
      <c r="P287" s="701"/>
      <c r="Q287" s="712"/>
    </row>
    <row r="288" spans="1:17" ht="14.4" customHeight="1" x14ac:dyDescent="0.3">
      <c r="A288" s="695" t="s">
        <v>556</v>
      </c>
      <c r="B288" s="696" t="s">
        <v>3783</v>
      </c>
      <c r="C288" s="696" t="s">
        <v>3620</v>
      </c>
      <c r="D288" s="696" t="s">
        <v>4084</v>
      </c>
      <c r="E288" s="696" t="s">
        <v>4083</v>
      </c>
      <c r="F288" s="711">
        <v>1</v>
      </c>
      <c r="G288" s="711">
        <v>633.22</v>
      </c>
      <c r="H288" s="711">
        <v>1</v>
      </c>
      <c r="I288" s="711">
        <v>633.22</v>
      </c>
      <c r="J288" s="711"/>
      <c r="K288" s="711"/>
      <c r="L288" s="711"/>
      <c r="M288" s="711"/>
      <c r="N288" s="711"/>
      <c r="O288" s="711"/>
      <c r="P288" s="701"/>
      <c r="Q288" s="712"/>
    </row>
    <row r="289" spans="1:17" ht="14.4" customHeight="1" x14ac:dyDescent="0.3">
      <c r="A289" s="695" t="s">
        <v>556</v>
      </c>
      <c r="B289" s="696" t="s">
        <v>3783</v>
      </c>
      <c r="C289" s="696" t="s">
        <v>3620</v>
      </c>
      <c r="D289" s="696" t="s">
        <v>4085</v>
      </c>
      <c r="E289" s="696" t="s">
        <v>4086</v>
      </c>
      <c r="F289" s="711">
        <v>1</v>
      </c>
      <c r="G289" s="711">
        <v>893.35</v>
      </c>
      <c r="H289" s="711">
        <v>1</v>
      </c>
      <c r="I289" s="711">
        <v>893.35</v>
      </c>
      <c r="J289" s="711"/>
      <c r="K289" s="711"/>
      <c r="L289" s="711"/>
      <c r="M289" s="711"/>
      <c r="N289" s="711"/>
      <c r="O289" s="711"/>
      <c r="P289" s="701"/>
      <c r="Q289" s="712"/>
    </row>
    <row r="290" spans="1:17" ht="14.4" customHeight="1" x14ac:dyDescent="0.3">
      <c r="A290" s="695" t="s">
        <v>556</v>
      </c>
      <c r="B290" s="696" t="s">
        <v>3783</v>
      </c>
      <c r="C290" s="696" t="s">
        <v>3620</v>
      </c>
      <c r="D290" s="696" t="s">
        <v>4087</v>
      </c>
      <c r="E290" s="696" t="s">
        <v>4086</v>
      </c>
      <c r="F290" s="711">
        <v>1</v>
      </c>
      <c r="G290" s="711">
        <v>998.02</v>
      </c>
      <c r="H290" s="711">
        <v>1</v>
      </c>
      <c r="I290" s="711">
        <v>998.02</v>
      </c>
      <c r="J290" s="711"/>
      <c r="K290" s="711"/>
      <c r="L290" s="711"/>
      <c r="M290" s="711"/>
      <c r="N290" s="711"/>
      <c r="O290" s="711"/>
      <c r="P290" s="701"/>
      <c r="Q290" s="712"/>
    </row>
    <row r="291" spans="1:17" ht="14.4" customHeight="1" x14ac:dyDescent="0.3">
      <c r="A291" s="695" t="s">
        <v>556</v>
      </c>
      <c r="B291" s="696" t="s">
        <v>3783</v>
      </c>
      <c r="C291" s="696" t="s">
        <v>3620</v>
      </c>
      <c r="D291" s="696" t="s">
        <v>4088</v>
      </c>
      <c r="E291" s="696" t="s">
        <v>4089</v>
      </c>
      <c r="F291" s="711"/>
      <c r="G291" s="711"/>
      <c r="H291" s="711"/>
      <c r="I291" s="711"/>
      <c r="J291" s="711"/>
      <c r="K291" s="711"/>
      <c r="L291" s="711"/>
      <c r="M291" s="711"/>
      <c r="N291" s="711">
        <v>3</v>
      </c>
      <c r="O291" s="711">
        <v>1862.34</v>
      </c>
      <c r="P291" s="701"/>
      <c r="Q291" s="712">
        <v>620.78</v>
      </c>
    </row>
    <row r="292" spans="1:17" ht="14.4" customHeight="1" x14ac:dyDescent="0.3">
      <c r="A292" s="695" t="s">
        <v>556</v>
      </c>
      <c r="B292" s="696" t="s">
        <v>3783</v>
      </c>
      <c r="C292" s="696" t="s">
        <v>3620</v>
      </c>
      <c r="D292" s="696" t="s">
        <v>4090</v>
      </c>
      <c r="E292" s="696" t="s">
        <v>4089</v>
      </c>
      <c r="F292" s="711"/>
      <c r="G292" s="711"/>
      <c r="H292" s="711"/>
      <c r="I292" s="711"/>
      <c r="J292" s="711"/>
      <c r="K292" s="711"/>
      <c r="L292" s="711"/>
      <c r="M292" s="711"/>
      <c r="N292" s="711">
        <v>8</v>
      </c>
      <c r="O292" s="711">
        <v>5098.88</v>
      </c>
      <c r="P292" s="701"/>
      <c r="Q292" s="712">
        <v>637.36</v>
      </c>
    </row>
    <row r="293" spans="1:17" ht="14.4" customHeight="1" x14ac:dyDescent="0.3">
      <c r="A293" s="695" t="s">
        <v>556</v>
      </c>
      <c r="B293" s="696" t="s">
        <v>3783</v>
      </c>
      <c r="C293" s="696" t="s">
        <v>3620</v>
      </c>
      <c r="D293" s="696" t="s">
        <v>4091</v>
      </c>
      <c r="E293" s="696" t="s">
        <v>4092</v>
      </c>
      <c r="F293" s="711">
        <v>3</v>
      </c>
      <c r="G293" s="711">
        <v>696</v>
      </c>
      <c r="H293" s="711">
        <v>1</v>
      </c>
      <c r="I293" s="711">
        <v>232</v>
      </c>
      <c r="J293" s="711">
        <v>11</v>
      </c>
      <c r="K293" s="711">
        <v>2644.84</v>
      </c>
      <c r="L293" s="711">
        <v>3.8000574712643682</v>
      </c>
      <c r="M293" s="711">
        <v>240.44000000000003</v>
      </c>
      <c r="N293" s="711"/>
      <c r="O293" s="711"/>
      <c r="P293" s="701"/>
      <c r="Q293" s="712"/>
    </row>
    <row r="294" spans="1:17" ht="14.4" customHeight="1" x14ac:dyDescent="0.3">
      <c r="A294" s="695" t="s">
        <v>556</v>
      </c>
      <c r="B294" s="696" t="s">
        <v>3783</v>
      </c>
      <c r="C294" s="696" t="s">
        <v>3620</v>
      </c>
      <c r="D294" s="696" t="s">
        <v>4093</v>
      </c>
      <c r="E294" s="696" t="s">
        <v>4094</v>
      </c>
      <c r="F294" s="711">
        <v>4</v>
      </c>
      <c r="G294" s="711">
        <v>2584</v>
      </c>
      <c r="H294" s="711">
        <v>1</v>
      </c>
      <c r="I294" s="711">
        <v>646</v>
      </c>
      <c r="J294" s="711"/>
      <c r="K294" s="711"/>
      <c r="L294" s="711"/>
      <c r="M294" s="711"/>
      <c r="N294" s="711">
        <v>1</v>
      </c>
      <c r="O294" s="711">
        <v>669.49</v>
      </c>
      <c r="P294" s="701">
        <v>0.25909055727554181</v>
      </c>
      <c r="Q294" s="712">
        <v>669.49</v>
      </c>
    </row>
    <row r="295" spans="1:17" ht="14.4" customHeight="1" x14ac:dyDescent="0.3">
      <c r="A295" s="695" t="s">
        <v>556</v>
      </c>
      <c r="B295" s="696" t="s">
        <v>3783</v>
      </c>
      <c r="C295" s="696" t="s">
        <v>3620</v>
      </c>
      <c r="D295" s="696" t="s">
        <v>4095</v>
      </c>
      <c r="E295" s="696" t="s">
        <v>4094</v>
      </c>
      <c r="F295" s="711">
        <v>8</v>
      </c>
      <c r="G295" s="711">
        <v>5168</v>
      </c>
      <c r="H295" s="711">
        <v>1</v>
      </c>
      <c r="I295" s="711">
        <v>646</v>
      </c>
      <c r="J295" s="711"/>
      <c r="K295" s="711"/>
      <c r="L295" s="711"/>
      <c r="M295" s="711"/>
      <c r="N295" s="711">
        <v>4</v>
      </c>
      <c r="O295" s="711">
        <v>2677.96</v>
      </c>
      <c r="P295" s="701">
        <v>0.51818111455108362</v>
      </c>
      <c r="Q295" s="712">
        <v>669.49</v>
      </c>
    </row>
    <row r="296" spans="1:17" ht="14.4" customHeight="1" x14ac:dyDescent="0.3">
      <c r="A296" s="695" t="s">
        <v>556</v>
      </c>
      <c r="B296" s="696" t="s">
        <v>3783</v>
      </c>
      <c r="C296" s="696" t="s">
        <v>3620</v>
      </c>
      <c r="D296" s="696" t="s">
        <v>4096</v>
      </c>
      <c r="E296" s="696" t="s">
        <v>4097</v>
      </c>
      <c r="F296" s="711"/>
      <c r="G296" s="711"/>
      <c r="H296" s="711"/>
      <c r="I296" s="711"/>
      <c r="J296" s="711">
        <v>2</v>
      </c>
      <c r="K296" s="711">
        <v>31800</v>
      </c>
      <c r="L296" s="711"/>
      <c r="M296" s="711">
        <v>15900</v>
      </c>
      <c r="N296" s="711"/>
      <c r="O296" s="711"/>
      <c r="P296" s="701"/>
      <c r="Q296" s="712"/>
    </row>
    <row r="297" spans="1:17" ht="14.4" customHeight="1" x14ac:dyDescent="0.3">
      <c r="A297" s="695" t="s">
        <v>556</v>
      </c>
      <c r="B297" s="696" t="s">
        <v>3783</v>
      </c>
      <c r="C297" s="696" t="s">
        <v>3620</v>
      </c>
      <c r="D297" s="696" t="s">
        <v>4098</v>
      </c>
      <c r="E297" s="696" t="s">
        <v>4099</v>
      </c>
      <c r="F297" s="711"/>
      <c r="G297" s="711"/>
      <c r="H297" s="711"/>
      <c r="I297" s="711"/>
      <c r="J297" s="711">
        <v>1</v>
      </c>
      <c r="K297" s="711">
        <v>9910</v>
      </c>
      <c r="L297" s="711"/>
      <c r="M297" s="711">
        <v>9910</v>
      </c>
      <c r="N297" s="711"/>
      <c r="O297" s="711"/>
      <c r="P297" s="701"/>
      <c r="Q297" s="712"/>
    </row>
    <row r="298" spans="1:17" ht="14.4" customHeight="1" x14ac:dyDescent="0.3">
      <c r="A298" s="695" t="s">
        <v>556</v>
      </c>
      <c r="B298" s="696" t="s">
        <v>3783</v>
      </c>
      <c r="C298" s="696" t="s">
        <v>3620</v>
      </c>
      <c r="D298" s="696" t="s">
        <v>4100</v>
      </c>
      <c r="E298" s="696" t="s">
        <v>4101</v>
      </c>
      <c r="F298" s="711"/>
      <c r="G298" s="711"/>
      <c r="H298" s="711"/>
      <c r="I298" s="711"/>
      <c r="J298" s="711"/>
      <c r="K298" s="711"/>
      <c r="L298" s="711"/>
      <c r="M298" s="711"/>
      <c r="N298" s="711">
        <v>1</v>
      </c>
      <c r="O298" s="711">
        <v>6115</v>
      </c>
      <c r="P298" s="701"/>
      <c r="Q298" s="712">
        <v>6115</v>
      </c>
    </row>
    <row r="299" spans="1:17" ht="14.4" customHeight="1" x14ac:dyDescent="0.3">
      <c r="A299" s="695" t="s">
        <v>556</v>
      </c>
      <c r="B299" s="696" t="s">
        <v>3783</v>
      </c>
      <c r="C299" s="696" t="s">
        <v>3620</v>
      </c>
      <c r="D299" s="696" t="s">
        <v>4102</v>
      </c>
      <c r="E299" s="696" t="s">
        <v>4103</v>
      </c>
      <c r="F299" s="711">
        <v>2</v>
      </c>
      <c r="G299" s="711">
        <v>970.04</v>
      </c>
      <c r="H299" s="711">
        <v>1</v>
      </c>
      <c r="I299" s="711">
        <v>485.02</v>
      </c>
      <c r="J299" s="711">
        <v>2</v>
      </c>
      <c r="K299" s="711">
        <v>970.04</v>
      </c>
      <c r="L299" s="711">
        <v>1</v>
      </c>
      <c r="M299" s="711">
        <v>485.02</v>
      </c>
      <c r="N299" s="711"/>
      <c r="O299" s="711"/>
      <c r="P299" s="701"/>
      <c r="Q299" s="712"/>
    </row>
    <row r="300" spans="1:17" ht="14.4" customHeight="1" x14ac:dyDescent="0.3">
      <c r="A300" s="695" t="s">
        <v>556</v>
      </c>
      <c r="B300" s="696" t="s">
        <v>3783</v>
      </c>
      <c r="C300" s="696" t="s">
        <v>3620</v>
      </c>
      <c r="D300" s="696" t="s">
        <v>4104</v>
      </c>
      <c r="E300" s="696" t="s">
        <v>4103</v>
      </c>
      <c r="F300" s="711">
        <v>13</v>
      </c>
      <c r="G300" s="711">
        <v>4701.9699999999993</v>
      </c>
      <c r="H300" s="711">
        <v>1</v>
      </c>
      <c r="I300" s="711">
        <v>361.68999999999994</v>
      </c>
      <c r="J300" s="711">
        <v>1</v>
      </c>
      <c r="K300" s="711">
        <v>361.69</v>
      </c>
      <c r="L300" s="711">
        <v>7.6923076923076927E-2</v>
      </c>
      <c r="M300" s="711">
        <v>361.69</v>
      </c>
      <c r="N300" s="711">
        <v>13</v>
      </c>
      <c r="O300" s="711">
        <v>4701.97</v>
      </c>
      <c r="P300" s="701">
        <v>1.0000000000000002</v>
      </c>
      <c r="Q300" s="712">
        <v>361.69</v>
      </c>
    </row>
    <row r="301" spans="1:17" ht="14.4" customHeight="1" x14ac:dyDescent="0.3">
      <c r="A301" s="695" t="s">
        <v>556</v>
      </c>
      <c r="B301" s="696" t="s">
        <v>3783</v>
      </c>
      <c r="C301" s="696" t="s">
        <v>3620</v>
      </c>
      <c r="D301" s="696" t="s">
        <v>4105</v>
      </c>
      <c r="E301" s="696" t="s">
        <v>4106</v>
      </c>
      <c r="F301" s="711">
        <v>1</v>
      </c>
      <c r="G301" s="711">
        <v>3292.8</v>
      </c>
      <c r="H301" s="711">
        <v>1</v>
      </c>
      <c r="I301" s="711">
        <v>3292.8</v>
      </c>
      <c r="J301" s="711"/>
      <c r="K301" s="711"/>
      <c r="L301" s="711"/>
      <c r="M301" s="711"/>
      <c r="N301" s="711"/>
      <c r="O301" s="711"/>
      <c r="P301" s="701"/>
      <c r="Q301" s="712"/>
    </row>
    <row r="302" spans="1:17" ht="14.4" customHeight="1" x14ac:dyDescent="0.3">
      <c r="A302" s="695" t="s">
        <v>556</v>
      </c>
      <c r="B302" s="696" t="s">
        <v>3783</v>
      </c>
      <c r="C302" s="696" t="s">
        <v>3620</v>
      </c>
      <c r="D302" s="696" t="s">
        <v>4107</v>
      </c>
      <c r="E302" s="696" t="s">
        <v>4106</v>
      </c>
      <c r="F302" s="711">
        <v>3</v>
      </c>
      <c r="G302" s="711">
        <v>16228.800000000001</v>
      </c>
      <c r="H302" s="711">
        <v>1</v>
      </c>
      <c r="I302" s="711">
        <v>5409.6</v>
      </c>
      <c r="J302" s="711"/>
      <c r="K302" s="711"/>
      <c r="L302" s="711"/>
      <c r="M302" s="711"/>
      <c r="N302" s="711"/>
      <c r="O302" s="711"/>
      <c r="P302" s="701"/>
      <c r="Q302" s="712"/>
    </row>
    <row r="303" spans="1:17" ht="14.4" customHeight="1" x14ac:dyDescent="0.3">
      <c r="A303" s="695" t="s">
        <v>556</v>
      </c>
      <c r="B303" s="696" t="s">
        <v>3783</v>
      </c>
      <c r="C303" s="696" t="s">
        <v>3620</v>
      </c>
      <c r="D303" s="696" t="s">
        <v>4108</v>
      </c>
      <c r="E303" s="696" t="s">
        <v>4109</v>
      </c>
      <c r="F303" s="711">
        <v>2</v>
      </c>
      <c r="G303" s="711">
        <v>9953.24</v>
      </c>
      <c r="H303" s="711">
        <v>1</v>
      </c>
      <c r="I303" s="711">
        <v>4976.62</v>
      </c>
      <c r="J303" s="711"/>
      <c r="K303" s="711"/>
      <c r="L303" s="711"/>
      <c r="M303" s="711"/>
      <c r="N303" s="711"/>
      <c r="O303" s="711"/>
      <c r="P303" s="701"/>
      <c r="Q303" s="712"/>
    </row>
    <row r="304" spans="1:17" ht="14.4" customHeight="1" x14ac:dyDescent="0.3">
      <c r="A304" s="695" t="s">
        <v>556</v>
      </c>
      <c r="B304" s="696" t="s">
        <v>3783</v>
      </c>
      <c r="C304" s="696" t="s">
        <v>3620</v>
      </c>
      <c r="D304" s="696" t="s">
        <v>4110</v>
      </c>
      <c r="E304" s="696" t="s">
        <v>4111</v>
      </c>
      <c r="F304" s="711"/>
      <c r="G304" s="711"/>
      <c r="H304" s="711"/>
      <c r="I304" s="711"/>
      <c r="J304" s="711">
        <v>2</v>
      </c>
      <c r="K304" s="711">
        <v>5602.58</v>
      </c>
      <c r="L304" s="711"/>
      <c r="M304" s="711">
        <v>2801.29</v>
      </c>
      <c r="N304" s="711">
        <v>1</v>
      </c>
      <c r="O304" s="711">
        <v>2801.29</v>
      </c>
      <c r="P304" s="701"/>
      <c r="Q304" s="712">
        <v>2801.29</v>
      </c>
    </row>
    <row r="305" spans="1:17" ht="14.4" customHeight="1" x14ac:dyDescent="0.3">
      <c r="A305" s="695" t="s">
        <v>556</v>
      </c>
      <c r="B305" s="696" t="s">
        <v>3783</v>
      </c>
      <c r="C305" s="696" t="s">
        <v>3620</v>
      </c>
      <c r="D305" s="696" t="s">
        <v>4112</v>
      </c>
      <c r="E305" s="696" t="s">
        <v>4113</v>
      </c>
      <c r="F305" s="711"/>
      <c r="G305" s="711"/>
      <c r="H305" s="711"/>
      <c r="I305" s="711"/>
      <c r="J305" s="711">
        <v>2</v>
      </c>
      <c r="K305" s="711">
        <v>13668</v>
      </c>
      <c r="L305" s="711"/>
      <c r="M305" s="711">
        <v>6834</v>
      </c>
      <c r="N305" s="711">
        <v>5</v>
      </c>
      <c r="O305" s="711">
        <v>34170</v>
      </c>
      <c r="P305" s="701"/>
      <c r="Q305" s="712">
        <v>6834</v>
      </c>
    </row>
    <row r="306" spans="1:17" ht="14.4" customHeight="1" x14ac:dyDescent="0.3">
      <c r="A306" s="695" t="s">
        <v>556</v>
      </c>
      <c r="B306" s="696" t="s">
        <v>3783</v>
      </c>
      <c r="C306" s="696" t="s">
        <v>3620</v>
      </c>
      <c r="D306" s="696" t="s">
        <v>4114</v>
      </c>
      <c r="E306" s="696" t="s">
        <v>4115</v>
      </c>
      <c r="F306" s="711">
        <v>1</v>
      </c>
      <c r="G306" s="711">
        <v>16754.669999999998</v>
      </c>
      <c r="H306" s="711">
        <v>1</v>
      </c>
      <c r="I306" s="711">
        <v>16754.669999999998</v>
      </c>
      <c r="J306" s="711">
        <v>1</v>
      </c>
      <c r="K306" s="711">
        <v>16754.669999999998</v>
      </c>
      <c r="L306" s="711">
        <v>1</v>
      </c>
      <c r="M306" s="711">
        <v>16754.669999999998</v>
      </c>
      <c r="N306" s="711"/>
      <c r="O306" s="711"/>
      <c r="P306" s="701"/>
      <c r="Q306" s="712"/>
    </row>
    <row r="307" spans="1:17" ht="14.4" customHeight="1" x14ac:dyDescent="0.3">
      <c r="A307" s="695" t="s">
        <v>556</v>
      </c>
      <c r="B307" s="696" t="s">
        <v>3783</v>
      </c>
      <c r="C307" s="696" t="s">
        <v>3620</v>
      </c>
      <c r="D307" s="696" t="s">
        <v>4116</v>
      </c>
      <c r="E307" s="696" t="s">
        <v>4115</v>
      </c>
      <c r="F307" s="711">
        <v>1</v>
      </c>
      <c r="G307" s="711">
        <v>16754.669999999998</v>
      </c>
      <c r="H307" s="711">
        <v>1</v>
      </c>
      <c r="I307" s="711">
        <v>16754.669999999998</v>
      </c>
      <c r="J307" s="711">
        <v>1</v>
      </c>
      <c r="K307" s="711">
        <v>16754.669999999998</v>
      </c>
      <c r="L307" s="711">
        <v>1</v>
      </c>
      <c r="M307" s="711">
        <v>16754.669999999998</v>
      </c>
      <c r="N307" s="711"/>
      <c r="O307" s="711"/>
      <c r="P307" s="701"/>
      <c r="Q307" s="712"/>
    </row>
    <row r="308" spans="1:17" ht="14.4" customHeight="1" x14ac:dyDescent="0.3">
      <c r="A308" s="695" t="s">
        <v>556</v>
      </c>
      <c r="B308" s="696" t="s">
        <v>3783</v>
      </c>
      <c r="C308" s="696" t="s">
        <v>3620</v>
      </c>
      <c r="D308" s="696" t="s">
        <v>4117</v>
      </c>
      <c r="E308" s="696" t="s">
        <v>4118</v>
      </c>
      <c r="F308" s="711"/>
      <c r="G308" s="711"/>
      <c r="H308" s="711"/>
      <c r="I308" s="711"/>
      <c r="J308" s="711"/>
      <c r="K308" s="711"/>
      <c r="L308" s="711"/>
      <c r="M308" s="711"/>
      <c r="N308" s="711">
        <v>1</v>
      </c>
      <c r="O308" s="711">
        <v>8471.24</v>
      </c>
      <c r="P308" s="701"/>
      <c r="Q308" s="712">
        <v>8471.24</v>
      </c>
    </row>
    <row r="309" spans="1:17" ht="14.4" customHeight="1" x14ac:dyDescent="0.3">
      <c r="A309" s="695" t="s">
        <v>556</v>
      </c>
      <c r="B309" s="696" t="s">
        <v>3783</v>
      </c>
      <c r="C309" s="696" t="s">
        <v>3620</v>
      </c>
      <c r="D309" s="696" t="s">
        <v>4119</v>
      </c>
      <c r="E309" s="696" t="s">
        <v>4120</v>
      </c>
      <c r="F309" s="711"/>
      <c r="G309" s="711"/>
      <c r="H309" s="711"/>
      <c r="I309" s="711"/>
      <c r="J309" s="711">
        <v>4</v>
      </c>
      <c r="K309" s="711">
        <v>3409.24</v>
      </c>
      <c r="L309" s="711"/>
      <c r="M309" s="711">
        <v>852.31</v>
      </c>
      <c r="N309" s="711">
        <v>5</v>
      </c>
      <c r="O309" s="711">
        <v>4261.5499999999993</v>
      </c>
      <c r="P309" s="701"/>
      <c r="Q309" s="712">
        <v>852.30999999999983</v>
      </c>
    </row>
    <row r="310" spans="1:17" ht="14.4" customHeight="1" x14ac:dyDescent="0.3">
      <c r="A310" s="695" t="s">
        <v>556</v>
      </c>
      <c r="B310" s="696" t="s">
        <v>3783</v>
      </c>
      <c r="C310" s="696" t="s">
        <v>3620</v>
      </c>
      <c r="D310" s="696" t="s">
        <v>4121</v>
      </c>
      <c r="E310" s="696" t="s">
        <v>4122</v>
      </c>
      <c r="F310" s="711"/>
      <c r="G310" s="711"/>
      <c r="H310" s="711"/>
      <c r="I310" s="711"/>
      <c r="J310" s="711">
        <v>1</v>
      </c>
      <c r="K310" s="711">
        <v>12873.29</v>
      </c>
      <c r="L310" s="711"/>
      <c r="M310" s="711">
        <v>12873.29</v>
      </c>
      <c r="N310" s="711">
        <v>1</v>
      </c>
      <c r="O310" s="711">
        <v>12873.29</v>
      </c>
      <c r="P310" s="701"/>
      <c r="Q310" s="712">
        <v>12873.29</v>
      </c>
    </row>
    <row r="311" spans="1:17" ht="14.4" customHeight="1" x14ac:dyDescent="0.3">
      <c r="A311" s="695" t="s">
        <v>556</v>
      </c>
      <c r="B311" s="696" t="s">
        <v>3783</v>
      </c>
      <c r="C311" s="696" t="s">
        <v>3620</v>
      </c>
      <c r="D311" s="696" t="s">
        <v>4123</v>
      </c>
      <c r="E311" s="696" t="s">
        <v>4124</v>
      </c>
      <c r="F311" s="711"/>
      <c r="G311" s="711"/>
      <c r="H311" s="711"/>
      <c r="I311" s="711"/>
      <c r="J311" s="711">
        <v>1</v>
      </c>
      <c r="K311" s="711">
        <v>750.33</v>
      </c>
      <c r="L311" s="711"/>
      <c r="M311" s="711">
        <v>750.33</v>
      </c>
      <c r="N311" s="711">
        <v>1</v>
      </c>
      <c r="O311" s="711">
        <v>750.33</v>
      </c>
      <c r="P311" s="701"/>
      <c r="Q311" s="712">
        <v>750.33</v>
      </c>
    </row>
    <row r="312" spans="1:17" ht="14.4" customHeight="1" x14ac:dyDescent="0.3">
      <c r="A312" s="695" t="s">
        <v>556</v>
      </c>
      <c r="B312" s="696" t="s">
        <v>3783</v>
      </c>
      <c r="C312" s="696" t="s">
        <v>3620</v>
      </c>
      <c r="D312" s="696" t="s">
        <v>4125</v>
      </c>
      <c r="E312" s="696" t="s">
        <v>4126</v>
      </c>
      <c r="F312" s="711"/>
      <c r="G312" s="711"/>
      <c r="H312" s="711"/>
      <c r="I312" s="711"/>
      <c r="J312" s="711">
        <v>2.2000000000000002</v>
      </c>
      <c r="K312" s="711">
        <v>5398.3600000000006</v>
      </c>
      <c r="L312" s="711"/>
      <c r="M312" s="711">
        <v>2453.8000000000002</v>
      </c>
      <c r="N312" s="711">
        <v>2</v>
      </c>
      <c r="O312" s="711">
        <v>4907.6000000000004</v>
      </c>
      <c r="P312" s="701"/>
      <c r="Q312" s="712">
        <v>2453.8000000000002</v>
      </c>
    </row>
    <row r="313" spans="1:17" ht="14.4" customHeight="1" x14ac:dyDescent="0.3">
      <c r="A313" s="695" t="s">
        <v>556</v>
      </c>
      <c r="B313" s="696" t="s">
        <v>3783</v>
      </c>
      <c r="C313" s="696" t="s">
        <v>3620</v>
      </c>
      <c r="D313" s="696" t="s">
        <v>4127</v>
      </c>
      <c r="E313" s="696" t="s">
        <v>4126</v>
      </c>
      <c r="F313" s="711"/>
      <c r="G313" s="711"/>
      <c r="H313" s="711"/>
      <c r="I313" s="711"/>
      <c r="J313" s="711">
        <v>0.2</v>
      </c>
      <c r="K313" s="711">
        <v>140.72</v>
      </c>
      <c r="L313" s="711"/>
      <c r="M313" s="711">
        <v>703.59999999999991</v>
      </c>
      <c r="N313" s="711">
        <v>0.2</v>
      </c>
      <c r="O313" s="711">
        <v>140.72</v>
      </c>
      <c r="P313" s="701"/>
      <c r="Q313" s="712">
        <v>703.59999999999991</v>
      </c>
    </row>
    <row r="314" spans="1:17" ht="14.4" customHeight="1" x14ac:dyDescent="0.3">
      <c r="A314" s="695" t="s">
        <v>556</v>
      </c>
      <c r="B314" s="696" t="s">
        <v>3783</v>
      </c>
      <c r="C314" s="696" t="s">
        <v>3620</v>
      </c>
      <c r="D314" s="696" t="s">
        <v>4128</v>
      </c>
      <c r="E314" s="696" t="s">
        <v>4126</v>
      </c>
      <c r="F314" s="711"/>
      <c r="G314" s="711"/>
      <c r="H314" s="711"/>
      <c r="I314" s="711"/>
      <c r="J314" s="711">
        <v>1.9</v>
      </c>
      <c r="K314" s="711">
        <v>2924.1</v>
      </c>
      <c r="L314" s="711"/>
      <c r="M314" s="711">
        <v>1539</v>
      </c>
      <c r="N314" s="711">
        <v>0.8</v>
      </c>
      <c r="O314" s="711">
        <v>1231.2</v>
      </c>
      <c r="P314" s="701"/>
      <c r="Q314" s="712">
        <v>1539</v>
      </c>
    </row>
    <row r="315" spans="1:17" ht="14.4" customHeight="1" x14ac:dyDescent="0.3">
      <c r="A315" s="695" t="s">
        <v>556</v>
      </c>
      <c r="B315" s="696" t="s">
        <v>3783</v>
      </c>
      <c r="C315" s="696" t="s">
        <v>3620</v>
      </c>
      <c r="D315" s="696" t="s">
        <v>4129</v>
      </c>
      <c r="E315" s="696" t="s">
        <v>4126</v>
      </c>
      <c r="F315" s="711"/>
      <c r="G315" s="711"/>
      <c r="H315" s="711"/>
      <c r="I315" s="711"/>
      <c r="J315" s="711">
        <v>1.3</v>
      </c>
      <c r="K315" s="711">
        <v>2305.0299999999997</v>
      </c>
      <c r="L315" s="711"/>
      <c r="M315" s="711">
        <v>1773.0999999999997</v>
      </c>
      <c r="N315" s="711">
        <v>0.6</v>
      </c>
      <c r="O315" s="711">
        <v>1063.8599999999999</v>
      </c>
      <c r="P315" s="701"/>
      <c r="Q315" s="712">
        <v>1773.1</v>
      </c>
    </row>
    <row r="316" spans="1:17" ht="14.4" customHeight="1" x14ac:dyDescent="0.3">
      <c r="A316" s="695" t="s">
        <v>556</v>
      </c>
      <c r="B316" s="696" t="s">
        <v>3783</v>
      </c>
      <c r="C316" s="696" t="s">
        <v>3620</v>
      </c>
      <c r="D316" s="696" t="s">
        <v>4130</v>
      </c>
      <c r="E316" s="696" t="s">
        <v>3927</v>
      </c>
      <c r="F316" s="711"/>
      <c r="G316" s="711"/>
      <c r="H316" s="711"/>
      <c r="I316" s="711"/>
      <c r="J316" s="711">
        <v>0.4</v>
      </c>
      <c r="K316" s="711">
        <v>85.37</v>
      </c>
      <c r="L316" s="711"/>
      <c r="M316" s="711">
        <v>213.42500000000001</v>
      </c>
      <c r="N316" s="711"/>
      <c r="O316" s="711"/>
      <c r="P316" s="701"/>
      <c r="Q316" s="712"/>
    </row>
    <row r="317" spans="1:17" ht="14.4" customHeight="1" x14ac:dyDescent="0.3">
      <c r="A317" s="695" t="s">
        <v>556</v>
      </c>
      <c r="B317" s="696" t="s">
        <v>3783</v>
      </c>
      <c r="C317" s="696" t="s">
        <v>3620</v>
      </c>
      <c r="D317" s="696" t="s">
        <v>4131</v>
      </c>
      <c r="E317" s="696" t="s">
        <v>3927</v>
      </c>
      <c r="F317" s="711">
        <v>0.6</v>
      </c>
      <c r="G317" s="711">
        <v>151.19999999999999</v>
      </c>
      <c r="H317" s="711">
        <v>1</v>
      </c>
      <c r="I317" s="711">
        <v>252</v>
      </c>
      <c r="J317" s="711">
        <v>2</v>
      </c>
      <c r="K317" s="711">
        <v>504.03999999999996</v>
      </c>
      <c r="L317" s="711">
        <v>3.3335978835978834</v>
      </c>
      <c r="M317" s="711">
        <v>252.01999999999998</v>
      </c>
      <c r="N317" s="711">
        <v>2.4000000000000004</v>
      </c>
      <c r="O317" s="711">
        <v>604.83000000000004</v>
      </c>
      <c r="P317" s="701">
        <v>4.0001984126984134</v>
      </c>
      <c r="Q317" s="712">
        <v>252.01249999999999</v>
      </c>
    </row>
    <row r="318" spans="1:17" ht="14.4" customHeight="1" x14ac:dyDescent="0.3">
      <c r="A318" s="695" t="s">
        <v>556</v>
      </c>
      <c r="B318" s="696" t="s">
        <v>3783</v>
      </c>
      <c r="C318" s="696" t="s">
        <v>3620</v>
      </c>
      <c r="D318" s="696" t="s">
        <v>4132</v>
      </c>
      <c r="E318" s="696" t="s">
        <v>3927</v>
      </c>
      <c r="F318" s="711"/>
      <c r="G318" s="711"/>
      <c r="H318" s="711"/>
      <c r="I318" s="711"/>
      <c r="J318" s="711">
        <v>0.2</v>
      </c>
      <c r="K318" s="711">
        <v>73.39</v>
      </c>
      <c r="L318" s="711"/>
      <c r="M318" s="711">
        <v>366.95</v>
      </c>
      <c r="N318" s="711"/>
      <c r="O318" s="711"/>
      <c r="P318" s="701"/>
      <c r="Q318" s="712"/>
    </row>
    <row r="319" spans="1:17" ht="14.4" customHeight="1" x14ac:dyDescent="0.3">
      <c r="A319" s="695" t="s">
        <v>556</v>
      </c>
      <c r="B319" s="696" t="s">
        <v>3783</v>
      </c>
      <c r="C319" s="696" t="s">
        <v>3620</v>
      </c>
      <c r="D319" s="696" t="s">
        <v>4133</v>
      </c>
      <c r="E319" s="696" t="s">
        <v>4134</v>
      </c>
      <c r="F319" s="711">
        <v>1</v>
      </c>
      <c r="G319" s="711">
        <v>1664.4</v>
      </c>
      <c r="H319" s="711">
        <v>1</v>
      </c>
      <c r="I319" s="711">
        <v>1664.4</v>
      </c>
      <c r="J319" s="711"/>
      <c r="K319" s="711"/>
      <c r="L319" s="711"/>
      <c r="M319" s="711"/>
      <c r="N319" s="711"/>
      <c r="O319" s="711"/>
      <c r="P319" s="701"/>
      <c r="Q319" s="712"/>
    </row>
    <row r="320" spans="1:17" ht="14.4" customHeight="1" x14ac:dyDescent="0.3">
      <c r="A320" s="695" t="s">
        <v>556</v>
      </c>
      <c r="B320" s="696" t="s">
        <v>3783</v>
      </c>
      <c r="C320" s="696" t="s">
        <v>3620</v>
      </c>
      <c r="D320" s="696" t="s">
        <v>4135</v>
      </c>
      <c r="E320" s="696" t="s">
        <v>4136</v>
      </c>
      <c r="F320" s="711">
        <v>1</v>
      </c>
      <c r="G320" s="711">
        <v>3637</v>
      </c>
      <c r="H320" s="711">
        <v>1</v>
      </c>
      <c r="I320" s="711">
        <v>3637</v>
      </c>
      <c r="J320" s="711"/>
      <c r="K320" s="711"/>
      <c r="L320" s="711"/>
      <c r="M320" s="711"/>
      <c r="N320" s="711"/>
      <c r="O320" s="711"/>
      <c r="P320" s="701"/>
      <c r="Q320" s="712"/>
    </row>
    <row r="321" spans="1:17" ht="14.4" customHeight="1" x14ac:dyDescent="0.3">
      <c r="A321" s="695" t="s">
        <v>556</v>
      </c>
      <c r="B321" s="696" t="s">
        <v>3783</v>
      </c>
      <c r="C321" s="696" t="s">
        <v>3620</v>
      </c>
      <c r="D321" s="696" t="s">
        <v>4137</v>
      </c>
      <c r="E321" s="696" t="s">
        <v>4138</v>
      </c>
      <c r="F321" s="711"/>
      <c r="G321" s="711"/>
      <c r="H321" s="711"/>
      <c r="I321" s="711"/>
      <c r="J321" s="711"/>
      <c r="K321" s="711"/>
      <c r="L321" s="711"/>
      <c r="M321" s="711"/>
      <c r="N321" s="711">
        <v>1</v>
      </c>
      <c r="O321" s="711">
        <v>561.71</v>
      </c>
      <c r="P321" s="701"/>
      <c r="Q321" s="712">
        <v>561.71</v>
      </c>
    </row>
    <row r="322" spans="1:17" ht="14.4" customHeight="1" x14ac:dyDescent="0.3">
      <c r="A322" s="695" t="s">
        <v>556</v>
      </c>
      <c r="B322" s="696" t="s">
        <v>3783</v>
      </c>
      <c r="C322" s="696" t="s">
        <v>3620</v>
      </c>
      <c r="D322" s="696" t="s">
        <v>4139</v>
      </c>
      <c r="E322" s="696" t="s">
        <v>4138</v>
      </c>
      <c r="F322" s="711">
        <v>2</v>
      </c>
      <c r="G322" s="711">
        <v>801.32</v>
      </c>
      <c r="H322" s="711">
        <v>1</v>
      </c>
      <c r="I322" s="711">
        <v>400.66</v>
      </c>
      <c r="J322" s="711"/>
      <c r="K322" s="711"/>
      <c r="L322" s="711"/>
      <c r="M322" s="711"/>
      <c r="N322" s="711"/>
      <c r="O322" s="711"/>
      <c r="P322" s="701"/>
      <c r="Q322" s="712"/>
    </row>
    <row r="323" spans="1:17" ht="14.4" customHeight="1" x14ac:dyDescent="0.3">
      <c r="A323" s="695" t="s">
        <v>556</v>
      </c>
      <c r="B323" s="696" t="s">
        <v>3783</v>
      </c>
      <c r="C323" s="696" t="s">
        <v>3620</v>
      </c>
      <c r="D323" s="696" t="s">
        <v>4140</v>
      </c>
      <c r="E323" s="696" t="s">
        <v>4138</v>
      </c>
      <c r="F323" s="711">
        <v>1</v>
      </c>
      <c r="G323" s="711">
        <v>503.98</v>
      </c>
      <c r="H323" s="711">
        <v>1</v>
      </c>
      <c r="I323" s="711">
        <v>503.98</v>
      </c>
      <c r="J323" s="711"/>
      <c r="K323" s="711"/>
      <c r="L323" s="711"/>
      <c r="M323" s="711"/>
      <c r="N323" s="711"/>
      <c r="O323" s="711"/>
      <c r="P323" s="701"/>
      <c r="Q323" s="712"/>
    </row>
    <row r="324" spans="1:17" ht="14.4" customHeight="1" x14ac:dyDescent="0.3">
      <c r="A324" s="695" t="s">
        <v>556</v>
      </c>
      <c r="B324" s="696" t="s">
        <v>3783</v>
      </c>
      <c r="C324" s="696" t="s">
        <v>3620</v>
      </c>
      <c r="D324" s="696" t="s">
        <v>4141</v>
      </c>
      <c r="E324" s="696" t="s">
        <v>4142</v>
      </c>
      <c r="F324" s="711"/>
      <c r="G324" s="711"/>
      <c r="H324" s="711"/>
      <c r="I324" s="711"/>
      <c r="J324" s="711">
        <v>3</v>
      </c>
      <c r="K324" s="711">
        <v>11450.789999999999</v>
      </c>
      <c r="L324" s="711"/>
      <c r="M324" s="711">
        <v>3816.93</v>
      </c>
      <c r="N324" s="711">
        <v>1</v>
      </c>
      <c r="O324" s="711">
        <v>3816.93</v>
      </c>
      <c r="P324" s="701"/>
      <c r="Q324" s="712">
        <v>3816.93</v>
      </c>
    </row>
    <row r="325" spans="1:17" ht="14.4" customHeight="1" x14ac:dyDescent="0.3">
      <c r="A325" s="695" t="s">
        <v>556</v>
      </c>
      <c r="B325" s="696" t="s">
        <v>3783</v>
      </c>
      <c r="C325" s="696" t="s">
        <v>3620</v>
      </c>
      <c r="D325" s="696" t="s">
        <v>4143</v>
      </c>
      <c r="E325" s="696" t="s">
        <v>3927</v>
      </c>
      <c r="F325" s="711">
        <v>10</v>
      </c>
      <c r="G325" s="711">
        <v>5472</v>
      </c>
      <c r="H325" s="711">
        <v>1</v>
      </c>
      <c r="I325" s="711">
        <v>547.20000000000005</v>
      </c>
      <c r="J325" s="711">
        <v>32</v>
      </c>
      <c r="K325" s="711">
        <v>17510.400000000001</v>
      </c>
      <c r="L325" s="711">
        <v>3.2</v>
      </c>
      <c r="M325" s="711">
        <v>547.20000000000005</v>
      </c>
      <c r="N325" s="711"/>
      <c r="O325" s="711"/>
      <c r="P325" s="701"/>
      <c r="Q325" s="712"/>
    </row>
    <row r="326" spans="1:17" ht="14.4" customHeight="1" x14ac:dyDescent="0.3">
      <c r="A326" s="695" t="s">
        <v>556</v>
      </c>
      <c r="B326" s="696" t="s">
        <v>3783</v>
      </c>
      <c r="C326" s="696" t="s">
        <v>3620</v>
      </c>
      <c r="D326" s="696" t="s">
        <v>4144</v>
      </c>
      <c r="E326" s="696" t="s">
        <v>3927</v>
      </c>
      <c r="F326" s="711">
        <v>2</v>
      </c>
      <c r="G326" s="711">
        <v>3268</v>
      </c>
      <c r="H326" s="711">
        <v>1</v>
      </c>
      <c r="I326" s="711">
        <v>1634</v>
      </c>
      <c r="J326" s="711">
        <v>4</v>
      </c>
      <c r="K326" s="711">
        <v>6773.68</v>
      </c>
      <c r="L326" s="711">
        <v>2.0727294981640147</v>
      </c>
      <c r="M326" s="711">
        <v>1693.42</v>
      </c>
      <c r="N326" s="711"/>
      <c r="O326" s="711"/>
      <c r="P326" s="701"/>
      <c r="Q326" s="712"/>
    </row>
    <row r="327" spans="1:17" ht="14.4" customHeight="1" x14ac:dyDescent="0.3">
      <c r="A327" s="695" t="s">
        <v>556</v>
      </c>
      <c r="B327" s="696" t="s">
        <v>3783</v>
      </c>
      <c r="C327" s="696" t="s">
        <v>3620</v>
      </c>
      <c r="D327" s="696" t="s">
        <v>4145</v>
      </c>
      <c r="E327" s="696" t="s">
        <v>3927</v>
      </c>
      <c r="F327" s="711">
        <v>6</v>
      </c>
      <c r="G327" s="711">
        <v>10963.48</v>
      </c>
      <c r="H327" s="711">
        <v>1</v>
      </c>
      <c r="I327" s="711">
        <v>1827.2466666666667</v>
      </c>
      <c r="J327" s="711">
        <v>6</v>
      </c>
      <c r="K327" s="711">
        <v>11093.22</v>
      </c>
      <c r="L327" s="711">
        <v>1.011833833782704</v>
      </c>
      <c r="M327" s="711">
        <v>1848.87</v>
      </c>
      <c r="N327" s="711">
        <v>26</v>
      </c>
      <c r="O327" s="711">
        <v>48070.62</v>
      </c>
      <c r="P327" s="701">
        <v>4.384613279725051</v>
      </c>
      <c r="Q327" s="712">
        <v>1848.8700000000001</v>
      </c>
    </row>
    <row r="328" spans="1:17" ht="14.4" customHeight="1" x14ac:dyDescent="0.3">
      <c r="A328" s="695" t="s">
        <v>556</v>
      </c>
      <c r="B328" s="696" t="s">
        <v>3783</v>
      </c>
      <c r="C328" s="696" t="s">
        <v>3620</v>
      </c>
      <c r="D328" s="696" t="s">
        <v>4146</v>
      </c>
      <c r="E328" s="696" t="s">
        <v>4147</v>
      </c>
      <c r="F328" s="711">
        <v>2</v>
      </c>
      <c r="G328" s="711">
        <v>3689.46</v>
      </c>
      <c r="H328" s="711">
        <v>1</v>
      </c>
      <c r="I328" s="711">
        <v>1844.73</v>
      </c>
      <c r="J328" s="711"/>
      <c r="K328" s="711"/>
      <c r="L328" s="711"/>
      <c r="M328" s="711"/>
      <c r="N328" s="711"/>
      <c r="O328" s="711"/>
      <c r="P328" s="701"/>
      <c r="Q328" s="712"/>
    </row>
    <row r="329" spans="1:17" ht="14.4" customHeight="1" x14ac:dyDescent="0.3">
      <c r="A329" s="695" t="s">
        <v>556</v>
      </c>
      <c r="B329" s="696" t="s">
        <v>3783</v>
      </c>
      <c r="C329" s="696" t="s">
        <v>3620</v>
      </c>
      <c r="D329" s="696" t="s">
        <v>4148</v>
      </c>
      <c r="E329" s="696" t="s">
        <v>4147</v>
      </c>
      <c r="F329" s="711"/>
      <c r="G329" s="711"/>
      <c r="H329" s="711"/>
      <c r="I329" s="711"/>
      <c r="J329" s="711">
        <v>1</v>
      </c>
      <c r="K329" s="711">
        <v>2362.91</v>
      </c>
      <c r="L329" s="711"/>
      <c r="M329" s="711">
        <v>2362.91</v>
      </c>
      <c r="N329" s="711"/>
      <c r="O329" s="711"/>
      <c r="P329" s="701"/>
      <c r="Q329" s="712"/>
    </row>
    <row r="330" spans="1:17" ht="14.4" customHeight="1" x14ac:dyDescent="0.3">
      <c r="A330" s="695" t="s">
        <v>556</v>
      </c>
      <c r="B330" s="696" t="s">
        <v>3783</v>
      </c>
      <c r="C330" s="696" t="s">
        <v>3620</v>
      </c>
      <c r="D330" s="696" t="s">
        <v>4149</v>
      </c>
      <c r="E330" s="696" t="s">
        <v>4150</v>
      </c>
      <c r="F330" s="711">
        <v>1</v>
      </c>
      <c r="G330" s="711">
        <v>22843.53</v>
      </c>
      <c r="H330" s="711">
        <v>1</v>
      </c>
      <c r="I330" s="711">
        <v>22843.53</v>
      </c>
      <c r="J330" s="711"/>
      <c r="K330" s="711"/>
      <c r="L330" s="711"/>
      <c r="M330" s="711"/>
      <c r="N330" s="711"/>
      <c r="O330" s="711"/>
      <c r="P330" s="701"/>
      <c r="Q330" s="712"/>
    </row>
    <row r="331" spans="1:17" ht="14.4" customHeight="1" x14ac:dyDescent="0.3">
      <c r="A331" s="695" t="s">
        <v>556</v>
      </c>
      <c r="B331" s="696" t="s">
        <v>3783</v>
      </c>
      <c r="C331" s="696" t="s">
        <v>3620</v>
      </c>
      <c r="D331" s="696" t="s">
        <v>4151</v>
      </c>
      <c r="E331" s="696" t="s">
        <v>4152</v>
      </c>
      <c r="F331" s="711">
        <v>3</v>
      </c>
      <c r="G331" s="711">
        <v>8997.7199999999993</v>
      </c>
      <c r="H331" s="711">
        <v>1</v>
      </c>
      <c r="I331" s="711">
        <v>2999.24</v>
      </c>
      <c r="J331" s="711"/>
      <c r="K331" s="711"/>
      <c r="L331" s="711"/>
      <c r="M331" s="711"/>
      <c r="N331" s="711"/>
      <c r="O331" s="711"/>
      <c r="P331" s="701"/>
      <c r="Q331" s="712"/>
    </row>
    <row r="332" spans="1:17" ht="14.4" customHeight="1" x14ac:dyDescent="0.3">
      <c r="A332" s="695" t="s">
        <v>556</v>
      </c>
      <c r="B332" s="696" t="s">
        <v>3783</v>
      </c>
      <c r="C332" s="696" t="s">
        <v>3620</v>
      </c>
      <c r="D332" s="696" t="s">
        <v>4153</v>
      </c>
      <c r="E332" s="696" t="s">
        <v>4154</v>
      </c>
      <c r="F332" s="711"/>
      <c r="G332" s="711"/>
      <c r="H332" s="711"/>
      <c r="I332" s="711"/>
      <c r="J332" s="711">
        <v>1</v>
      </c>
      <c r="K332" s="711">
        <v>8076.38</v>
      </c>
      <c r="L332" s="711"/>
      <c r="M332" s="711">
        <v>8076.38</v>
      </c>
      <c r="N332" s="711"/>
      <c r="O332" s="711"/>
      <c r="P332" s="701"/>
      <c r="Q332" s="712"/>
    </row>
    <row r="333" spans="1:17" ht="14.4" customHeight="1" x14ac:dyDescent="0.3">
      <c r="A333" s="695" t="s">
        <v>556</v>
      </c>
      <c r="B333" s="696" t="s">
        <v>3783</v>
      </c>
      <c r="C333" s="696" t="s">
        <v>3620</v>
      </c>
      <c r="D333" s="696" t="s">
        <v>4155</v>
      </c>
      <c r="E333" s="696" t="s">
        <v>4156</v>
      </c>
      <c r="F333" s="711"/>
      <c r="G333" s="711"/>
      <c r="H333" s="711"/>
      <c r="I333" s="711"/>
      <c r="J333" s="711">
        <v>1</v>
      </c>
      <c r="K333" s="711">
        <v>2999.24</v>
      </c>
      <c r="L333" s="711"/>
      <c r="M333" s="711">
        <v>2999.24</v>
      </c>
      <c r="N333" s="711"/>
      <c r="O333" s="711"/>
      <c r="P333" s="701"/>
      <c r="Q333" s="712"/>
    </row>
    <row r="334" spans="1:17" ht="14.4" customHeight="1" x14ac:dyDescent="0.3">
      <c r="A334" s="695" t="s">
        <v>556</v>
      </c>
      <c r="B334" s="696" t="s">
        <v>3783</v>
      </c>
      <c r="C334" s="696" t="s">
        <v>3620</v>
      </c>
      <c r="D334" s="696" t="s">
        <v>4157</v>
      </c>
      <c r="E334" s="696" t="s">
        <v>4158</v>
      </c>
      <c r="F334" s="711"/>
      <c r="G334" s="711"/>
      <c r="H334" s="711"/>
      <c r="I334" s="711"/>
      <c r="J334" s="711">
        <v>1</v>
      </c>
      <c r="K334" s="711">
        <v>307.8</v>
      </c>
      <c r="L334" s="711"/>
      <c r="M334" s="711">
        <v>307.8</v>
      </c>
      <c r="N334" s="711"/>
      <c r="O334" s="711"/>
      <c r="P334" s="701"/>
      <c r="Q334" s="712"/>
    </row>
    <row r="335" spans="1:17" ht="14.4" customHeight="1" x14ac:dyDescent="0.3">
      <c r="A335" s="695" t="s">
        <v>556</v>
      </c>
      <c r="B335" s="696" t="s">
        <v>3783</v>
      </c>
      <c r="C335" s="696" t="s">
        <v>3620</v>
      </c>
      <c r="D335" s="696" t="s">
        <v>4159</v>
      </c>
      <c r="E335" s="696" t="s">
        <v>4160</v>
      </c>
      <c r="F335" s="711"/>
      <c r="G335" s="711"/>
      <c r="H335" s="711"/>
      <c r="I335" s="711"/>
      <c r="J335" s="711">
        <v>4</v>
      </c>
      <c r="K335" s="711">
        <v>2999.64</v>
      </c>
      <c r="L335" s="711"/>
      <c r="M335" s="711">
        <v>749.91</v>
      </c>
      <c r="N335" s="711"/>
      <c r="O335" s="711"/>
      <c r="P335" s="701"/>
      <c r="Q335" s="712"/>
    </row>
    <row r="336" spans="1:17" ht="14.4" customHeight="1" x14ac:dyDescent="0.3">
      <c r="A336" s="695" t="s">
        <v>556</v>
      </c>
      <c r="B336" s="696" t="s">
        <v>3783</v>
      </c>
      <c r="C336" s="696" t="s">
        <v>3620</v>
      </c>
      <c r="D336" s="696" t="s">
        <v>4161</v>
      </c>
      <c r="E336" s="696" t="s">
        <v>4162</v>
      </c>
      <c r="F336" s="711"/>
      <c r="G336" s="711"/>
      <c r="H336" s="711"/>
      <c r="I336" s="711"/>
      <c r="J336" s="711">
        <v>0.8</v>
      </c>
      <c r="K336" s="711">
        <v>60.02</v>
      </c>
      <c r="L336" s="711"/>
      <c r="M336" s="711">
        <v>75.025000000000006</v>
      </c>
      <c r="N336" s="711"/>
      <c r="O336" s="711"/>
      <c r="P336" s="701"/>
      <c r="Q336" s="712"/>
    </row>
    <row r="337" spans="1:17" ht="14.4" customHeight="1" x14ac:dyDescent="0.3">
      <c r="A337" s="695" t="s">
        <v>556</v>
      </c>
      <c r="B337" s="696" t="s">
        <v>3783</v>
      </c>
      <c r="C337" s="696" t="s">
        <v>3620</v>
      </c>
      <c r="D337" s="696" t="s">
        <v>4163</v>
      </c>
      <c r="E337" s="696" t="s">
        <v>4164</v>
      </c>
      <c r="F337" s="711"/>
      <c r="G337" s="711"/>
      <c r="H337" s="711"/>
      <c r="I337" s="711"/>
      <c r="J337" s="711"/>
      <c r="K337" s="711"/>
      <c r="L337" s="711"/>
      <c r="M337" s="711"/>
      <c r="N337" s="711">
        <v>3</v>
      </c>
      <c r="O337" s="711">
        <v>3699.81</v>
      </c>
      <c r="P337" s="701"/>
      <c r="Q337" s="712">
        <v>1233.27</v>
      </c>
    </row>
    <row r="338" spans="1:17" ht="14.4" customHeight="1" x14ac:dyDescent="0.3">
      <c r="A338" s="695" t="s">
        <v>556</v>
      </c>
      <c r="B338" s="696" t="s">
        <v>3783</v>
      </c>
      <c r="C338" s="696" t="s">
        <v>3620</v>
      </c>
      <c r="D338" s="696" t="s">
        <v>4165</v>
      </c>
      <c r="E338" s="696" t="s">
        <v>4166</v>
      </c>
      <c r="F338" s="711"/>
      <c r="G338" s="711"/>
      <c r="H338" s="711"/>
      <c r="I338" s="711"/>
      <c r="J338" s="711">
        <v>1</v>
      </c>
      <c r="K338" s="711">
        <v>5774.62</v>
      </c>
      <c r="L338" s="711"/>
      <c r="M338" s="711">
        <v>5774.62</v>
      </c>
      <c r="N338" s="711">
        <v>1</v>
      </c>
      <c r="O338" s="711">
        <v>5774.62</v>
      </c>
      <c r="P338" s="701"/>
      <c r="Q338" s="712">
        <v>5774.62</v>
      </c>
    </row>
    <row r="339" spans="1:17" ht="14.4" customHeight="1" x14ac:dyDescent="0.3">
      <c r="A339" s="695" t="s">
        <v>556</v>
      </c>
      <c r="B339" s="696" t="s">
        <v>3783</v>
      </c>
      <c r="C339" s="696" t="s">
        <v>3620</v>
      </c>
      <c r="D339" s="696" t="s">
        <v>4167</v>
      </c>
      <c r="E339" s="696" t="s">
        <v>4168</v>
      </c>
      <c r="F339" s="711"/>
      <c r="G339" s="711"/>
      <c r="H339" s="711"/>
      <c r="I339" s="711"/>
      <c r="J339" s="711">
        <v>1</v>
      </c>
      <c r="K339" s="711">
        <v>8704.42</v>
      </c>
      <c r="L339" s="711"/>
      <c r="M339" s="711">
        <v>8704.42</v>
      </c>
      <c r="N339" s="711">
        <v>2</v>
      </c>
      <c r="O339" s="711">
        <v>17408.84</v>
      </c>
      <c r="P339" s="701"/>
      <c r="Q339" s="712">
        <v>8704.42</v>
      </c>
    </row>
    <row r="340" spans="1:17" ht="14.4" customHeight="1" x14ac:dyDescent="0.3">
      <c r="A340" s="695" t="s">
        <v>556</v>
      </c>
      <c r="B340" s="696" t="s">
        <v>3783</v>
      </c>
      <c r="C340" s="696" t="s">
        <v>3620</v>
      </c>
      <c r="D340" s="696" t="s">
        <v>4169</v>
      </c>
      <c r="E340" s="696" t="s">
        <v>4170</v>
      </c>
      <c r="F340" s="711"/>
      <c r="G340" s="711"/>
      <c r="H340" s="711"/>
      <c r="I340" s="711"/>
      <c r="J340" s="711">
        <v>1</v>
      </c>
      <c r="K340" s="711">
        <v>1664.4</v>
      </c>
      <c r="L340" s="711"/>
      <c r="M340" s="711">
        <v>1664.4</v>
      </c>
      <c r="N340" s="711">
        <v>2</v>
      </c>
      <c r="O340" s="711">
        <v>3328.8</v>
      </c>
      <c r="P340" s="701"/>
      <c r="Q340" s="712">
        <v>1664.4</v>
      </c>
    </row>
    <row r="341" spans="1:17" ht="14.4" customHeight="1" x14ac:dyDescent="0.3">
      <c r="A341" s="695" t="s">
        <v>556</v>
      </c>
      <c r="B341" s="696" t="s">
        <v>3783</v>
      </c>
      <c r="C341" s="696" t="s">
        <v>3620</v>
      </c>
      <c r="D341" s="696" t="s">
        <v>4171</v>
      </c>
      <c r="E341" s="696" t="s">
        <v>4172</v>
      </c>
      <c r="F341" s="711">
        <v>4</v>
      </c>
      <c r="G341" s="711">
        <v>8295.0400000000009</v>
      </c>
      <c r="H341" s="711">
        <v>1</v>
      </c>
      <c r="I341" s="711">
        <v>2073.7600000000002</v>
      </c>
      <c r="J341" s="711"/>
      <c r="K341" s="711"/>
      <c r="L341" s="711"/>
      <c r="M341" s="711"/>
      <c r="N341" s="711">
        <v>0</v>
      </c>
      <c r="O341" s="711">
        <v>0</v>
      </c>
      <c r="P341" s="701">
        <v>0</v>
      </c>
      <c r="Q341" s="712"/>
    </row>
    <row r="342" spans="1:17" ht="14.4" customHeight="1" x14ac:dyDescent="0.3">
      <c r="A342" s="695" t="s">
        <v>556</v>
      </c>
      <c r="B342" s="696" t="s">
        <v>3783</v>
      </c>
      <c r="C342" s="696" t="s">
        <v>3620</v>
      </c>
      <c r="D342" s="696" t="s">
        <v>4173</v>
      </c>
      <c r="E342" s="696" t="s">
        <v>4174</v>
      </c>
      <c r="F342" s="711">
        <v>6</v>
      </c>
      <c r="G342" s="711">
        <v>29767.800000000003</v>
      </c>
      <c r="H342" s="711">
        <v>1</v>
      </c>
      <c r="I342" s="711">
        <v>4961.3</v>
      </c>
      <c r="J342" s="711"/>
      <c r="K342" s="711"/>
      <c r="L342" s="711"/>
      <c r="M342" s="711"/>
      <c r="N342" s="711">
        <v>2</v>
      </c>
      <c r="O342" s="711">
        <v>9922.6</v>
      </c>
      <c r="P342" s="701">
        <v>0.33333333333333331</v>
      </c>
      <c r="Q342" s="712">
        <v>4961.3</v>
      </c>
    </row>
    <row r="343" spans="1:17" ht="14.4" customHeight="1" x14ac:dyDescent="0.3">
      <c r="A343" s="695" t="s">
        <v>556</v>
      </c>
      <c r="B343" s="696" t="s">
        <v>3783</v>
      </c>
      <c r="C343" s="696" t="s">
        <v>3620</v>
      </c>
      <c r="D343" s="696" t="s">
        <v>4175</v>
      </c>
      <c r="E343" s="696" t="s">
        <v>4176</v>
      </c>
      <c r="F343" s="711">
        <v>8</v>
      </c>
      <c r="G343" s="711">
        <v>24310</v>
      </c>
      <c r="H343" s="711">
        <v>1</v>
      </c>
      <c r="I343" s="711">
        <v>3038.75</v>
      </c>
      <c r="J343" s="711">
        <v>2</v>
      </c>
      <c r="K343" s="711">
        <v>6270</v>
      </c>
      <c r="L343" s="711">
        <v>0.25791855203619912</v>
      </c>
      <c r="M343" s="711">
        <v>3135</v>
      </c>
      <c r="N343" s="711"/>
      <c r="O343" s="711"/>
      <c r="P343" s="701"/>
      <c r="Q343" s="712"/>
    </row>
    <row r="344" spans="1:17" ht="14.4" customHeight="1" x14ac:dyDescent="0.3">
      <c r="A344" s="695" t="s">
        <v>556</v>
      </c>
      <c r="B344" s="696" t="s">
        <v>3783</v>
      </c>
      <c r="C344" s="696" t="s">
        <v>3620</v>
      </c>
      <c r="D344" s="696" t="s">
        <v>4177</v>
      </c>
      <c r="E344" s="696" t="s">
        <v>4178</v>
      </c>
      <c r="F344" s="711">
        <v>1</v>
      </c>
      <c r="G344" s="711">
        <v>4070.4</v>
      </c>
      <c r="H344" s="711">
        <v>1</v>
      </c>
      <c r="I344" s="711">
        <v>4070.4</v>
      </c>
      <c r="J344" s="711">
        <v>3</v>
      </c>
      <c r="K344" s="711">
        <v>12654</v>
      </c>
      <c r="L344" s="711">
        <v>3.1087853773584904</v>
      </c>
      <c r="M344" s="711">
        <v>4218</v>
      </c>
      <c r="N344" s="711"/>
      <c r="O344" s="711"/>
      <c r="P344" s="701"/>
      <c r="Q344" s="712"/>
    </row>
    <row r="345" spans="1:17" ht="14.4" customHeight="1" x14ac:dyDescent="0.3">
      <c r="A345" s="695" t="s">
        <v>556</v>
      </c>
      <c r="B345" s="696" t="s">
        <v>3783</v>
      </c>
      <c r="C345" s="696" t="s">
        <v>3620</v>
      </c>
      <c r="D345" s="696" t="s">
        <v>4179</v>
      </c>
      <c r="E345" s="696" t="s">
        <v>4180</v>
      </c>
      <c r="F345" s="711">
        <v>11</v>
      </c>
      <c r="G345" s="711">
        <v>71639</v>
      </c>
      <c r="H345" s="711">
        <v>1</v>
      </c>
      <c r="I345" s="711">
        <v>6512.636363636364</v>
      </c>
      <c r="J345" s="711">
        <v>10</v>
      </c>
      <c r="K345" s="711">
        <v>67270</v>
      </c>
      <c r="L345" s="711">
        <v>0.93901366574072787</v>
      </c>
      <c r="M345" s="711">
        <v>6727</v>
      </c>
      <c r="N345" s="711">
        <v>1</v>
      </c>
      <c r="O345" s="711">
        <v>6727</v>
      </c>
      <c r="P345" s="701">
        <v>9.3901366574072775E-2</v>
      </c>
      <c r="Q345" s="712">
        <v>6727</v>
      </c>
    </row>
    <row r="346" spans="1:17" ht="14.4" customHeight="1" x14ac:dyDescent="0.3">
      <c r="A346" s="695" t="s">
        <v>556</v>
      </c>
      <c r="B346" s="696" t="s">
        <v>3783</v>
      </c>
      <c r="C346" s="696" t="s">
        <v>3620</v>
      </c>
      <c r="D346" s="696" t="s">
        <v>4181</v>
      </c>
      <c r="E346" s="696" t="s">
        <v>4182</v>
      </c>
      <c r="F346" s="711">
        <v>5</v>
      </c>
      <c r="G346" s="711">
        <v>53896.1</v>
      </c>
      <c r="H346" s="711">
        <v>1</v>
      </c>
      <c r="I346" s="711">
        <v>10779.22</v>
      </c>
      <c r="J346" s="711">
        <v>6</v>
      </c>
      <c r="K346" s="711">
        <v>64675.32</v>
      </c>
      <c r="L346" s="711">
        <v>1.2</v>
      </c>
      <c r="M346" s="711">
        <v>10779.22</v>
      </c>
      <c r="N346" s="711">
        <v>3</v>
      </c>
      <c r="O346" s="711">
        <v>32337.659999999996</v>
      </c>
      <c r="P346" s="701">
        <v>0.6</v>
      </c>
      <c r="Q346" s="712">
        <v>10779.22</v>
      </c>
    </row>
    <row r="347" spans="1:17" ht="14.4" customHeight="1" x14ac:dyDescent="0.3">
      <c r="A347" s="695" t="s">
        <v>556</v>
      </c>
      <c r="B347" s="696" t="s">
        <v>3783</v>
      </c>
      <c r="C347" s="696" t="s">
        <v>3620</v>
      </c>
      <c r="D347" s="696" t="s">
        <v>4183</v>
      </c>
      <c r="E347" s="696" t="s">
        <v>4184</v>
      </c>
      <c r="F347" s="711">
        <v>2</v>
      </c>
      <c r="G347" s="711">
        <v>18225.5</v>
      </c>
      <c r="H347" s="711">
        <v>1</v>
      </c>
      <c r="I347" s="711">
        <v>9112.75</v>
      </c>
      <c r="J347" s="711"/>
      <c r="K347" s="711"/>
      <c r="L347" s="711"/>
      <c r="M347" s="711"/>
      <c r="N347" s="711"/>
      <c r="O347" s="711"/>
      <c r="P347" s="701"/>
      <c r="Q347" s="712"/>
    </row>
    <row r="348" spans="1:17" ht="14.4" customHeight="1" x14ac:dyDescent="0.3">
      <c r="A348" s="695" t="s">
        <v>556</v>
      </c>
      <c r="B348" s="696" t="s">
        <v>3783</v>
      </c>
      <c r="C348" s="696" t="s">
        <v>3620</v>
      </c>
      <c r="D348" s="696" t="s">
        <v>4185</v>
      </c>
      <c r="E348" s="696" t="s">
        <v>4186</v>
      </c>
      <c r="F348" s="711">
        <v>22</v>
      </c>
      <c r="G348" s="711">
        <v>26949.559999999998</v>
      </c>
      <c r="H348" s="711">
        <v>1</v>
      </c>
      <c r="I348" s="711">
        <v>1224.9799999999998</v>
      </c>
      <c r="J348" s="711">
        <v>15</v>
      </c>
      <c r="K348" s="711">
        <v>18374.699999999997</v>
      </c>
      <c r="L348" s="711">
        <v>0.68181818181818177</v>
      </c>
      <c r="M348" s="711">
        <v>1224.9799999999998</v>
      </c>
      <c r="N348" s="711">
        <v>7</v>
      </c>
      <c r="O348" s="711">
        <v>8574.86</v>
      </c>
      <c r="P348" s="701">
        <v>0.31818181818181823</v>
      </c>
      <c r="Q348" s="712">
        <v>1224.98</v>
      </c>
    </row>
    <row r="349" spans="1:17" ht="14.4" customHeight="1" x14ac:dyDescent="0.3">
      <c r="A349" s="695" t="s">
        <v>556</v>
      </c>
      <c r="B349" s="696" t="s">
        <v>3783</v>
      </c>
      <c r="C349" s="696" t="s">
        <v>3620</v>
      </c>
      <c r="D349" s="696" t="s">
        <v>4187</v>
      </c>
      <c r="E349" s="696" t="s">
        <v>4186</v>
      </c>
      <c r="F349" s="711">
        <v>16</v>
      </c>
      <c r="G349" s="711">
        <v>30427.679999999997</v>
      </c>
      <c r="H349" s="711">
        <v>1</v>
      </c>
      <c r="I349" s="711">
        <v>1901.7299999999998</v>
      </c>
      <c r="J349" s="711">
        <v>19</v>
      </c>
      <c r="K349" s="711">
        <v>36132.870000000003</v>
      </c>
      <c r="L349" s="711">
        <v>1.1875000000000002</v>
      </c>
      <c r="M349" s="711">
        <v>1901.7300000000002</v>
      </c>
      <c r="N349" s="711">
        <v>11</v>
      </c>
      <c r="O349" s="711">
        <v>20919.03</v>
      </c>
      <c r="P349" s="701">
        <v>0.6875</v>
      </c>
      <c r="Q349" s="712">
        <v>1901.7299999999998</v>
      </c>
    </row>
    <row r="350" spans="1:17" ht="14.4" customHeight="1" x14ac:dyDescent="0.3">
      <c r="A350" s="695" t="s">
        <v>556</v>
      </c>
      <c r="B350" s="696" t="s">
        <v>3783</v>
      </c>
      <c r="C350" s="696" t="s">
        <v>3620</v>
      </c>
      <c r="D350" s="696" t="s">
        <v>4188</v>
      </c>
      <c r="E350" s="696" t="s">
        <v>4189</v>
      </c>
      <c r="F350" s="711">
        <v>16</v>
      </c>
      <c r="G350" s="711">
        <v>16608</v>
      </c>
      <c r="H350" s="711">
        <v>1</v>
      </c>
      <c r="I350" s="711">
        <v>1038</v>
      </c>
      <c r="J350" s="711">
        <v>38</v>
      </c>
      <c r="K350" s="711">
        <v>39444</v>
      </c>
      <c r="L350" s="711">
        <v>2.375</v>
      </c>
      <c r="M350" s="711">
        <v>1038</v>
      </c>
      <c r="N350" s="711">
        <v>35</v>
      </c>
      <c r="O350" s="711">
        <v>36330</v>
      </c>
      <c r="P350" s="701">
        <v>2.1875</v>
      </c>
      <c r="Q350" s="712">
        <v>1038</v>
      </c>
    </row>
    <row r="351" spans="1:17" ht="14.4" customHeight="1" x14ac:dyDescent="0.3">
      <c r="A351" s="695" t="s">
        <v>556</v>
      </c>
      <c r="B351" s="696" t="s">
        <v>3783</v>
      </c>
      <c r="C351" s="696" t="s">
        <v>3620</v>
      </c>
      <c r="D351" s="696" t="s">
        <v>4190</v>
      </c>
      <c r="E351" s="696" t="s">
        <v>4191</v>
      </c>
      <c r="F351" s="711">
        <v>26</v>
      </c>
      <c r="G351" s="711">
        <v>34112</v>
      </c>
      <c r="H351" s="711">
        <v>1</v>
      </c>
      <c r="I351" s="711">
        <v>1312</v>
      </c>
      <c r="J351" s="711">
        <v>15</v>
      </c>
      <c r="K351" s="711">
        <v>19680</v>
      </c>
      <c r="L351" s="711">
        <v>0.57692307692307687</v>
      </c>
      <c r="M351" s="711">
        <v>1312</v>
      </c>
      <c r="N351" s="711">
        <v>18</v>
      </c>
      <c r="O351" s="711">
        <v>23616</v>
      </c>
      <c r="P351" s="701">
        <v>0.69230769230769229</v>
      </c>
      <c r="Q351" s="712">
        <v>1312</v>
      </c>
    </row>
    <row r="352" spans="1:17" ht="14.4" customHeight="1" x14ac:dyDescent="0.3">
      <c r="A352" s="695" t="s">
        <v>556</v>
      </c>
      <c r="B352" s="696" t="s">
        <v>3783</v>
      </c>
      <c r="C352" s="696" t="s">
        <v>3620</v>
      </c>
      <c r="D352" s="696" t="s">
        <v>4192</v>
      </c>
      <c r="E352" s="696" t="s">
        <v>4193</v>
      </c>
      <c r="F352" s="711">
        <v>5</v>
      </c>
      <c r="G352" s="711">
        <v>7800</v>
      </c>
      <c r="H352" s="711">
        <v>1</v>
      </c>
      <c r="I352" s="711">
        <v>1560</v>
      </c>
      <c r="J352" s="711">
        <v>4</v>
      </c>
      <c r="K352" s="711">
        <v>6240</v>
      </c>
      <c r="L352" s="711">
        <v>0.8</v>
      </c>
      <c r="M352" s="711">
        <v>1560</v>
      </c>
      <c r="N352" s="711">
        <v>8</v>
      </c>
      <c r="O352" s="711">
        <v>12480</v>
      </c>
      <c r="P352" s="701">
        <v>1.6</v>
      </c>
      <c r="Q352" s="712">
        <v>1560</v>
      </c>
    </row>
    <row r="353" spans="1:17" ht="14.4" customHeight="1" x14ac:dyDescent="0.3">
      <c r="A353" s="695" t="s">
        <v>556</v>
      </c>
      <c r="B353" s="696" t="s">
        <v>3783</v>
      </c>
      <c r="C353" s="696" t="s">
        <v>3620</v>
      </c>
      <c r="D353" s="696" t="s">
        <v>4194</v>
      </c>
      <c r="E353" s="696" t="s">
        <v>4195</v>
      </c>
      <c r="F353" s="711">
        <v>1</v>
      </c>
      <c r="G353" s="711">
        <v>1614</v>
      </c>
      <c r="H353" s="711">
        <v>1</v>
      </c>
      <c r="I353" s="711">
        <v>1614</v>
      </c>
      <c r="J353" s="711"/>
      <c r="K353" s="711"/>
      <c r="L353" s="711"/>
      <c r="M353" s="711"/>
      <c r="N353" s="711"/>
      <c r="O353" s="711"/>
      <c r="P353" s="701"/>
      <c r="Q353" s="712"/>
    </row>
    <row r="354" spans="1:17" ht="14.4" customHeight="1" x14ac:dyDescent="0.3">
      <c r="A354" s="695" t="s">
        <v>556</v>
      </c>
      <c r="B354" s="696" t="s">
        <v>3783</v>
      </c>
      <c r="C354" s="696" t="s">
        <v>3620</v>
      </c>
      <c r="D354" s="696" t="s">
        <v>4196</v>
      </c>
      <c r="E354" s="696" t="s">
        <v>4197</v>
      </c>
      <c r="F354" s="711"/>
      <c r="G354" s="711"/>
      <c r="H354" s="711"/>
      <c r="I354" s="711"/>
      <c r="J354" s="711"/>
      <c r="K354" s="711"/>
      <c r="L354" s="711"/>
      <c r="M354" s="711"/>
      <c r="N354" s="711">
        <v>5</v>
      </c>
      <c r="O354" s="711">
        <v>6812.5</v>
      </c>
      <c r="P354" s="701"/>
      <c r="Q354" s="712">
        <v>1362.5</v>
      </c>
    </row>
    <row r="355" spans="1:17" ht="14.4" customHeight="1" x14ac:dyDescent="0.3">
      <c r="A355" s="695" t="s">
        <v>556</v>
      </c>
      <c r="B355" s="696" t="s">
        <v>3783</v>
      </c>
      <c r="C355" s="696" t="s">
        <v>3620</v>
      </c>
      <c r="D355" s="696" t="s">
        <v>3621</v>
      </c>
      <c r="E355" s="696" t="s">
        <v>3584</v>
      </c>
      <c r="F355" s="711">
        <v>37</v>
      </c>
      <c r="G355" s="711">
        <v>2590</v>
      </c>
      <c r="H355" s="711">
        <v>1</v>
      </c>
      <c r="I355" s="711">
        <v>70</v>
      </c>
      <c r="J355" s="711">
        <v>46</v>
      </c>
      <c r="K355" s="711">
        <v>3220</v>
      </c>
      <c r="L355" s="711">
        <v>1.2432432432432432</v>
      </c>
      <c r="M355" s="711">
        <v>70</v>
      </c>
      <c r="N355" s="711">
        <v>1</v>
      </c>
      <c r="O355" s="711">
        <v>70</v>
      </c>
      <c r="P355" s="701">
        <v>2.7027027027027029E-2</v>
      </c>
      <c r="Q355" s="712">
        <v>70</v>
      </c>
    </row>
    <row r="356" spans="1:17" ht="14.4" customHeight="1" x14ac:dyDescent="0.3">
      <c r="A356" s="695" t="s">
        <v>556</v>
      </c>
      <c r="B356" s="696" t="s">
        <v>3783</v>
      </c>
      <c r="C356" s="696" t="s">
        <v>3620</v>
      </c>
      <c r="D356" s="696" t="s">
        <v>3623</v>
      </c>
      <c r="E356" s="696" t="s">
        <v>3584</v>
      </c>
      <c r="F356" s="711">
        <v>7</v>
      </c>
      <c r="G356" s="711">
        <v>525</v>
      </c>
      <c r="H356" s="711">
        <v>1</v>
      </c>
      <c r="I356" s="711">
        <v>75</v>
      </c>
      <c r="J356" s="711">
        <v>11</v>
      </c>
      <c r="K356" s="711">
        <v>825</v>
      </c>
      <c r="L356" s="711">
        <v>1.5714285714285714</v>
      </c>
      <c r="M356" s="711">
        <v>75</v>
      </c>
      <c r="N356" s="711"/>
      <c r="O356" s="711"/>
      <c r="P356" s="701"/>
      <c r="Q356" s="712"/>
    </row>
    <row r="357" spans="1:17" ht="14.4" customHeight="1" x14ac:dyDescent="0.3">
      <c r="A357" s="695" t="s">
        <v>556</v>
      </c>
      <c r="B357" s="696" t="s">
        <v>3783</v>
      </c>
      <c r="C357" s="696" t="s">
        <v>3620</v>
      </c>
      <c r="D357" s="696" t="s">
        <v>3625</v>
      </c>
      <c r="E357" s="696" t="s">
        <v>3584</v>
      </c>
      <c r="F357" s="711">
        <v>26</v>
      </c>
      <c r="G357" s="711">
        <v>3822</v>
      </c>
      <c r="H357" s="711">
        <v>1</v>
      </c>
      <c r="I357" s="711">
        <v>147</v>
      </c>
      <c r="J357" s="711">
        <v>28</v>
      </c>
      <c r="K357" s="711">
        <v>4116</v>
      </c>
      <c r="L357" s="711">
        <v>1.0769230769230769</v>
      </c>
      <c r="M357" s="711">
        <v>147</v>
      </c>
      <c r="N357" s="711"/>
      <c r="O357" s="711"/>
      <c r="P357" s="701"/>
      <c r="Q357" s="712"/>
    </row>
    <row r="358" spans="1:17" ht="14.4" customHeight="1" x14ac:dyDescent="0.3">
      <c r="A358" s="695" t="s">
        <v>556</v>
      </c>
      <c r="B358" s="696" t="s">
        <v>3783</v>
      </c>
      <c r="C358" s="696" t="s">
        <v>3620</v>
      </c>
      <c r="D358" s="696" t="s">
        <v>3627</v>
      </c>
      <c r="E358" s="696" t="s">
        <v>3584</v>
      </c>
      <c r="F358" s="711">
        <v>2</v>
      </c>
      <c r="G358" s="711">
        <v>374</v>
      </c>
      <c r="H358" s="711">
        <v>1</v>
      </c>
      <c r="I358" s="711">
        <v>187</v>
      </c>
      <c r="J358" s="711">
        <v>2</v>
      </c>
      <c r="K358" s="711">
        <v>374</v>
      </c>
      <c r="L358" s="711">
        <v>1</v>
      </c>
      <c r="M358" s="711">
        <v>187</v>
      </c>
      <c r="N358" s="711"/>
      <c r="O358" s="711"/>
      <c r="P358" s="701"/>
      <c r="Q358" s="712"/>
    </row>
    <row r="359" spans="1:17" ht="14.4" customHeight="1" x14ac:dyDescent="0.3">
      <c r="A359" s="695" t="s">
        <v>556</v>
      </c>
      <c r="B359" s="696" t="s">
        <v>3783</v>
      </c>
      <c r="C359" s="696" t="s">
        <v>3620</v>
      </c>
      <c r="D359" s="696" t="s">
        <v>3629</v>
      </c>
      <c r="E359" s="696" t="s">
        <v>3584</v>
      </c>
      <c r="F359" s="711">
        <v>41</v>
      </c>
      <c r="G359" s="711">
        <v>6109</v>
      </c>
      <c r="H359" s="711">
        <v>1</v>
      </c>
      <c r="I359" s="711">
        <v>149</v>
      </c>
      <c r="J359" s="711">
        <v>43</v>
      </c>
      <c r="K359" s="711">
        <v>6407</v>
      </c>
      <c r="L359" s="711">
        <v>1.0487804878048781</v>
      </c>
      <c r="M359" s="711">
        <v>149</v>
      </c>
      <c r="N359" s="711">
        <v>1</v>
      </c>
      <c r="O359" s="711">
        <v>149</v>
      </c>
      <c r="P359" s="701">
        <v>2.4390243902439025E-2</v>
      </c>
      <c r="Q359" s="712">
        <v>149</v>
      </c>
    </row>
    <row r="360" spans="1:17" ht="14.4" customHeight="1" x14ac:dyDescent="0.3">
      <c r="A360" s="695" t="s">
        <v>556</v>
      </c>
      <c r="B360" s="696" t="s">
        <v>3783</v>
      </c>
      <c r="C360" s="696" t="s">
        <v>3620</v>
      </c>
      <c r="D360" s="696" t="s">
        <v>3631</v>
      </c>
      <c r="E360" s="696" t="s">
        <v>3584</v>
      </c>
      <c r="F360" s="711">
        <v>1</v>
      </c>
      <c r="G360" s="711">
        <v>194</v>
      </c>
      <c r="H360" s="711">
        <v>1</v>
      </c>
      <c r="I360" s="711">
        <v>194</v>
      </c>
      <c r="J360" s="711">
        <v>4</v>
      </c>
      <c r="K360" s="711">
        <v>776</v>
      </c>
      <c r="L360" s="711">
        <v>4</v>
      </c>
      <c r="M360" s="711">
        <v>194</v>
      </c>
      <c r="N360" s="711">
        <v>1</v>
      </c>
      <c r="O360" s="711">
        <v>194</v>
      </c>
      <c r="P360" s="701">
        <v>1</v>
      </c>
      <c r="Q360" s="712">
        <v>194</v>
      </c>
    </row>
    <row r="361" spans="1:17" ht="14.4" customHeight="1" x14ac:dyDescent="0.3">
      <c r="A361" s="695" t="s">
        <v>556</v>
      </c>
      <c r="B361" s="696" t="s">
        <v>3783</v>
      </c>
      <c r="C361" s="696" t="s">
        <v>3620</v>
      </c>
      <c r="D361" s="696" t="s">
        <v>3633</v>
      </c>
      <c r="E361" s="696" t="s">
        <v>3584</v>
      </c>
      <c r="F361" s="711">
        <v>10</v>
      </c>
      <c r="G361" s="711">
        <v>2470</v>
      </c>
      <c r="H361" s="711">
        <v>1</v>
      </c>
      <c r="I361" s="711">
        <v>247</v>
      </c>
      <c r="J361" s="711">
        <v>4</v>
      </c>
      <c r="K361" s="711">
        <v>988</v>
      </c>
      <c r="L361" s="711">
        <v>0.4</v>
      </c>
      <c r="M361" s="711">
        <v>247</v>
      </c>
      <c r="N361" s="711">
        <v>0</v>
      </c>
      <c r="O361" s="711">
        <v>0</v>
      </c>
      <c r="P361" s="701">
        <v>0</v>
      </c>
      <c r="Q361" s="712"/>
    </row>
    <row r="362" spans="1:17" ht="14.4" customHeight="1" x14ac:dyDescent="0.3">
      <c r="A362" s="695" t="s">
        <v>556</v>
      </c>
      <c r="B362" s="696" t="s">
        <v>3783</v>
      </c>
      <c r="C362" s="696" t="s">
        <v>3620</v>
      </c>
      <c r="D362" s="696" t="s">
        <v>3635</v>
      </c>
      <c r="E362" s="696" t="s">
        <v>3584</v>
      </c>
      <c r="F362" s="711"/>
      <c r="G362" s="711"/>
      <c r="H362" s="711"/>
      <c r="I362" s="711"/>
      <c r="J362" s="711">
        <v>4</v>
      </c>
      <c r="K362" s="711">
        <v>1160</v>
      </c>
      <c r="L362" s="711"/>
      <c r="M362" s="711">
        <v>290</v>
      </c>
      <c r="N362" s="711"/>
      <c r="O362" s="711"/>
      <c r="P362" s="701"/>
      <c r="Q362" s="712"/>
    </row>
    <row r="363" spans="1:17" ht="14.4" customHeight="1" x14ac:dyDescent="0.3">
      <c r="A363" s="695" t="s">
        <v>556</v>
      </c>
      <c r="B363" s="696" t="s">
        <v>3783</v>
      </c>
      <c r="C363" s="696" t="s">
        <v>3620</v>
      </c>
      <c r="D363" s="696" t="s">
        <v>4198</v>
      </c>
      <c r="E363" s="696" t="s">
        <v>4199</v>
      </c>
      <c r="F363" s="711">
        <v>1</v>
      </c>
      <c r="G363" s="711">
        <v>6968.51</v>
      </c>
      <c r="H363" s="711">
        <v>1</v>
      </c>
      <c r="I363" s="711">
        <v>6968.51</v>
      </c>
      <c r="J363" s="711"/>
      <c r="K363" s="711"/>
      <c r="L363" s="711"/>
      <c r="M363" s="711"/>
      <c r="N363" s="711"/>
      <c r="O363" s="711"/>
      <c r="P363" s="701"/>
      <c r="Q363" s="712"/>
    </row>
    <row r="364" spans="1:17" ht="14.4" customHeight="1" x14ac:dyDescent="0.3">
      <c r="A364" s="695" t="s">
        <v>556</v>
      </c>
      <c r="B364" s="696" t="s">
        <v>3783</v>
      </c>
      <c r="C364" s="696" t="s">
        <v>3620</v>
      </c>
      <c r="D364" s="696" t="s">
        <v>4200</v>
      </c>
      <c r="E364" s="696" t="s">
        <v>4199</v>
      </c>
      <c r="F364" s="711">
        <v>1</v>
      </c>
      <c r="G364" s="711">
        <v>8342.73</v>
      </c>
      <c r="H364" s="711">
        <v>1</v>
      </c>
      <c r="I364" s="711">
        <v>8342.73</v>
      </c>
      <c r="J364" s="711"/>
      <c r="K364" s="711"/>
      <c r="L364" s="711"/>
      <c r="M364" s="711"/>
      <c r="N364" s="711"/>
      <c r="O364" s="711"/>
      <c r="P364" s="701"/>
      <c r="Q364" s="712"/>
    </row>
    <row r="365" spans="1:17" ht="14.4" customHeight="1" x14ac:dyDescent="0.3">
      <c r="A365" s="695" t="s">
        <v>556</v>
      </c>
      <c r="B365" s="696" t="s">
        <v>3783</v>
      </c>
      <c r="C365" s="696" t="s">
        <v>3620</v>
      </c>
      <c r="D365" s="696" t="s">
        <v>4201</v>
      </c>
      <c r="E365" s="696" t="s">
        <v>4202</v>
      </c>
      <c r="F365" s="711">
        <v>2</v>
      </c>
      <c r="G365" s="711">
        <v>20169.7</v>
      </c>
      <c r="H365" s="711">
        <v>1</v>
      </c>
      <c r="I365" s="711">
        <v>10084.85</v>
      </c>
      <c r="J365" s="711"/>
      <c r="K365" s="711"/>
      <c r="L365" s="711"/>
      <c r="M365" s="711"/>
      <c r="N365" s="711">
        <v>1</v>
      </c>
      <c r="O365" s="711">
        <v>10084.85</v>
      </c>
      <c r="P365" s="701">
        <v>0.5</v>
      </c>
      <c r="Q365" s="712">
        <v>10084.85</v>
      </c>
    </row>
    <row r="366" spans="1:17" ht="14.4" customHeight="1" x14ac:dyDescent="0.3">
      <c r="A366" s="695" t="s">
        <v>556</v>
      </c>
      <c r="B366" s="696" t="s">
        <v>3783</v>
      </c>
      <c r="C366" s="696" t="s">
        <v>3620</v>
      </c>
      <c r="D366" s="696" t="s">
        <v>4203</v>
      </c>
      <c r="E366" s="696" t="s">
        <v>4204</v>
      </c>
      <c r="F366" s="711">
        <v>1</v>
      </c>
      <c r="G366" s="711">
        <v>11384.45</v>
      </c>
      <c r="H366" s="711">
        <v>1</v>
      </c>
      <c r="I366" s="711">
        <v>11384.45</v>
      </c>
      <c r="J366" s="711">
        <v>2</v>
      </c>
      <c r="K366" s="711">
        <v>22768.9</v>
      </c>
      <c r="L366" s="711">
        <v>2</v>
      </c>
      <c r="M366" s="711">
        <v>11384.45</v>
      </c>
      <c r="N366" s="711">
        <v>4</v>
      </c>
      <c r="O366" s="711">
        <v>45537.8</v>
      </c>
      <c r="P366" s="701">
        <v>4</v>
      </c>
      <c r="Q366" s="712">
        <v>11384.45</v>
      </c>
    </row>
    <row r="367" spans="1:17" ht="14.4" customHeight="1" x14ac:dyDescent="0.3">
      <c r="A367" s="695" t="s">
        <v>556</v>
      </c>
      <c r="B367" s="696" t="s">
        <v>3783</v>
      </c>
      <c r="C367" s="696" t="s">
        <v>3620</v>
      </c>
      <c r="D367" s="696" t="s">
        <v>4205</v>
      </c>
      <c r="E367" s="696" t="s">
        <v>4204</v>
      </c>
      <c r="F367" s="711"/>
      <c r="G367" s="711"/>
      <c r="H367" s="711"/>
      <c r="I367" s="711"/>
      <c r="J367" s="711">
        <v>3</v>
      </c>
      <c r="K367" s="711">
        <v>30960.33</v>
      </c>
      <c r="L367" s="711"/>
      <c r="M367" s="711">
        <v>10320.11</v>
      </c>
      <c r="N367" s="711">
        <v>1</v>
      </c>
      <c r="O367" s="711">
        <v>10320.11</v>
      </c>
      <c r="P367" s="701"/>
      <c r="Q367" s="712">
        <v>10320.11</v>
      </c>
    </row>
    <row r="368" spans="1:17" ht="14.4" customHeight="1" x14ac:dyDescent="0.3">
      <c r="A368" s="695" t="s">
        <v>556</v>
      </c>
      <c r="B368" s="696" t="s">
        <v>3783</v>
      </c>
      <c r="C368" s="696" t="s">
        <v>3620</v>
      </c>
      <c r="D368" s="696" t="s">
        <v>4206</v>
      </c>
      <c r="E368" s="696" t="s">
        <v>4207</v>
      </c>
      <c r="F368" s="711"/>
      <c r="G368" s="711"/>
      <c r="H368" s="711"/>
      <c r="I368" s="711"/>
      <c r="J368" s="711">
        <v>1</v>
      </c>
      <c r="K368" s="711">
        <v>9736.64</v>
      </c>
      <c r="L368" s="711"/>
      <c r="M368" s="711">
        <v>9736.64</v>
      </c>
      <c r="N368" s="711">
        <v>1</v>
      </c>
      <c r="O368" s="711">
        <v>9736.64</v>
      </c>
      <c r="P368" s="701"/>
      <c r="Q368" s="712">
        <v>9736.64</v>
      </c>
    </row>
    <row r="369" spans="1:17" ht="14.4" customHeight="1" x14ac:dyDescent="0.3">
      <c r="A369" s="695" t="s">
        <v>556</v>
      </c>
      <c r="B369" s="696" t="s">
        <v>3783</v>
      </c>
      <c r="C369" s="696" t="s">
        <v>3620</v>
      </c>
      <c r="D369" s="696" t="s">
        <v>4208</v>
      </c>
      <c r="E369" s="696" t="s">
        <v>4209</v>
      </c>
      <c r="F369" s="711"/>
      <c r="G369" s="711"/>
      <c r="H369" s="711"/>
      <c r="I369" s="711"/>
      <c r="J369" s="711">
        <v>1</v>
      </c>
      <c r="K369" s="711">
        <v>10257.93</v>
      </c>
      <c r="L369" s="711"/>
      <c r="M369" s="711">
        <v>10257.93</v>
      </c>
      <c r="N369" s="711"/>
      <c r="O369" s="711"/>
      <c r="P369" s="701"/>
      <c r="Q369" s="712"/>
    </row>
    <row r="370" spans="1:17" ht="14.4" customHeight="1" x14ac:dyDescent="0.3">
      <c r="A370" s="695" t="s">
        <v>556</v>
      </c>
      <c r="B370" s="696" t="s">
        <v>3783</v>
      </c>
      <c r="C370" s="696" t="s">
        <v>3620</v>
      </c>
      <c r="D370" s="696" t="s">
        <v>4210</v>
      </c>
      <c r="E370" s="696" t="s">
        <v>4211</v>
      </c>
      <c r="F370" s="711">
        <v>44</v>
      </c>
      <c r="G370" s="711">
        <v>52885</v>
      </c>
      <c r="H370" s="711">
        <v>1</v>
      </c>
      <c r="I370" s="711">
        <v>1201.9318181818182</v>
      </c>
      <c r="J370" s="711">
        <v>8</v>
      </c>
      <c r="K370" s="711">
        <v>9936</v>
      </c>
      <c r="L370" s="711">
        <v>0.18787936087737545</v>
      </c>
      <c r="M370" s="711">
        <v>1242</v>
      </c>
      <c r="N370" s="711">
        <v>6</v>
      </c>
      <c r="O370" s="711">
        <v>7452</v>
      </c>
      <c r="P370" s="701">
        <v>0.14090952065803158</v>
      </c>
      <c r="Q370" s="712">
        <v>1242</v>
      </c>
    </row>
    <row r="371" spans="1:17" ht="14.4" customHeight="1" x14ac:dyDescent="0.3">
      <c r="A371" s="695" t="s">
        <v>556</v>
      </c>
      <c r="B371" s="696" t="s">
        <v>3783</v>
      </c>
      <c r="C371" s="696" t="s">
        <v>3620</v>
      </c>
      <c r="D371" s="696" t="s">
        <v>4212</v>
      </c>
      <c r="E371" s="696" t="s">
        <v>4213</v>
      </c>
      <c r="F371" s="711">
        <v>9</v>
      </c>
      <c r="G371" s="711">
        <v>11772</v>
      </c>
      <c r="H371" s="711">
        <v>1</v>
      </c>
      <c r="I371" s="711">
        <v>1308</v>
      </c>
      <c r="J371" s="711">
        <v>1</v>
      </c>
      <c r="K371" s="711">
        <v>1355</v>
      </c>
      <c r="L371" s="711">
        <v>0.11510363574583758</v>
      </c>
      <c r="M371" s="711">
        <v>1355</v>
      </c>
      <c r="N371" s="711">
        <v>2</v>
      </c>
      <c r="O371" s="711">
        <v>2710</v>
      </c>
      <c r="P371" s="701">
        <v>0.23020727149167516</v>
      </c>
      <c r="Q371" s="712">
        <v>1355</v>
      </c>
    </row>
    <row r="372" spans="1:17" ht="14.4" customHeight="1" x14ac:dyDescent="0.3">
      <c r="A372" s="695" t="s">
        <v>556</v>
      </c>
      <c r="B372" s="696" t="s">
        <v>3783</v>
      </c>
      <c r="C372" s="696" t="s">
        <v>3620</v>
      </c>
      <c r="D372" s="696" t="s">
        <v>4214</v>
      </c>
      <c r="E372" s="696" t="s">
        <v>4215</v>
      </c>
      <c r="F372" s="711">
        <v>1</v>
      </c>
      <c r="G372" s="711">
        <v>5891.8</v>
      </c>
      <c r="H372" s="711">
        <v>1</v>
      </c>
      <c r="I372" s="711">
        <v>5891.8</v>
      </c>
      <c r="J372" s="711"/>
      <c r="K372" s="711"/>
      <c r="L372" s="711"/>
      <c r="M372" s="711"/>
      <c r="N372" s="711">
        <v>2</v>
      </c>
      <c r="O372" s="711">
        <v>12212.1</v>
      </c>
      <c r="P372" s="701">
        <v>2.0727281985131878</v>
      </c>
      <c r="Q372" s="712">
        <v>6106.05</v>
      </c>
    </row>
    <row r="373" spans="1:17" ht="14.4" customHeight="1" x14ac:dyDescent="0.3">
      <c r="A373" s="695" t="s">
        <v>556</v>
      </c>
      <c r="B373" s="696" t="s">
        <v>3783</v>
      </c>
      <c r="C373" s="696" t="s">
        <v>3620</v>
      </c>
      <c r="D373" s="696" t="s">
        <v>4216</v>
      </c>
      <c r="E373" s="696" t="s">
        <v>4217</v>
      </c>
      <c r="F373" s="711">
        <v>4</v>
      </c>
      <c r="G373" s="711">
        <v>4763.12</v>
      </c>
      <c r="H373" s="711">
        <v>1</v>
      </c>
      <c r="I373" s="711">
        <v>1190.78</v>
      </c>
      <c r="J373" s="711">
        <v>4</v>
      </c>
      <c r="K373" s="711">
        <v>4763.12</v>
      </c>
      <c r="L373" s="711">
        <v>1</v>
      </c>
      <c r="M373" s="711">
        <v>1190.78</v>
      </c>
      <c r="N373" s="711">
        <v>10</v>
      </c>
      <c r="O373" s="711">
        <v>11907.8</v>
      </c>
      <c r="P373" s="701">
        <v>2.5</v>
      </c>
      <c r="Q373" s="712">
        <v>1190.78</v>
      </c>
    </row>
    <row r="374" spans="1:17" ht="14.4" customHeight="1" x14ac:dyDescent="0.3">
      <c r="A374" s="695" t="s">
        <v>556</v>
      </c>
      <c r="B374" s="696" t="s">
        <v>3783</v>
      </c>
      <c r="C374" s="696" t="s">
        <v>3620</v>
      </c>
      <c r="D374" s="696" t="s">
        <v>4218</v>
      </c>
      <c r="E374" s="696" t="s">
        <v>4217</v>
      </c>
      <c r="F374" s="711">
        <v>12</v>
      </c>
      <c r="G374" s="711">
        <v>14712.24</v>
      </c>
      <c r="H374" s="711">
        <v>1</v>
      </c>
      <c r="I374" s="711">
        <v>1226.02</v>
      </c>
      <c r="J374" s="711">
        <v>11</v>
      </c>
      <c r="K374" s="711">
        <v>13486.22</v>
      </c>
      <c r="L374" s="711">
        <v>0.91666666666666663</v>
      </c>
      <c r="M374" s="711">
        <v>1226.02</v>
      </c>
      <c r="N374" s="711">
        <v>19</v>
      </c>
      <c r="O374" s="711">
        <v>23294.379999999997</v>
      </c>
      <c r="P374" s="701">
        <v>1.5833333333333333</v>
      </c>
      <c r="Q374" s="712">
        <v>1226.0199999999998</v>
      </c>
    </row>
    <row r="375" spans="1:17" ht="14.4" customHeight="1" x14ac:dyDescent="0.3">
      <c r="A375" s="695" t="s">
        <v>556</v>
      </c>
      <c r="B375" s="696" t="s">
        <v>3783</v>
      </c>
      <c r="C375" s="696" t="s">
        <v>3620</v>
      </c>
      <c r="D375" s="696" t="s">
        <v>4219</v>
      </c>
      <c r="E375" s="696" t="s">
        <v>4217</v>
      </c>
      <c r="F375" s="711">
        <v>3</v>
      </c>
      <c r="G375" s="711">
        <v>3771.33</v>
      </c>
      <c r="H375" s="711">
        <v>1</v>
      </c>
      <c r="I375" s="711">
        <v>1257.1099999999999</v>
      </c>
      <c r="J375" s="711"/>
      <c r="K375" s="711"/>
      <c r="L375" s="711"/>
      <c r="M375" s="711"/>
      <c r="N375" s="711">
        <v>6</v>
      </c>
      <c r="O375" s="711">
        <v>7542.66</v>
      </c>
      <c r="P375" s="701">
        <v>2</v>
      </c>
      <c r="Q375" s="712">
        <v>1257.1099999999999</v>
      </c>
    </row>
    <row r="376" spans="1:17" ht="14.4" customHeight="1" x14ac:dyDescent="0.3">
      <c r="A376" s="695" t="s">
        <v>556</v>
      </c>
      <c r="B376" s="696" t="s">
        <v>3783</v>
      </c>
      <c r="C376" s="696" t="s">
        <v>3620</v>
      </c>
      <c r="D376" s="696" t="s">
        <v>4220</v>
      </c>
      <c r="E376" s="696" t="s">
        <v>4221</v>
      </c>
      <c r="F376" s="711">
        <v>1</v>
      </c>
      <c r="G376" s="711">
        <v>8509.9</v>
      </c>
      <c r="H376" s="711">
        <v>1</v>
      </c>
      <c r="I376" s="711">
        <v>8509.9</v>
      </c>
      <c r="J376" s="711"/>
      <c r="K376" s="711"/>
      <c r="L376" s="711"/>
      <c r="M376" s="711"/>
      <c r="N376" s="711"/>
      <c r="O376" s="711"/>
      <c r="P376" s="701"/>
      <c r="Q376" s="712"/>
    </row>
    <row r="377" spans="1:17" ht="14.4" customHeight="1" x14ac:dyDescent="0.3">
      <c r="A377" s="695" t="s">
        <v>556</v>
      </c>
      <c r="B377" s="696" t="s">
        <v>3783</v>
      </c>
      <c r="C377" s="696" t="s">
        <v>3620</v>
      </c>
      <c r="D377" s="696" t="s">
        <v>4222</v>
      </c>
      <c r="E377" s="696" t="s">
        <v>4223</v>
      </c>
      <c r="F377" s="711">
        <v>4</v>
      </c>
      <c r="G377" s="711">
        <v>3207.6</v>
      </c>
      <c r="H377" s="711">
        <v>1</v>
      </c>
      <c r="I377" s="711">
        <v>801.9</v>
      </c>
      <c r="J377" s="711"/>
      <c r="K377" s="711"/>
      <c r="L377" s="711"/>
      <c r="M377" s="711"/>
      <c r="N377" s="711"/>
      <c r="O377" s="711"/>
      <c r="P377" s="701"/>
      <c r="Q377" s="712"/>
    </row>
    <row r="378" spans="1:17" ht="14.4" customHeight="1" x14ac:dyDescent="0.3">
      <c r="A378" s="695" t="s">
        <v>556</v>
      </c>
      <c r="B378" s="696" t="s">
        <v>3783</v>
      </c>
      <c r="C378" s="696" t="s">
        <v>3620</v>
      </c>
      <c r="D378" s="696" t="s">
        <v>4224</v>
      </c>
      <c r="E378" s="696" t="s">
        <v>4223</v>
      </c>
      <c r="F378" s="711">
        <v>6</v>
      </c>
      <c r="G378" s="711">
        <v>5081.3999999999996</v>
      </c>
      <c r="H378" s="711">
        <v>1</v>
      </c>
      <c r="I378" s="711">
        <v>846.9</v>
      </c>
      <c r="J378" s="711"/>
      <c r="K378" s="711"/>
      <c r="L378" s="711"/>
      <c r="M378" s="711"/>
      <c r="N378" s="711">
        <v>5</v>
      </c>
      <c r="O378" s="711">
        <v>4388.5</v>
      </c>
      <c r="P378" s="701">
        <v>0.86363994174833714</v>
      </c>
      <c r="Q378" s="712">
        <v>877.7</v>
      </c>
    </row>
    <row r="379" spans="1:17" ht="14.4" customHeight="1" x14ac:dyDescent="0.3">
      <c r="A379" s="695" t="s">
        <v>556</v>
      </c>
      <c r="B379" s="696" t="s">
        <v>3783</v>
      </c>
      <c r="C379" s="696" t="s">
        <v>3620</v>
      </c>
      <c r="D379" s="696" t="s">
        <v>4225</v>
      </c>
      <c r="E379" s="696" t="s">
        <v>4226</v>
      </c>
      <c r="F379" s="711">
        <v>1</v>
      </c>
      <c r="G379" s="711">
        <v>6230</v>
      </c>
      <c r="H379" s="711">
        <v>1</v>
      </c>
      <c r="I379" s="711">
        <v>6230</v>
      </c>
      <c r="J379" s="711">
        <v>2</v>
      </c>
      <c r="K379" s="711">
        <v>12460</v>
      </c>
      <c r="L379" s="711">
        <v>2</v>
      </c>
      <c r="M379" s="711">
        <v>6230</v>
      </c>
      <c r="N379" s="711"/>
      <c r="O379" s="711"/>
      <c r="P379" s="701"/>
      <c r="Q379" s="712"/>
    </row>
    <row r="380" spans="1:17" ht="14.4" customHeight="1" x14ac:dyDescent="0.3">
      <c r="A380" s="695" t="s">
        <v>556</v>
      </c>
      <c r="B380" s="696" t="s">
        <v>3783</v>
      </c>
      <c r="C380" s="696" t="s">
        <v>3620</v>
      </c>
      <c r="D380" s="696" t="s">
        <v>4227</v>
      </c>
      <c r="E380" s="696" t="s">
        <v>4228</v>
      </c>
      <c r="F380" s="711">
        <v>2</v>
      </c>
      <c r="G380" s="711">
        <v>11047.64</v>
      </c>
      <c r="H380" s="711">
        <v>1</v>
      </c>
      <c r="I380" s="711">
        <v>5523.82</v>
      </c>
      <c r="J380" s="711">
        <v>1</v>
      </c>
      <c r="K380" s="711">
        <v>5523.82</v>
      </c>
      <c r="L380" s="711">
        <v>0.5</v>
      </c>
      <c r="M380" s="711">
        <v>5523.82</v>
      </c>
      <c r="N380" s="711"/>
      <c r="O380" s="711"/>
      <c r="P380" s="701"/>
      <c r="Q380" s="712"/>
    </row>
    <row r="381" spans="1:17" ht="14.4" customHeight="1" x14ac:dyDescent="0.3">
      <c r="A381" s="695" t="s">
        <v>556</v>
      </c>
      <c r="B381" s="696" t="s">
        <v>3783</v>
      </c>
      <c r="C381" s="696" t="s">
        <v>3620</v>
      </c>
      <c r="D381" s="696" t="s">
        <v>4229</v>
      </c>
      <c r="E381" s="696" t="s">
        <v>4228</v>
      </c>
      <c r="F381" s="711">
        <v>5</v>
      </c>
      <c r="G381" s="711">
        <v>56181.25</v>
      </c>
      <c r="H381" s="711">
        <v>1</v>
      </c>
      <c r="I381" s="711">
        <v>11236.25</v>
      </c>
      <c r="J381" s="711"/>
      <c r="K381" s="711"/>
      <c r="L381" s="711"/>
      <c r="M381" s="711"/>
      <c r="N381" s="711">
        <v>4</v>
      </c>
      <c r="O381" s="711">
        <v>44945</v>
      </c>
      <c r="P381" s="701">
        <v>0.8</v>
      </c>
      <c r="Q381" s="712">
        <v>11236.25</v>
      </c>
    </row>
    <row r="382" spans="1:17" ht="14.4" customHeight="1" x14ac:dyDescent="0.3">
      <c r="A382" s="695" t="s">
        <v>556</v>
      </c>
      <c r="B382" s="696" t="s">
        <v>3783</v>
      </c>
      <c r="C382" s="696" t="s">
        <v>3620</v>
      </c>
      <c r="D382" s="696" t="s">
        <v>4230</v>
      </c>
      <c r="E382" s="696" t="s">
        <v>4231</v>
      </c>
      <c r="F382" s="711"/>
      <c r="G382" s="711"/>
      <c r="H382" s="711"/>
      <c r="I382" s="711"/>
      <c r="J382" s="711">
        <v>3</v>
      </c>
      <c r="K382" s="711">
        <v>62150.729999999996</v>
      </c>
      <c r="L382" s="711"/>
      <c r="M382" s="711">
        <v>20716.91</v>
      </c>
      <c r="N382" s="711">
        <v>2</v>
      </c>
      <c r="O382" s="711">
        <v>41433.82</v>
      </c>
      <c r="P382" s="701"/>
      <c r="Q382" s="712">
        <v>20716.91</v>
      </c>
    </row>
    <row r="383" spans="1:17" ht="14.4" customHeight="1" x14ac:dyDescent="0.3">
      <c r="A383" s="695" t="s">
        <v>556</v>
      </c>
      <c r="B383" s="696" t="s">
        <v>3783</v>
      </c>
      <c r="C383" s="696" t="s">
        <v>3620</v>
      </c>
      <c r="D383" s="696" t="s">
        <v>4232</v>
      </c>
      <c r="E383" s="696" t="s">
        <v>4233</v>
      </c>
      <c r="F383" s="711"/>
      <c r="G383" s="711"/>
      <c r="H383" s="711"/>
      <c r="I383" s="711"/>
      <c r="J383" s="711">
        <v>1</v>
      </c>
      <c r="K383" s="711">
        <v>11132.62</v>
      </c>
      <c r="L383" s="711"/>
      <c r="M383" s="711">
        <v>11132.62</v>
      </c>
      <c r="N383" s="711">
        <v>1</v>
      </c>
      <c r="O383" s="711">
        <v>11132.62</v>
      </c>
      <c r="P383" s="701"/>
      <c r="Q383" s="712">
        <v>11132.62</v>
      </c>
    </row>
    <row r="384" spans="1:17" ht="14.4" customHeight="1" x14ac:dyDescent="0.3">
      <c r="A384" s="695" t="s">
        <v>556</v>
      </c>
      <c r="B384" s="696" t="s">
        <v>3783</v>
      </c>
      <c r="C384" s="696" t="s">
        <v>3620</v>
      </c>
      <c r="D384" s="696" t="s">
        <v>4234</v>
      </c>
      <c r="E384" s="696" t="s">
        <v>4235</v>
      </c>
      <c r="F384" s="711"/>
      <c r="G384" s="711"/>
      <c r="H384" s="711"/>
      <c r="I384" s="711"/>
      <c r="J384" s="711"/>
      <c r="K384" s="711"/>
      <c r="L384" s="711"/>
      <c r="M384" s="711"/>
      <c r="N384" s="711">
        <v>1</v>
      </c>
      <c r="O384" s="711">
        <v>5147</v>
      </c>
      <c r="P384" s="701"/>
      <c r="Q384" s="712">
        <v>5147</v>
      </c>
    </row>
    <row r="385" spans="1:17" ht="14.4" customHeight="1" x14ac:dyDescent="0.3">
      <c r="A385" s="695" t="s">
        <v>556</v>
      </c>
      <c r="B385" s="696" t="s">
        <v>3783</v>
      </c>
      <c r="C385" s="696" t="s">
        <v>3620</v>
      </c>
      <c r="D385" s="696" t="s">
        <v>4236</v>
      </c>
      <c r="E385" s="696" t="s">
        <v>4004</v>
      </c>
      <c r="F385" s="711">
        <v>1</v>
      </c>
      <c r="G385" s="711">
        <v>4142.3500000000004</v>
      </c>
      <c r="H385" s="711">
        <v>1</v>
      </c>
      <c r="I385" s="711">
        <v>4142.3500000000004</v>
      </c>
      <c r="J385" s="711">
        <v>1</v>
      </c>
      <c r="K385" s="711">
        <v>4142.3500000000004</v>
      </c>
      <c r="L385" s="711">
        <v>1</v>
      </c>
      <c r="M385" s="711">
        <v>4142.3500000000004</v>
      </c>
      <c r="N385" s="711"/>
      <c r="O385" s="711"/>
      <c r="P385" s="701"/>
      <c r="Q385" s="712"/>
    </row>
    <row r="386" spans="1:17" ht="14.4" customHeight="1" x14ac:dyDescent="0.3">
      <c r="A386" s="695" t="s">
        <v>556</v>
      </c>
      <c r="B386" s="696" t="s">
        <v>3783</v>
      </c>
      <c r="C386" s="696" t="s">
        <v>3620</v>
      </c>
      <c r="D386" s="696" t="s">
        <v>4237</v>
      </c>
      <c r="E386" s="696" t="s">
        <v>4238</v>
      </c>
      <c r="F386" s="711">
        <v>3</v>
      </c>
      <c r="G386" s="711">
        <v>34713</v>
      </c>
      <c r="H386" s="711">
        <v>1</v>
      </c>
      <c r="I386" s="711">
        <v>11571</v>
      </c>
      <c r="J386" s="711">
        <v>2</v>
      </c>
      <c r="K386" s="711">
        <v>23142</v>
      </c>
      <c r="L386" s="711">
        <v>0.66666666666666663</v>
      </c>
      <c r="M386" s="711">
        <v>11571</v>
      </c>
      <c r="N386" s="711">
        <v>1</v>
      </c>
      <c r="O386" s="711">
        <v>11571</v>
      </c>
      <c r="P386" s="701">
        <v>0.33333333333333331</v>
      </c>
      <c r="Q386" s="712">
        <v>11571</v>
      </c>
    </row>
    <row r="387" spans="1:17" ht="14.4" customHeight="1" x14ac:dyDescent="0.3">
      <c r="A387" s="695" t="s">
        <v>556</v>
      </c>
      <c r="B387" s="696" t="s">
        <v>3783</v>
      </c>
      <c r="C387" s="696" t="s">
        <v>3620</v>
      </c>
      <c r="D387" s="696" t="s">
        <v>4239</v>
      </c>
      <c r="E387" s="696" t="s">
        <v>4023</v>
      </c>
      <c r="F387" s="711">
        <v>8</v>
      </c>
      <c r="G387" s="711">
        <v>10877.68</v>
      </c>
      <c r="H387" s="711">
        <v>1</v>
      </c>
      <c r="I387" s="711">
        <v>1359.71</v>
      </c>
      <c r="J387" s="711">
        <v>2</v>
      </c>
      <c r="K387" s="711">
        <v>2719.42</v>
      </c>
      <c r="L387" s="711">
        <v>0.25</v>
      </c>
      <c r="M387" s="711">
        <v>1359.71</v>
      </c>
      <c r="N387" s="711">
        <v>1</v>
      </c>
      <c r="O387" s="711">
        <v>1359.71</v>
      </c>
      <c r="P387" s="701">
        <v>0.125</v>
      </c>
      <c r="Q387" s="712">
        <v>1359.71</v>
      </c>
    </row>
    <row r="388" spans="1:17" ht="14.4" customHeight="1" x14ac:dyDescent="0.3">
      <c r="A388" s="695" t="s">
        <v>556</v>
      </c>
      <c r="B388" s="696" t="s">
        <v>3783</v>
      </c>
      <c r="C388" s="696" t="s">
        <v>3620</v>
      </c>
      <c r="D388" s="696" t="s">
        <v>4240</v>
      </c>
      <c r="E388" s="696" t="s">
        <v>4241</v>
      </c>
      <c r="F388" s="711"/>
      <c r="G388" s="711"/>
      <c r="H388" s="711"/>
      <c r="I388" s="711"/>
      <c r="J388" s="711">
        <v>3</v>
      </c>
      <c r="K388" s="711">
        <v>4271.88</v>
      </c>
      <c r="L388" s="711"/>
      <c r="M388" s="711">
        <v>1423.96</v>
      </c>
      <c r="N388" s="711"/>
      <c r="O388" s="711"/>
      <c r="P388" s="701"/>
      <c r="Q388" s="712"/>
    </row>
    <row r="389" spans="1:17" ht="14.4" customHeight="1" x14ac:dyDescent="0.3">
      <c r="A389" s="695" t="s">
        <v>556</v>
      </c>
      <c r="B389" s="696" t="s">
        <v>3783</v>
      </c>
      <c r="C389" s="696" t="s">
        <v>3620</v>
      </c>
      <c r="D389" s="696" t="s">
        <v>4242</v>
      </c>
      <c r="E389" s="696" t="s">
        <v>4243</v>
      </c>
      <c r="F389" s="711"/>
      <c r="G389" s="711"/>
      <c r="H389" s="711"/>
      <c r="I389" s="711"/>
      <c r="J389" s="711">
        <v>6</v>
      </c>
      <c r="K389" s="711">
        <v>1312.02</v>
      </c>
      <c r="L389" s="711"/>
      <c r="M389" s="711">
        <v>218.67</v>
      </c>
      <c r="N389" s="711">
        <v>3</v>
      </c>
      <c r="O389" s="711">
        <v>656.01</v>
      </c>
      <c r="P389" s="701"/>
      <c r="Q389" s="712">
        <v>218.67</v>
      </c>
    </row>
    <row r="390" spans="1:17" ht="14.4" customHeight="1" x14ac:dyDescent="0.3">
      <c r="A390" s="695" t="s">
        <v>556</v>
      </c>
      <c r="B390" s="696" t="s">
        <v>3783</v>
      </c>
      <c r="C390" s="696" t="s">
        <v>3620</v>
      </c>
      <c r="D390" s="696" t="s">
        <v>4244</v>
      </c>
      <c r="E390" s="696" t="s">
        <v>3789</v>
      </c>
      <c r="F390" s="711"/>
      <c r="G390" s="711"/>
      <c r="H390" s="711"/>
      <c r="I390" s="711"/>
      <c r="J390" s="711">
        <v>2</v>
      </c>
      <c r="K390" s="711">
        <v>479.62</v>
      </c>
      <c r="L390" s="711"/>
      <c r="M390" s="711">
        <v>239.81</v>
      </c>
      <c r="N390" s="711">
        <v>2</v>
      </c>
      <c r="O390" s="711">
        <v>479.62</v>
      </c>
      <c r="P390" s="701"/>
      <c r="Q390" s="712">
        <v>239.81</v>
      </c>
    </row>
    <row r="391" spans="1:17" ht="14.4" customHeight="1" x14ac:dyDescent="0.3">
      <c r="A391" s="695" t="s">
        <v>556</v>
      </c>
      <c r="B391" s="696" t="s">
        <v>3783</v>
      </c>
      <c r="C391" s="696" t="s">
        <v>3620</v>
      </c>
      <c r="D391" s="696" t="s">
        <v>4245</v>
      </c>
      <c r="E391" s="696" t="s">
        <v>3787</v>
      </c>
      <c r="F391" s="711">
        <v>5</v>
      </c>
      <c r="G391" s="711">
        <v>8515</v>
      </c>
      <c r="H391" s="711">
        <v>1</v>
      </c>
      <c r="I391" s="711">
        <v>1703</v>
      </c>
      <c r="J391" s="711"/>
      <c r="K391" s="711"/>
      <c r="L391" s="711"/>
      <c r="M391" s="711"/>
      <c r="N391" s="711">
        <v>10</v>
      </c>
      <c r="O391" s="711">
        <v>17649.3</v>
      </c>
      <c r="P391" s="701">
        <v>2.0727304756312388</v>
      </c>
      <c r="Q391" s="712">
        <v>1764.9299999999998</v>
      </c>
    </row>
    <row r="392" spans="1:17" ht="14.4" customHeight="1" x14ac:dyDescent="0.3">
      <c r="A392" s="695" t="s">
        <v>556</v>
      </c>
      <c r="B392" s="696" t="s">
        <v>3783</v>
      </c>
      <c r="C392" s="696" t="s">
        <v>3620</v>
      </c>
      <c r="D392" s="696" t="s">
        <v>3786</v>
      </c>
      <c r="E392" s="696" t="s">
        <v>3787</v>
      </c>
      <c r="F392" s="711">
        <v>11</v>
      </c>
      <c r="G392" s="711">
        <v>18929.900000000001</v>
      </c>
      <c r="H392" s="711">
        <v>1</v>
      </c>
      <c r="I392" s="711">
        <v>1720.9</v>
      </c>
      <c r="J392" s="711">
        <v>6</v>
      </c>
      <c r="K392" s="711">
        <v>10700.880000000001</v>
      </c>
      <c r="L392" s="711">
        <v>0.56528983248722919</v>
      </c>
      <c r="M392" s="711">
        <v>1783.4800000000002</v>
      </c>
      <c r="N392" s="711">
        <v>18</v>
      </c>
      <c r="O392" s="711">
        <v>32102.639999999999</v>
      </c>
      <c r="P392" s="701">
        <v>1.6958694974616875</v>
      </c>
      <c r="Q392" s="712">
        <v>1783.48</v>
      </c>
    </row>
    <row r="393" spans="1:17" ht="14.4" customHeight="1" x14ac:dyDescent="0.3">
      <c r="A393" s="695" t="s">
        <v>556</v>
      </c>
      <c r="B393" s="696" t="s">
        <v>3783</v>
      </c>
      <c r="C393" s="696" t="s">
        <v>3620</v>
      </c>
      <c r="D393" s="696" t="s">
        <v>4246</v>
      </c>
      <c r="E393" s="696" t="s">
        <v>3787</v>
      </c>
      <c r="F393" s="711"/>
      <c r="G393" s="711"/>
      <c r="H393" s="711"/>
      <c r="I393" s="711"/>
      <c r="J393" s="711">
        <v>4</v>
      </c>
      <c r="K393" s="711">
        <v>7133.92</v>
      </c>
      <c r="L393" s="711"/>
      <c r="M393" s="711">
        <v>1783.48</v>
      </c>
      <c r="N393" s="711"/>
      <c r="O393" s="711"/>
      <c r="P393" s="701"/>
      <c r="Q393" s="712"/>
    </row>
    <row r="394" spans="1:17" ht="14.4" customHeight="1" x14ac:dyDescent="0.3">
      <c r="A394" s="695" t="s">
        <v>556</v>
      </c>
      <c r="B394" s="696" t="s">
        <v>3783</v>
      </c>
      <c r="C394" s="696" t="s">
        <v>3620</v>
      </c>
      <c r="D394" s="696" t="s">
        <v>3788</v>
      </c>
      <c r="E394" s="696" t="s">
        <v>3789</v>
      </c>
      <c r="F394" s="711"/>
      <c r="G394" s="711"/>
      <c r="H394" s="711"/>
      <c r="I394" s="711"/>
      <c r="J394" s="711">
        <v>6</v>
      </c>
      <c r="K394" s="711">
        <v>1436.4</v>
      </c>
      <c r="L394" s="711"/>
      <c r="M394" s="711">
        <v>239.4</v>
      </c>
      <c r="N394" s="711">
        <v>7</v>
      </c>
      <c r="O394" s="711">
        <v>1675.8000000000002</v>
      </c>
      <c r="P394" s="701"/>
      <c r="Q394" s="712">
        <v>239.40000000000003</v>
      </c>
    </row>
    <row r="395" spans="1:17" ht="14.4" customHeight="1" x14ac:dyDescent="0.3">
      <c r="A395" s="695" t="s">
        <v>556</v>
      </c>
      <c r="B395" s="696" t="s">
        <v>3783</v>
      </c>
      <c r="C395" s="696" t="s">
        <v>3620</v>
      </c>
      <c r="D395" s="696" t="s">
        <v>3790</v>
      </c>
      <c r="E395" s="696" t="s">
        <v>3785</v>
      </c>
      <c r="F395" s="711"/>
      <c r="G395" s="711"/>
      <c r="H395" s="711"/>
      <c r="I395" s="711"/>
      <c r="J395" s="711"/>
      <c r="K395" s="711"/>
      <c r="L395" s="711"/>
      <c r="M395" s="711"/>
      <c r="N395" s="711">
        <v>8</v>
      </c>
      <c r="O395" s="711">
        <v>2611.6</v>
      </c>
      <c r="P395" s="701"/>
      <c r="Q395" s="712">
        <v>326.45</v>
      </c>
    </row>
    <row r="396" spans="1:17" ht="14.4" customHeight="1" x14ac:dyDescent="0.3">
      <c r="A396" s="695" t="s">
        <v>556</v>
      </c>
      <c r="B396" s="696" t="s">
        <v>3783</v>
      </c>
      <c r="C396" s="696" t="s">
        <v>3620</v>
      </c>
      <c r="D396" s="696" t="s">
        <v>4247</v>
      </c>
      <c r="E396" s="696" t="s">
        <v>4248</v>
      </c>
      <c r="F396" s="711">
        <v>1</v>
      </c>
      <c r="G396" s="711">
        <v>11338</v>
      </c>
      <c r="H396" s="711">
        <v>1</v>
      </c>
      <c r="I396" s="711">
        <v>11338</v>
      </c>
      <c r="J396" s="711"/>
      <c r="K396" s="711"/>
      <c r="L396" s="711"/>
      <c r="M396" s="711"/>
      <c r="N396" s="711"/>
      <c r="O396" s="711"/>
      <c r="P396" s="701"/>
      <c r="Q396" s="712"/>
    </row>
    <row r="397" spans="1:17" ht="14.4" customHeight="1" x14ac:dyDescent="0.3">
      <c r="A397" s="695" t="s">
        <v>556</v>
      </c>
      <c r="B397" s="696" t="s">
        <v>3783</v>
      </c>
      <c r="C397" s="696" t="s">
        <v>3620</v>
      </c>
      <c r="D397" s="696" t="s">
        <v>4249</v>
      </c>
      <c r="E397" s="696" t="s">
        <v>4250</v>
      </c>
      <c r="F397" s="711">
        <v>1</v>
      </c>
      <c r="G397" s="711">
        <v>4608</v>
      </c>
      <c r="H397" s="711">
        <v>1</v>
      </c>
      <c r="I397" s="711">
        <v>4608</v>
      </c>
      <c r="J397" s="711"/>
      <c r="K397" s="711"/>
      <c r="L397" s="711"/>
      <c r="M397" s="711"/>
      <c r="N397" s="711"/>
      <c r="O397" s="711"/>
      <c r="P397" s="701"/>
      <c r="Q397" s="712"/>
    </row>
    <row r="398" spans="1:17" ht="14.4" customHeight="1" x14ac:dyDescent="0.3">
      <c r="A398" s="695" t="s">
        <v>556</v>
      </c>
      <c r="B398" s="696" t="s">
        <v>3783</v>
      </c>
      <c r="C398" s="696" t="s">
        <v>3620</v>
      </c>
      <c r="D398" s="696" t="s">
        <v>4251</v>
      </c>
      <c r="E398" s="696" t="s">
        <v>4066</v>
      </c>
      <c r="F398" s="711"/>
      <c r="G398" s="711"/>
      <c r="H398" s="711"/>
      <c r="I398" s="711"/>
      <c r="J398" s="711"/>
      <c r="K398" s="711"/>
      <c r="L398" s="711"/>
      <c r="M398" s="711"/>
      <c r="N398" s="711">
        <v>1</v>
      </c>
      <c r="O398" s="711">
        <v>1386.65</v>
      </c>
      <c r="P398" s="701"/>
      <c r="Q398" s="712">
        <v>1386.65</v>
      </c>
    </row>
    <row r="399" spans="1:17" ht="14.4" customHeight="1" x14ac:dyDescent="0.3">
      <c r="A399" s="695" t="s">
        <v>556</v>
      </c>
      <c r="B399" s="696" t="s">
        <v>3783</v>
      </c>
      <c r="C399" s="696" t="s">
        <v>3620</v>
      </c>
      <c r="D399" s="696" t="s">
        <v>4252</v>
      </c>
      <c r="E399" s="696" t="s">
        <v>4253</v>
      </c>
      <c r="F399" s="711"/>
      <c r="G399" s="711"/>
      <c r="H399" s="711"/>
      <c r="I399" s="711"/>
      <c r="J399" s="711"/>
      <c r="K399" s="711"/>
      <c r="L399" s="711"/>
      <c r="M399" s="711"/>
      <c r="N399" s="711">
        <v>1</v>
      </c>
      <c r="O399" s="711">
        <v>9139.69</v>
      </c>
      <c r="P399" s="701"/>
      <c r="Q399" s="712">
        <v>9139.69</v>
      </c>
    </row>
    <row r="400" spans="1:17" ht="14.4" customHeight="1" x14ac:dyDescent="0.3">
      <c r="A400" s="695" t="s">
        <v>556</v>
      </c>
      <c r="B400" s="696" t="s">
        <v>3783</v>
      </c>
      <c r="C400" s="696" t="s">
        <v>3620</v>
      </c>
      <c r="D400" s="696" t="s">
        <v>4254</v>
      </c>
      <c r="E400" s="696" t="s">
        <v>3927</v>
      </c>
      <c r="F400" s="711">
        <v>0.1</v>
      </c>
      <c r="G400" s="711">
        <v>81.2</v>
      </c>
      <c r="H400" s="711">
        <v>1</v>
      </c>
      <c r="I400" s="711">
        <v>812</v>
      </c>
      <c r="J400" s="711">
        <v>1.5</v>
      </c>
      <c r="K400" s="711">
        <v>1262.25</v>
      </c>
      <c r="L400" s="711">
        <v>15.544950738916256</v>
      </c>
      <c r="M400" s="711">
        <v>841.5</v>
      </c>
      <c r="N400" s="711"/>
      <c r="O400" s="711"/>
      <c r="P400" s="701"/>
      <c r="Q400" s="712"/>
    </row>
    <row r="401" spans="1:17" ht="14.4" customHeight="1" x14ac:dyDescent="0.3">
      <c r="A401" s="695" t="s">
        <v>556</v>
      </c>
      <c r="B401" s="696" t="s">
        <v>3783</v>
      </c>
      <c r="C401" s="696" t="s">
        <v>3620</v>
      </c>
      <c r="D401" s="696" t="s">
        <v>4255</v>
      </c>
      <c r="E401" s="696" t="s">
        <v>4256</v>
      </c>
      <c r="F401" s="711">
        <v>3</v>
      </c>
      <c r="G401" s="711">
        <v>6389.19</v>
      </c>
      <c r="H401" s="711">
        <v>1</v>
      </c>
      <c r="I401" s="711">
        <v>2129.73</v>
      </c>
      <c r="J401" s="711">
        <v>9</v>
      </c>
      <c r="K401" s="711">
        <v>19167.57</v>
      </c>
      <c r="L401" s="711">
        <v>3</v>
      </c>
      <c r="M401" s="711">
        <v>2129.73</v>
      </c>
      <c r="N401" s="711">
        <v>3</v>
      </c>
      <c r="O401" s="711">
        <v>6389.19</v>
      </c>
      <c r="P401" s="701">
        <v>1</v>
      </c>
      <c r="Q401" s="712">
        <v>2129.73</v>
      </c>
    </row>
    <row r="402" spans="1:17" ht="14.4" customHeight="1" x14ac:dyDescent="0.3">
      <c r="A402" s="695" t="s">
        <v>556</v>
      </c>
      <c r="B402" s="696" t="s">
        <v>3783</v>
      </c>
      <c r="C402" s="696" t="s">
        <v>3620</v>
      </c>
      <c r="D402" s="696" t="s">
        <v>4257</v>
      </c>
      <c r="E402" s="696" t="s">
        <v>4256</v>
      </c>
      <c r="F402" s="711"/>
      <c r="G402" s="711"/>
      <c r="H402" s="711"/>
      <c r="I402" s="711"/>
      <c r="J402" s="711"/>
      <c r="K402" s="711"/>
      <c r="L402" s="711"/>
      <c r="M402" s="711"/>
      <c r="N402" s="711">
        <v>1</v>
      </c>
      <c r="O402" s="711">
        <v>2342.1799999999998</v>
      </c>
      <c r="P402" s="701"/>
      <c r="Q402" s="712">
        <v>2342.1799999999998</v>
      </c>
    </row>
    <row r="403" spans="1:17" ht="14.4" customHeight="1" x14ac:dyDescent="0.3">
      <c r="A403" s="695" t="s">
        <v>556</v>
      </c>
      <c r="B403" s="696" t="s">
        <v>3783</v>
      </c>
      <c r="C403" s="696" t="s">
        <v>3620</v>
      </c>
      <c r="D403" s="696" t="s">
        <v>4258</v>
      </c>
      <c r="E403" s="696" t="s">
        <v>4259</v>
      </c>
      <c r="F403" s="711"/>
      <c r="G403" s="711"/>
      <c r="H403" s="711"/>
      <c r="I403" s="711"/>
      <c r="J403" s="711">
        <v>1</v>
      </c>
      <c r="K403" s="711">
        <v>3143.2</v>
      </c>
      <c r="L403" s="711"/>
      <c r="M403" s="711">
        <v>3143.2</v>
      </c>
      <c r="N403" s="711"/>
      <c r="O403" s="711"/>
      <c r="P403" s="701"/>
      <c r="Q403" s="712"/>
    </row>
    <row r="404" spans="1:17" ht="14.4" customHeight="1" x14ac:dyDescent="0.3">
      <c r="A404" s="695" t="s">
        <v>556</v>
      </c>
      <c r="B404" s="696" t="s">
        <v>3783</v>
      </c>
      <c r="C404" s="696" t="s">
        <v>3620</v>
      </c>
      <c r="D404" s="696" t="s">
        <v>4260</v>
      </c>
      <c r="E404" s="696" t="s">
        <v>4261</v>
      </c>
      <c r="F404" s="711"/>
      <c r="G404" s="711"/>
      <c r="H404" s="711"/>
      <c r="I404" s="711"/>
      <c r="J404" s="711"/>
      <c r="K404" s="711"/>
      <c r="L404" s="711"/>
      <c r="M404" s="711"/>
      <c r="N404" s="711">
        <v>1</v>
      </c>
      <c r="O404" s="711">
        <v>6716.5</v>
      </c>
      <c r="P404" s="701"/>
      <c r="Q404" s="712">
        <v>6716.5</v>
      </c>
    </row>
    <row r="405" spans="1:17" ht="14.4" customHeight="1" x14ac:dyDescent="0.3">
      <c r="A405" s="695" t="s">
        <v>556</v>
      </c>
      <c r="B405" s="696" t="s">
        <v>3783</v>
      </c>
      <c r="C405" s="696" t="s">
        <v>3620</v>
      </c>
      <c r="D405" s="696" t="s">
        <v>4262</v>
      </c>
      <c r="E405" s="696" t="s">
        <v>4261</v>
      </c>
      <c r="F405" s="711"/>
      <c r="G405" s="711"/>
      <c r="H405" s="711"/>
      <c r="I405" s="711"/>
      <c r="J405" s="711">
        <v>1</v>
      </c>
      <c r="K405" s="711">
        <v>7378.3</v>
      </c>
      <c r="L405" s="711"/>
      <c r="M405" s="711">
        <v>7378.3</v>
      </c>
      <c r="N405" s="711"/>
      <c r="O405" s="711"/>
      <c r="P405" s="701"/>
      <c r="Q405" s="712"/>
    </row>
    <row r="406" spans="1:17" ht="14.4" customHeight="1" x14ac:dyDescent="0.3">
      <c r="A406" s="695" t="s">
        <v>556</v>
      </c>
      <c r="B406" s="696" t="s">
        <v>3783</v>
      </c>
      <c r="C406" s="696" t="s">
        <v>3620</v>
      </c>
      <c r="D406" s="696" t="s">
        <v>4263</v>
      </c>
      <c r="E406" s="696" t="s">
        <v>4264</v>
      </c>
      <c r="F406" s="711"/>
      <c r="G406" s="711"/>
      <c r="H406" s="711"/>
      <c r="I406" s="711"/>
      <c r="J406" s="711">
        <v>1</v>
      </c>
      <c r="K406" s="711">
        <v>4963</v>
      </c>
      <c r="L406" s="711"/>
      <c r="M406" s="711">
        <v>4963</v>
      </c>
      <c r="N406" s="711">
        <v>1</v>
      </c>
      <c r="O406" s="711">
        <v>4963</v>
      </c>
      <c r="P406" s="701"/>
      <c r="Q406" s="712">
        <v>4963</v>
      </c>
    </row>
    <row r="407" spans="1:17" ht="14.4" customHeight="1" x14ac:dyDescent="0.3">
      <c r="A407" s="695" t="s">
        <v>556</v>
      </c>
      <c r="B407" s="696" t="s">
        <v>3783</v>
      </c>
      <c r="C407" s="696" t="s">
        <v>3620</v>
      </c>
      <c r="D407" s="696" t="s">
        <v>4265</v>
      </c>
      <c r="E407" s="696" t="s">
        <v>4266</v>
      </c>
      <c r="F407" s="711">
        <v>2</v>
      </c>
      <c r="G407" s="711">
        <v>7279</v>
      </c>
      <c r="H407" s="711">
        <v>1</v>
      </c>
      <c r="I407" s="711">
        <v>3639.5</v>
      </c>
      <c r="J407" s="711">
        <v>2</v>
      </c>
      <c r="K407" s="711">
        <v>7279</v>
      </c>
      <c r="L407" s="711">
        <v>1</v>
      </c>
      <c r="M407" s="711">
        <v>3639.5</v>
      </c>
      <c r="N407" s="711"/>
      <c r="O407" s="711"/>
      <c r="P407" s="701"/>
      <c r="Q407" s="712"/>
    </row>
    <row r="408" spans="1:17" ht="14.4" customHeight="1" x14ac:dyDescent="0.3">
      <c r="A408" s="695" t="s">
        <v>556</v>
      </c>
      <c r="B408" s="696" t="s">
        <v>3783</v>
      </c>
      <c r="C408" s="696" t="s">
        <v>3620</v>
      </c>
      <c r="D408" s="696" t="s">
        <v>4267</v>
      </c>
      <c r="E408" s="696" t="s">
        <v>4268</v>
      </c>
      <c r="F408" s="711">
        <v>1</v>
      </c>
      <c r="G408" s="711">
        <v>6187.2</v>
      </c>
      <c r="H408" s="711">
        <v>1</v>
      </c>
      <c r="I408" s="711">
        <v>6187.2</v>
      </c>
      <c r="J408" s="711">
        <v>1</v>
      </c>
      <c r="K408" s="711">
        <v>6187.2</v>
      </c>
      <c r="L408" s="711">
        <v>1</v>
      </c>
      <c r="M408" s="711">
        <v>6187.2</v>
      </c>
      <c r="N408" s="711">
        <v>1</v>
      </c>
      <c r="O408" s="711">
        <v>6187.2</v>
      </c>
      <c r="P408" s="701">
        <v>1</v>
      </c>
      <c r="Q408" s="712">
        <v>6187.2</v>
      </c>
    </row>
    <row r="409" spans="1:17" ht="14.4" customHeight="1" x14ac:dyDescent="0.3">
      <c r="A409" s="695" t="s">
        <v>556</v>
      </c>
      <c r="B409" s="696" t="s">
        <v>3783</v>
      </c>
      <c r="C409" s="696" t="s">
        <v>3620</v>
      </c>
      <c r="D409" s="696" t="s">
        <v>4269</v>
      </c>
      <c r="E409" s="696" t="s">
        <v>4268</v>
      </c>
      <c r="F409" s="711">
        <v>1</v>
      </c>
      <c r="G409" s="711">
        <v>6451.8</v>
      </c>
      <c r="H409" s="711">
        <v>1</v>
      </c>
      <c r="I409" s="711">
        <v>6451.8</v>
      </c>
      <c r="J409" s="711">
        <v>3</v>
      </c>
      <c r="K409" s="711">
        <v>19355.400000000001</v>
      </c>
      <c r="L409" s="711">
        <v>3</v>
      </c>
      <c r="M409" s="711">
        <v>6451.8</v>
      </c>
      <c r="N409" s="711"/>
      <c r="O409" s="711"/>
      <c r="P409" s="701"/>
      <c r="Q409" s="712"/>
    </row>
    <row r="410" spans="1:17" ht="14.4" customHeight="1" x14ac:dyDescent="0.3">
      <c r="A410" s="695" t="s">
        <v>556</v>
      </c>
      <c r="B410" s="696" t="s">
        <v>3783</v>
      </c>
      <c r="C410" s="696" t="s">
        <v>3620</v>
      </c>
      <c r="D410" s="696" t="s">
        <v>4270</v>
      </c>
      <c r="E410" s="696" t="s">
        <v>4271</v>
      </c>
      <c r="F410" s="711">
        <v>6</v>
      </c>
      <c r="G410" s="711">
        <v>3541.2</v>
      </c>
      <c r="H410" s="711">
        <v>1</v>
      </c>
      <c r="I410" s="711">
        <v>590.19999999999993</v>
      </c>
      <c r="J410" s="711">
        <v>10</v>
      </c>
      <c r="K410" s="711">
        <v>5902</v>
      </c>
      <c r="L410" s="711">
        <v>1.6666666666666667</v>
      </c>
      <c r="M410" s="711">
        <v>590.20000000000005</v>
      </c>
      <c r="N410" s="711">
        <v>3</v>
      </c>
      <c r="O410" s="711">
        <v>1770.6</v>
      </c>
      <c r="P410" s="701">
        <v>0.5</v>
      </c>
      <c r="Q410" s="712">
        <v>590.19999999999993</v>
      </c>
    </row>
    <row r="411" spans="1:17" ht="14.4" customHeight="1" x14ac:dyDescent="0.3">
      <c r="A411" s="695" t="s">
        <v>556</v>
      </c>
      <c r="B411" s="696" t="s">
        <v>3783</v>
      </c>
      <c r="C411" s="696" t="s">
        <v>3620</v>
      </c>
      <c r="D411" s="696" t="s">
        <v>4272</v>
      </c>
      <c r="E411" s="696" t="s">
        <v>4271</v>
      </c>
      <c r="F411" s="711"/>
      <c r="G411" s="711"/>
      <c r="H411" s="711"/>
      <c r="I411" s="711"/>
      <c r="J411" s="711">
        <v>1</v>
      </c>
      <c r="K411" s="711">
        <v>659.7</v>
      </c>
      <c r="L411" s="711"/>
      <c r="M411" s="711">
        <v>659.7</v>
      </c>
      <c r="N411" s="711"/>
      <c r="O411" s="711"/>
      <c r="P411" s="701"/>
      <c r="Q411" s="712"/>
    </row>
    <row r="412" spans="1:17" ht="14.4" customHeight="1" x14ac:dyDescent="0.3">
      <c r="A412" s="695" t="s">
        <v>556</v>
      </c>
      <c r="B412" s="696" t="s">
        <v>3783</v>
      </c>
      <c r="C412" s="696" t="s">
        <v>3620</v>
      </c>
      <c r="D412" s="696" t="s">
        <v>4273</v>
      </c>
      <c r="E412" s="696" t="s">
        <v>4274</v>
      </c>
      <c r="F412" s="711">
        <v>29</v>
      </c>
      <c r="G412" s="711">
        <v>17115.8</v>
      </c>
      <c r="H412" s="711">
        <v>1</v>
      </c>
      <c r="I412" s="711">
        <v>590.19999999999993</v>
      </c>
      <c r="J412" s="711">
        <v>33</v>
      </c>
      <c r="K412" s="711">
        <v>19476.599999999999</v>
      </c>
      <c r="L412" s="711">
        <v>1.1379310344827587</v>
      </c>
      <c r="M412" s="711">
        <v>590.19999999999993</v>
      </c>
      <c r="N412" s="711">
        <v>14</v>
      </c>
      <c r="O412" s="711">
        <v>8262.7999999999993</v>
      </c>
      <c r="P412" s="701">
        <v>0.48275862068965514</v>
      </c>
      <c r="Q412" s="712">
        <v>590.19999999999993</v>
      </c>
    </row>
    <row r="413" spans="1:17" ht="14.4" customHeight="1" x14ac:dyDescent="0.3">
      <c r="A413" s="695" t="s">
        <v>556</v>
      </c>
      <c r="B413" s="696" t="s">
        <v>3783</v>
      </c>
      <c r="C413" s="696" t="s">
        <v>3620</v>
      </c>
      <c r="D413" s="696" t="s">
        <v>4275</v>
      </c>
      <c r="E413" s="696" t="s">
        <v>4274</v>
      </c>
      <c r="F413" s="711"/>
      <c r="G413" s="711"/>
      <c r="H413" s="711"/>
      <c r="I413" s="711"/>
      <c r="J413" s="711">
        <v>6</v>
      </c>
      <c r="K413" s="711">
        <v>3750</v>
      </c>
      <c r="L413" s="711"/>
      <c r="M413" s="711">
        <v>625</v>
      </c>
      <c r="N413" s="711"/>
      <c r="O413" s="711"/>
      <c r="P413" s="701"/>
      <c r="Q413" s="712"/>
    </row>
    <row r="414" spans="1:17" ht="14.4" customHeight="1" x14ac:dyDescent="0.3">
      <c r="A414" s="695" t="s">
        <v>556</v>
      </c>
      <c r="B414" s="696" t="s">
        <v>3783</v>
      </c>
      <c r="C414" s="696" t="s">
        <v>3620</v>
      </c>
      <c r="D414" s="696" t="s">
        <v>4276</v>
      </c>
      <c r="E414" s="696" t="s">
        <v>4277</v>
      </c>
      <c r="F414" s="711">
        <v>2</v>
      </c>
      <c r="G414" s="711">
        <v>36790</v>
      </c>
      <c r="H414" s="711">
        <v>1</v>
      </c>
      <c r="I414" s="711">
        <v>18395</v>
      </c>
      <c r="J414" s="711">
        <v>1</v>
      </c>
      <c r="K414" s="711">
        <v>18395</v>
      </c>
      <c r="L414" s="711">
        <v>0.5</v>
      </c>
      <c r="M414" s="711">
        <v>18395</v>
      </c>
      <c r="N414" s="711">
        <v>3</v>
      </c>
      <c r="O414" s="711">
        <v>55185</v>
      </c>
      <c r="P414" s="701">
        <v>1.5</v>
      </c>
      <c r="Q414" s="712">
        <v>18395</v>
      </c>
    </row>
    <row r="415" spans="1:17" ht="14.4" customHeight="1" x14ac:dyDescent="0.3">
      <c r="A415" s="695" t="s">
        <v>556</v>
      </c>
      <c r="B415" s="696" t="s">
        <v>3783</v>
      </c>
      <c r="C415" s="696" t="s">
        <v>3620</v>
      </c>
      <c r="D415" s="696" t="s">
        <v>4278</v>
      </c>
      <c r="E415" s="696" t="s">
        <v>4279</v>
      </c>
      <c r="F415" s="711">
        <v>5</v>
      </c>
      <c r="G415" s="711">
        <v>19800</v>
      </c>
      <c r="H415" s="711">
        <v>1</v>
      </c>
      <c r="I415" s="711">
        <v>3960</v>
      </c>
      <c r="J415" s="711">
        <v>4</v>
      </c>
      <c r="K415" s="711">
        <v>15840</v>
      </c>
      <c r="L415" s="711">
        <v>0.8</v>
      </c>
      <c r="M415" s="711">
        <v>3960</v>
      </c>
      <c r="N415" s="711">
        <v>2</v>
      </c>
      <c r="O415" s="711">
        <v>7920</v>
      </c>
      <c r="P415" s="701">
        <v>0.4</v>
      </c>
      <c r="Q415" s="712">
        <v>3960</v>
      </c>
    </row>
    <row r="416" spans="1:17" ht="14.4" customHeight="1" x14ac:dyDescent="0.3">
      <c r="A416" s="695" t="s">
        <v>556</v>
      </c>
      <c r="B416" s="696" t="s">
        <v>3783</v>
      </c>
      <c r="C416" s="696" t="s">
        <v>3620</v>
      </c>
      <c r="D416" s="696" t="s">
        <v>4280</v>
      </c>
      <c r="E416" s="696" t="s">
        <v>4279</v>
      </c>
      <c r="F416" s="711">
        <v>2</v>
      </c>
      <c r="G416" s="711">
        <v>10800</v>
      </c>
      <c r="H416" s="711">
        <v>1</v>
      </c>
      <c r="I416" s="711">
        <v>5400</v>
      </c>
      <c r="J416" s="711"/>
      <c r="K416" s="711"/>
      <c r="L416" s="711"/>
      <c r="M416" s="711"/>
      <c r="N416" s="711">
        <v>1</v>
      </c>
      <c r="O416" s="711">
        <v>5400</v>
      </c>
      <c r="P416" s="701">
        <v>0.5</v>
      </c>
      <c r="Q416" s="712">
        <v>5400</v>
      </c>
    </row>
    <row r="417" spans="1:17" ht="14.4" customHeight="1" x14ac:dyDescent="0.3">
      <c r="A417" s="695" t="s">
        <v>556</v>
      </c>
      <c r="B417" s="696" t="s">
        <v>3783</v>
      </c>
      <c r="C417" s="696" t="s">
        <v>3620</v>
      </c>
      <c r="D417" s="696" t="s">
        <v>4281</v>
      </c>
      <c r="E417" s="696" t="s">
        <v>4282</v>
      </c>
      <c r="F417" s="711">
        <v>62</v>
      </c>
      <c r="G417" s="711">
        <v>34118.600000000006</v>
      </c>
      <c r="H417" s="711">
        <v>1</v>
      </c>
      <c r="I417" s="711">
        <v>550.30000000000007</v>
      </c>
      <c r="J417" s="711">
        <v>23</v>
      </c>
      <c r="K417" s="711">
        <v>12656.9</v>
      </c>
      <c r="L417" s="711">
        <v>0.37096774193548382</v>
      </c>
      <c r="M417" s="711">
        <v>550.29999999999995</v>
      </c>
      <c r="N417" s="711">
        <v>27</v>
      </c>
      <c r="O417" s="711">
        <v>14858.099999999999</v>
      </c>
      <c r="P417" s="701">
        <v>0.43548387096774183</v>
      </c>
      <c r="Q417" s="712">
        <v>550.29999999999995</v>
      </c>
    </row>
    <row r="418" spans="1:17" ht="14.4" customHeight="1" x14ac:dyDescent="0.3">
      <c r="A418" s="695" t="s">
        <v>556</v>
      </c>
      <c r="B418" s="696" t="s">
        <v>3783</v>
      </c>
      <c r="C418" s="696" t="s">
        <v>3620</v>
      </c>
      <c r="D418" s="696" t="s">
        <v>4283</v>
      </c>
      <c r="E418" s="696" t="s">
        <v>4284</v>
      </c>
      <c r="F418" s="711">
        <v>1</v>
      </c>
      <c r="G418" s="711">
        <v>583</v>
      </c>
      <c r="H418" s="711">
        <v>1</v>
      </c>
      <c r="I418" s="711">
        <v>583</v>
      </c>
      <c r="J418" s="711">
        <v>7</v>
      </c>
      <c r="K418" s="711">
        <v>4228</v>
      </c>
      <c r="L418" s="711">
        <v>7.2521440823327614</v>
      </c>
      <c r="M418" s="711">
        <v>604</v>
      </c>
      <c r="N418" s="711">
        <v>2</v>
      </c>
      <c r="O418" s="711">
        <v>1208</v>
      </c>
      <c r="P418" s="701">
        <v>2.0720411663807892</v>
      </c>
      <c r="Q418" s="712">
        <v>604</v>
      </c>
    </row>
    <row r="419" spans="1:17" ht="14.4" customHeight="1" x14ac:dyDescent="0.3">
      <c r="A419" s="695" t="s">
        <v>556</v>
      </c>
      <c r="B419" s="696" t="s">
        <v>3783</v>
      </c>
      <c r="C419" s="696" t="s">
        <v>3620</v>
      </c>
      <c r="D419" s="696" t="s">
        <v>4285</v>
      </c>
      <c r="E419" s="696" t="s">
        <v>4286</v>
      </c>
      <c r="F419" s="711">
        <v>10</v>
      </c>
      <c r="G419" s="711">
        <v>72500</v>
      </c>
      <c r="H419" s="711">
        <v>1</v>
      </c>
      <c r="I419" s="711">
        <v>7250</v>
      </c>
      <c r="J419" s="711">
        <v>4</v>
      </c>
      <c r="K419" s="711">
        <v>30052</v>
      </c>
      <c r="L419" s="711">
        <v>0.4145103448275862</v>
      </c>
      <c r="M419" s="711">
        <v>7513</v>
      </c>
      <c r="N419" s="711"/>
      <c r="O419" s="711"/>
      <c r="P419" s="701"/>
      <c r="Q419" s="712"/>
    </row>
    <row r="420" spans="1:17" ht="14.4" customHeight="1" x14ac:dyDescent="0.3">
      <c r="A420" s="695" t="s">
        <v>556</v>
      </c>
      <c r="B420" s="696" t="s">
        <v>3783</v>
      </c>
      <c r="C420" s="696" t="s">
        <v>3620</v>
      </c>
      <c r="D420" s="696" t="s">
        <v>4287</v>
      </c>
      <c r="E420" s="696" t="s">
        <v>3584</v>
      </c>
      <c r="F420" s="711">
        <v>2</v>
      </c>
      <c r="G420" s="711">
        <v>16690</v>
      </c>
      <c r="H420" s="711">
        <v>1</v>
      </c>
      <c r="I420" s="711">
        <v>8345</v>
      </c>
      <c r="J420" s="711"/>
      <c r="K420" s="711"/>
      <c r="L420" s="711"/>
      <c r="M420" s="711"/>
      <c r="N420" s="711"/>
      <c r="O420" s="711"/>
      <c r="P420" s="701"/>
      <c r="Q420" s="712"/>
    </row>
    <row r="421" spans="1:17" ht="14.4" customHeight="1" x14ac:dyDescent="0.3">
      <c r="A421" s="695" t="s">
        <v>556</v>
      </c>
      <c r="B421" s="696" t="s">
        <v>3783</v>
      </c>
      <c r="C421" s="696" t="s">
        <v>3620</v>
      </c>
      <c r="D421" s="696" t="s">
        <v>4288</v>
      </c>
      <c r="E421" s="696" t="s">
        <v>3584</v>
      </c>
      <c r="F421" s="711">
        <v>1</v>
      </c>
      <c r="G421" s="711">
        <v>17443.04</v>
      </c>
      <c r="H421" s="711">
        <v>1</v>
      </c>
      <c r="I421" s="711">
        <v>17443.04</v>
      </c>
      <c r="J421" s="711"/>
      <c r="K421" s="711"/>
      <c r="L421" s="711"/>
      <c r="M421" s="711"/>
      <c r="N421" s="711"/>
      <c r="O421" s="711"/>
      <c r="P421" s="701"/>
      <c r="Q421" s="712"/>
    </row>
    <row r="422" spans="1:17" ht="14.4" customHeight="1" x14ac:dyDescent="0.3">
      <c r="A422" s="695" t="s">
        <v>556</v>
      </c>
      <c r="B422" s="696" t="s">
        <v>3783</v>
      </c>
      <c r="C422" s="696" t="s">
        <v>3620</v>
      </c>
      <c r="D422" s="696" t="s">
        <v>4289</v>
      </c>
      <c r="E422" s="696" t="s">
        <v>3584</v>
      </c>
      <c r="F422" s="711">
        <v>1</v>
      </c>
      <c r="G422" s="711">
        <v>20650</v>
      </c>
      <c r="H422" s="711">
        <v>1</v>
      </c>
      <c r="I422" s="711">
        <v>20650</v>
      </c>
      <c r="J422" s="711"/>
      <c r="K422" s="711"/>
      <c r="L422" s="711"/>
      <c r="M422" s="711"/>
      <c r="N422" s="711"/>
      <c r="O422" s="711"/>
      <c r="P422" s="701"/>
      <c r="Q422" s="712"/>
    </row>
    <row r="423" spans="1:17" ht="14.4" customHeight="1" x14ac:dyDescent="0.3">
      <c r="A423" s="695" t="s">
        <v>556</v>
      </c>
      <c r="B423" s="696" t="s">
        <v>3783</v>
      </c>
      <c r="C423" s="696" t="s">
        <v>3620</v>
      </c>
      <c r="D423" s="696" t="s">
        <v>4290</v>
      </c>
      <c r="E423" s="696" t="s">
        <v>3584</v>
      </c>
      <c r="F423" s="711">
        <v>1</v>
      </c>
      <c r="G423" s="711">
        <v>26757</v>
      </c>
      <c r="H423" s="711">
        <v>1</v>
      </c>
      <c r="I423" s="711">
        <v>26757</v>
      </c>
      <c r="J423" s="711"/>
      <c r="K423" s="711"/>
      <c r="L423" s="711"/>
      <c r="M423" s="711"/>
      <c r="N423" s="711"/>
      <c r="O423" s="711"/>
      <c r="P423" s="701"/>
      <c r="Q423" s="712"/>
    </row>
    <row r="424" spans="1:17" ht="14.4" customHeight="1" x14ac:dyDescent="0.3">
      <c r="A424" s="695" t="s">
        <v>556</v>
      </c>
      <c r="B424" s="696" t="s">
        <v>3783</v>
      </c>
      <c r="C424" s="696" t="s">
        <v>3620</v>
      </c>
      <c r="D424" s="696" t="s">
        <v>4291</v>
      </c>
      <c r="E424" s="696" t="s">
        <v>4292</v>
      </c>
      <c r="F424" s="711">
        <v>5</v>
      </c>
      <c r="G424" s="711">
        <v>6270</v>
      </c>
      <c r="H424" s="711">
        <v>1</v>
      </c>
      <c r="I424" s="711">
        <v>1254</v>
      </c>
      <c r="J424" s="711">
        <v>4</v>
      </c>
      <c r="K424" s="711">
        <v>5016</v>
      </c>
      <c r="L424" s="711">
        <v>0.8</v>
      </c>
      <c r="M424" s="711">
        <v>1254</v>
      </c>
      <c r="N424" s="711">
        <v>5</v>
      </c>
      <c r="O424" s="711">
        <v>6270</v>
      </c>
      <c r="P424" s="701">
        <v>1</v>
      </c>
      <c r="Q424" s="712">
        <v>1254</v>
      </c>
    </row>
    <row r="425" spans="1:17" ht="14.4" customHeight="1" x14ac:dyDescent="0.3">
      <c r="A425" s="695" t="s">
        <v>556</v>
      </c>
      <c r="B425" s="696" t="s">
        <v>3783</v>
      </c>
      <c r="C425" s="696" t="s">
        <v>3620</v>
      </c>
      <c r="D425" s="696" t="s">
        <v>4293</v>
      </c>
      <c r="E425" s="696" t="s">
        <v>4292</v>
      </c>
      <c r="F425" s="711"/>
      <c r="G425" s="711"/>
      <c r="H425" s="711"/>
      <c r="I425" s="711"/>
      <c r="J425" s="711">
        <v>3</v>
      </c>
      <c r="K425" s="711">
        <v>4044.93</v>
      </c>
      <c r="L425" s="711"/>
      <c r="M425" s="711">
        <v>1348.31</v>
      </c>
      <c r="N425" s="711">
        <v>1</v>
      </c>
      <c r="O425" s="711">
        <v>1348.31</v>
      </c>
      <c r="P425" s="701"/>
      <c r="Q425" s="712">
        <v>1348.31</v>
      </c>
    </row>
    <row r="426" spans="1:17" ht="14.4" customHeight="1" x14ac:dyDescent="0.3">
      <c r="A426" s="695" t="s">
        <v>556</v>
      </c>
      <c r="B426" s="696" t="s">
        <v>3783</v>
      </c>
      <c r="C426" s="696" t="s">
        <v>3620</v>
      </c>
      <c r="D426" s="696" t="s">
        <v>4294</v>
      </c>
      <c r="E426" s="696" t="s">
        <v>4295</v>
      </c>
      <c r="F426" s="711"/>
      <c r="G426" s="711"/>
      <c r="H426" s="711"/>
      <c r="I426" s="711"/>
      <c r="J426" s="711">
        <v>2</v>
      </c>
      <c r="K426" s="711">
        <v>11868</v>
      </c>
      <c r="L426" s="711"/>
      <c r="M426" s="711">
        <v>5934</v>
      </c>
      <c r="N426" s="711"/>
      <c r="O426" s="711"/>
      <c r="P426" s="701"/>
      <c r="Q426" s="712"/>
    </row>
    <row r="427" spans="1:17" ht="14.4" customHeight="1" x14ac:dyDescent="0.3">
      <c r="A427" s="695" t="s">
        <v>556</v>
      </c>
      <c r="B427" s="696" t="s">
        <v>3783</v>
      </c>
      <c r="C427" s="696" t="s">
        <v>3620</v>
      </c>
      <c r="D427" s="696" t="s">
        <v>4296</v>
      </c>
      <c r="E427" s="696" t="s">
        <v>4297</v>
      </c>
      <c r="F427" s="711">
        <v>12</v>
      </c>
      <c r="G427" s="711">
        <v>6984</v>
      </c>
      <c r="H427" s="711">
        <v>1</v>
      </c>
      <c r="I427" s="711">
        <v>582</v>
      </c>
      <c r="J427" s="711">
        <v>14</v>
      </c>
      <c r="K427" s="711">
        <v>8148</v>
      </c>
      <c r="L427" s="711">
        <v>1.1666666666666667</v>
      </c>
      <c r="M427" s="711">
        <v>582</v>
      </c>
      <c r="N427" s="711">
        <v>5</v>
      </c>
      <c r="O427" s="711">
        <v>2910</v>
      </c>
      <c r="P427" s="701">
        <v>0.41666666666666669</v>
      </c>
      <c r="Q427" s="712">
        <v>582</v>
      </c>
    </row>
    <row r="428" spans="1:17" ht="14.4" customHeight="1" x14ac:dyDescent="0.3">
      <c r="A428" s="695" t="s">
        <v>556</v>
      </c>
      <c r="B428" s="696" t="s">
        <v>3783</v>
      </c>
      <c r="C428" s="696" t="s">
        <v>3620</v>
      </c>
      <c r="D428" s="696" t="s">
        <v>4298</v>
      </c>
      <c r="E428" s="696" t="s">
        <v>4297</v>
      </c>
      <c r="F428" s="711">
        <v>1</v>
      </c>
      <c r="G428" s="711">
        <v>633.29999999999995</v>
      </c>
      <c r="H428" s="711">
        <v>1</v>
      </c>
      <c r="I428" s="711">
        <v>633.29999999999995</v>
      </c>
      <c r="J428" s="711">
        <v>3</v>
      </c>
      <c r="K428" s="711">
        <v>1899.8999999999999</v>
      </c>
      <c r="L428" s="711">
        <v>3</v>
      </c>
      <c r="M428" s="711">
        <v>633.29999999999995</v>
      </c>
      <c r="N428" s="711">
        <v>2</v>
      </c>
      <c r="O428" s="711">
        <v>1266.5999999999999</v>
      </c>
      <c r="P428" s="701">
        <v>2</v>
      </c>
      <c r="Q428" s="712">
        <v>633.29999999999995</v>
      </c>
    </row>
    <row r="429" spans="1:17" ht="14.4" customHeight="1" x14ac:dyDescent="0.3">
      <c r="A429" s="695" t="s">
        <v>556</v>
      </c>
      <c r="B429" s="696" t="s">
        <v>3783</v>
      </c>
      <c r="C429" s="696" t="s">
        <v>3620</v>
      </c>
      <c r="D429" s="696" t="s">
        <v>4299</v>
      </c>
      <c r="E429" s="696" t="s">
        <v>4297</v>
      </c>
      <c r="F429" s="711"/>
      <c r="G429" s="711"/>
      <c r="H429" s="711"/>
      <c r="I429" s="711"/>
      <c r="J429" s="711">
        <v>2</v>
      </c>
      <c r="K429" s="711">
        <v>1369.2</v>
      </c>
      <c r="L429" s="711"/>
      <c r="M429" s="711">
        <v>684.6</v>
      </c>
      <c r="N429" s="711">
        <v>5</v>
      </c>
      <c r="O429" s="711">
        <v>3423</v>
      </c>
      <c r="P429" s="701"/>
      <c r="Q429" s="712">
        <v>684.6</v>
      </c>
    </row>
    <row r="430" spans="1:17" ht="14.4" customHeight="1" x14ac:dyDescent="0.3">
      <c r="A430" s="695" t="s">
        <v>556</v>
      </c>
      <c r="B430" s="696" t="s">
        <v>3783</v>
      </c>
      <c r="C430" s="696" t="s">
        <v>3620</v>
      </c>
      <c r="D430" s="696" t="s">
        <v>4300</v>
      </c>
      <c r="E430" s="696" t="s">
        <v>4301</v>
      </c>
      <c r="F430" s="711">
        <v>1</v>
      </c>
      <c r="G430" s="711">
        <v>2980.58</v>
      </c>
      <c r="H430" s="711">
        <v>1</v>
      </c>
      <c r="I430" s="711">
        <v>2980.58</v>
      </c>
      <c r="J430" s="711"/>
      <c r="K430" s="711"/>
      <c r="L430" s="711"/>
      <c r="M430" s="711"/>
      <c r="N430" s="711"/>
      <c r="O430" s="711"/>
      <c r="P430" s="701"/>
      <c r="Q430" s="712"/>
    </row>
    <row r="431" spans="1:17" ht="14.4" customHeight="1" x14ac:dyDescent="0.3">
      <c r="A431" s="695" t="s">
        <v>556</v>
      </c>
      <c r="B431" s="696" t="s">
        <v>3783</v>
      </c>
      <c r="C431" s="696" t="s">
        <v>3620</v>
      </c>
      <c r="D431" s="696" t="s">
        <v>4302</v>
      </c>
      <c r="E431" s="696" t="s">
        <v>4303</v>
      </c>
      <c r="F431" s="711">
        <v>3</v>
      </c>
      <c r="G431" s="711">
        <v>25721.52</v>
      </c>
      <c r="H431" s="711">
        <v>1</v>
      </c>
      <c r="I431" s="711">
        <v>8573.84</v>
      </c>
      <c r="J431" s="711"/>
      <c r="K431" s="711"/>
      <c r="L431" s="711"/>
      <c r="M431" s="711"/>
      <c r="N431" s="711">
        <v>1</v>
      </c>
      <c r="O431" s="711">
        <v>8573.84</v>
      </c>
      <c r="P431" s="701">
        <v>0.33333333333333331</v>
      </c>
      <c r="Q431" s="712">
        <v>8573.84</v>
      </c>
    </row>
    <row r="432" spans="1:17" ht="14.4" customHeight="1" x14ac:dyDescent="0.3">
      <c r="A432" s="695" t="s">
        <v>556</v>
      </c>
      <c r="B432" s="696" t="s">
        <v>3783</v>
      </c>
      <c r="C432" s="696" t="s">
        <v>3620</v>
      </c>
      <c r="D432" s="696" t="s">
        <v>4304</v>
      </c>
      <c r="E432" s="696" t="s">
        <v>4305</v>
      </c>
      <c r="F432" s="711"/>
      <c r="G432" s="711"/>
      <c r="H432" s="711"/>
      <c r="I432" s="711"/>
      <c r="J432" s="711">
        <v>1</v>
      </c>
      <c r="K432" s="711">
        <v>18954.47</v>
      </c>
      <c r="L432" s="711"/>
      <c r="M432" s="711">
        <v>18954.47</v>
      </c>
      <c r="N432" s="711"/>
      <c r="O432" s="711"/>
      <c r="P432" s="701"/>
      <c r="Q432" s="712"/>
    </row>
    <row r="433" spans="1:17" ht="14.4" customHeight="1" x14ac:dyDescent="0.3">
      <c r="A433" s="695" t="s">
        <v>556</v>
      </c>
      <c r="B433" s="696" t="s">
        <v>3783</v>
      </c>
      <c r="C433" s="696" t="s">
        <v>3620</v>
      </c>
      <c r="D433" s="696" t="s">
        <v>4306</v>
      </c>
      <c r="E433" s="696" t="s">
        <v>4307</v>
      </c>
      <c r="F433" s="711"/>
      <c r="G433" s="711"/>
      <c r="H433" s="711"/>
      <c r="I433" s="711"/>
      <c r="J433" s="711">
        <v>1</v>
      </c>
      <c r="K433" s="711">
        <v>1538.27</v>
      </c>
      <c r="L433" s="711"/>
      <c r="M433" s="711">
        <v>1538.27</v>
      </c>
      <c r="N433" s="711"/>
      <c r="O433" s="711"/>
      <c r="P433" s="701"/>
      <c r="Q433" s="712"/>
    </row>
    <row r="434" spans="1:17" ht="14.4" customHeight="1" x14ac:dyDescent="0.3">
      <c r="A434" s="695" t="s">
        <v>556</v>
      </c>
      <c r="B434" s="696" t="s">
        <v>3783</v>
      </c>
      <c r="C434" s="696" t="s">
        <v>3620</v>
      </c>
      <c r="D434" s="696" t="s">
        <v>4308</v>
      </c>
      <c r="E434" s="696" t="s">
        <v>4309</v>
      </c>
      <c r="F434" s="711">
        <v>2</v>
      </c>
      <c r="G434" s="711">
        <v>10917.4</v>
      </c>
      <c r="H434" s="711">
        <v>1</v>
      </c>
      <c r="I434" s="711">
        <v>5458.7</v>
      </c>
      <c r="J434" s="711"/>
      <c r="K434" s="711"/>
      <c r="L434" s="711"/>
      <c r="M434" s="711"/>
      <c r="N434" s="711"/>
      <c r="O434" s="711"/>
      <c r="P434" s="701"/>
      <c r="Q434" s="712"/>
    </row>
    <row r="435" spans="1:17" ht="14.4" customHeight="1" x14ac:dyDescent="0.3">
      <c r="A435" s="695" t="s">
        <v>556</v>
      </c>
      <c r="B435" s="696" t="s">
        <v>3783</v>
      </c>
      <c r="C435" s="696" t="s">
        <v>3620</v>
      </c>
      <c r="D435" s="696" t="s">
        <v>4310</v>
      </c>
      <c r="E435" s="696" t="s">
        <v>4309</v>
      </c>
      <c r="F435" s="711"/>
      <c r="G435" s="711"/>
      <c r="H435" s="711"/>
      <c r="I435" s="711"/>
      <c r="J435" s="711"/>
      <c r="K435" s="711"/>
      <c r="L435" s="711"/>
      <c r="M435" s="711"/>
      <c r="N435" s="711">
        <v>1</v>
      </c>
      <c r="O435" s="711">
        <v>5458.7</v>
      </c>
      <c r="P435" s="701"/>
      <c r="Q435" s="712">
        <v>5458.7</v>
      </c>
    </row>
    <row r="436" spans="1:17" ht="14.4" customHeight="1" x14ac:dyDescent="0.3">
      <c r="A436" s="695" t="s">
        <v>556</v>
      </c>
      <c r="B436" s="696" t="s">
        <v>3783</v>
      </c>
      <c r="C436" s="696" t="s">
        <v>3620</v>
      </c>
      <c r="D436" s="696" t="s">
        <v>4311</v>
      </c>
      <c r="E436" s="696" t="s">
        <v>4312</v>
      </c>
      <c r="F436" s="711">
        <v>2</v>
      </c>
      <c r="G436" s="711">
        <v>7035.8</v>
      </c>
      <c r="H436" s="711">
        <v>1</v>
      </c>
      <c r="I436" s="711">
        <v>3517.9</v>
      </c>
      <c r="J436" s="711">
        <v>2</v>
      </c>
      <c r="K436" s="711">
        <v>7291.64</v>
      </c>
      <c r="L436" s="711">
        <v>1.0363626026891044</v>
      </c>
      <c r="M436" s="711">
        <v>3645.82</v>
      </c>
      <c r="N436" s="711"/>
      <c r="O436" s="711"/>
      <c r="P436" s="701"/>
      <c r="Q436" s="712"/>
    </row>
    <row r="437" spans="1:17" ht="14.4" customHeight="1" x14ac:dyDescent="0.3">
      <c r="A437" s="695" t="s">
        <v>556</v>
      </c>
      <c r="B437" s="696" t="s">
        <v>3783</v>
      </c>
      <c r="C437" s="696" t="s">
        <v>3620</v>
      </c>
      <c r="D437" s="696" t="s">
        <v>4313</v>
      </c>
      <c r="E437" s="696" t="s">
        <v>4314</v>
      </c>
      <c r="F437" s="711">
        <v>2</v>
      </c>
      <c r="G437" s="711">
        <v>13802.3</v>
      </c>
      <c r="H437" s="711">
        <v>1</v>
      </c>
      <c r="I437" s="711">
        <v>6901.15</v>
      </c>
      <c r="J437" s="711">
        <v>2</v>
      </c>
      <c r="K437" s="711">
        <v>13802.3</v>
      </c>
      <c r="L437" s="711">
        <v>1</v>
      </c>
      <c r="M437" s="711">
        <v>6901.15</v>
      </c>
      <c r="N437" s="711">
        <v>1</v>
      </c>
      <c r="O437" s="711">
        <v>6901.15</v>
      </c>
      <c r="P437" s="701">
        <v>0.5</v>
      </c>
      <c r="Q437" s="712">
        <v>6901.15</v>
      </c>
    </row>
    <row r="438" spans="1:17" ht="14.4" customHeight="1" x14ac:dyDescent="0.3">
      <c r="A438" s="695" t="s">
        <v>556</v>
      </c>
      <c r="B438" s="696" t="s">
        <v>3783</v>
      </c>
      <c r="C438" s="696" t="s">
        <v>3620</v>
      </c>
      <c r="D438" s="696" t="s">
        <v>4315</v>
      </c>
      <c r="E438" s="696" t="s">
        <v>4316</v>
      </c>
      <c r="F438" s="711"/>
      <c r="G438" s="711"/>
      <c r="H438" s="711"/>
      <c r="I438" s="711"/>
      <c r="J438" s="711"/>
      <c r="K438" s="711"/>
      <c r="L438" s="711"/>
      <c r="M438" s="711"/>
      <c r="N438" s="711">
        <v>2</v>
      </c>
      <c r="O438" s="711">
        <v>7325.22</v>
      </c>
      <c r="P438" s="701"/>
      <c r="Q438" s="712">
        <v>3662.61</v>
      </c>
    </row>
    <row r="439" spans="1:17" ht="14.4" customHeight="1" x14ac:dyDescent="0.3">
      <c r="A439" s="695" t="s">
        <v>556</v>
      </c>
      <c r="B439" s="696" t="s">
        <v>3783</v>
      </c>
      <c r="C439" s="696" t="s">
        <v>3620</v>
      </c>
      <c r="D439" s="696" t="s">
        <v>4317</v>
      </c>
      <c r="E439" s="696" t="s">
        <v>4318</v>
      </c>
      <c r="F439" s="711">
        <v>6</v>
      </c>
      <c r="G439" s="711">
        <v>45222</v>
      </c>
      <c r="H439" s="711">
        <v>1</v>
      </c>
      <c r="I439" s="711">
        <v>7537</v>
      </c>
      <c r="J439" s="711">
        <v>9</v>
      </c>
      <c r="K439" s="711">
        <v>69453</v>
      </c>
      <c r="L439" s="711">
        <v>1.5358232718588298</v>
      </c>
      <c r="M439" s="711">
        <v>7717</v>
      </c>
      <c r="N439" s="711">
        <v>2</v>
      </c>
      <c r="O439" s="711">
        <v>15434</v>
      </c>
      <c r="P439" s="701">
        <v>0.34129406041307331</v>
      </c>
      <c r="Q439" s="712">
        <v>7717</v>
      </c>
    </row>
    <row r="440" spans="1:17" ht="14.4" customHeight="1" x14ac:dyDescent="0.3">
      <c r="A440" s="695" t="s">
        <v>556</v>
      </c>
      <c r="B440" s="696" t="s">
        <v>3783</v>
      </c>
      <c r="C440" s="696" t="s">
        <v>3620</v>
      </c>
      <c r="D440" s="696" t="s">
        <v>4319</v>
      </c>
      <c r="E440" s="696" t="s">
        <v>4320</v>
      </c>
      <c r="F440" s="711"/>
      <c r="G440" s="711"/>
      <c r="H440" s="711"/>
      <c r="I440" s="711"/>
      <c r="J440" s="711">
        <v>10</v>
      </c>
      <c r="K440" s="711">
        <v>67980</v>
      </c>
      <c r="L440" s="711"/>
      <c r="M440" s="711">
        <v>6798</v>
      </c>
      <c r="N440" s="711"/>
      <c r="O440" s="711"/>
      <c r="P440" s="701"/>
      <c r="Q440" s="712"/>
    </row>
    <row r="441" spans="1:17" ht="14.4" customHeight="1" x14ac:dyDescent="0.3">
      <c r="A441" s="695" t="s">
        <v>556</v>
      </c>
      <c r="B441" s="696" t="s">
        <v>3783</v>
      </c>
      <c r="C441" s="696" t="s">
        <v>3620</v>
      </c>
      <c r="D441" s="696" t="s">
        <v>4321</v>
      </c>
      <c r="E441" s="696" t="s">
        <v>4322</v>
      </c>
      <c r="F441" s="711">
        <v>4</v>
      </c>
      <c r="G441" s="711">
        <v>31632</v>
      </c>
      <c r="H441" s="711">
        <v>1</v>
      </c>
      <c r="I441" s="711">
        <v>7908</v>
      </c>
      <c r="J441" s="711">
        <v>1</v>
      </c>
      <c r="K441" s="711">
        <v>7908</v>
      </c>
      <c r="L441" s="711">
        <v>0.25</v>
      </c>
      <c r="M441" s="711">
        <v>7908</v>
      </c>
      <c r="N441" s="711"/>
      <c r="O441" s="711"/>
      <c r="P441" s="701"/>
      <c r="Q441" s="712"/>
    </row>
    <row r="442" spans="1:17" ht="14.4" customHeight="1" x14ac:dyDescent="0.3">
      <c r="A442" s="695" t="s">
        <v>556</v>
      </c>
      <c r="B442" s="696" t="s">
        <v>3783</v>
      </c>
      <c r="C442" s="696" t="s">
        <v>3620</v>
      </c>
      <c r="D442" s="696" t="s">
        <v>4323</v>
      </c>
      <c r="E442" s="696" t="s">
        <v>4324</v>
      </c>
      <c r="F442" s="711">
        <v>3</v>
      </c>
      <c r="G442" s="711">
        <v>7974</v>
      </c>
      <c r="H442" s="711">
        <v>1</v>
      </c>
      <c r="I442" s="711">
        <v>2658</v>
      </c>
      <c r="J442" s="711"/>
      <c r="K442" s="711"/>
      <c r="L442" s="711"/>
      <c r="M442" s="711"/>
      <c r="N442" s="711"/>
      <c r="O442" s="711"/>
      <c r="P442" s="701"/>
      <c r="Q442" s="712"/>
    </row>
    <row r="443" spans="1:17" ht="14.4" customHeight="1" x14ac:dyDescent="0.3">
      <c r="A443" s="695" t="s">
        <v>556</v>
      </c>
      <c r="B443" s="696" t="s">
        <v>3783</v>
      </c>
      <c r="C443" s="696" t="s">
        <v>3620</v>
      </c>
      <c r="D443" s="696" t="s">
        <v>4325</v>
      </c>
      <c r="E443" s="696" t="s">
        <v>4326</v>
      </c>
      <c r="F443" s="711">
        <v>1</v>
      </c>
      <c r="G443" s="711">
        <v>10236.68</v>
      </c>
      <c r="H443" s="711">
        <v>1</v>
      </c>
      <c r="I443" s="711">
        <v>10236.68</v>
      </c>
      <c r="J443" s="711"/>
      <c r="K443" s="711"/>
      <c r="L443" s="711"/>
      <c r="M443" s="711"/>
      <c r="N443" s="711">
        <v>5</v>
      </c>
      <c r="O443" s="711">
        <v>51183.4</v>
      </c>
      <c r="P443" s="701">
        <v>5</v>
      </c>
      <c r="Q443" s="712">
        <v>10236.68</v>
      </c>
    </row>
    <row r="444" spans="1:17" ht="14.4" customHeight="1" x14ac:dyDescent="0.3">
      <c r="A444" s="695" t="s">
        <v>556</v>
      </c>
      <c r="B444" s="696" t="s">
        <v>3783</v>
      </c>
      <c r="C444" s="696" t="s">
        <v>3620</v>
      </c>
      <c r="D444" s="696" t="s">
        <v>4327</v>
      </c>
      <c r="E444" s="696" t="s">
        <v>4328</v>
      </c>
      <c r="F444" s="711">
        <v>1</v>
      </c>
      <c r="G444" s="711">
        <v>6308.8</v>
      </c>
      <c r="H444" s="711">
        <v>1</v>
      </c>
      <c r="I444" s="711">
        <v>6308.8</v>
      </c>
      <c r="J444" s="711"/>
      <c r="K444" s="711"/>
      <c r="L444" s="711"/>
      <c r="M444" s="711"/>
      <c r="N444" s="711"/>
      <c r="O444" s="711"/>
      <c r="P444" s="701"/>
      <c r="Q444" s="712"/>
    </row>
    <row r="445" spans="1:17" ht="14.4" customHeight="1" x14ac:dyDescent="0.3">
      <c r="A445" s="695" t="s">
        <v>556</v>
      </c>
      <c r="B445" s="696" t="s">
        <v>3783</v>
      </c>
      <c r="C445" s="696" t="s">
        <v>3620</v>
      </c>
      <c r="D445" s="696" t="s">
        <v>4329</v>
      </c>
      <c r="E445" s="696" t="s">
        <v>4330</v>
      </c>
      <c r="F445" s="711">
        <v>1</v>
      </c>
      <c r="G445" s="711">
        <v>15313.31</v>
      </c>
      <c r="H445" s="711">
        <v>1</v>
      </c>
      <c r="I445" s="711">
        <v>15313.31</v>
      </c>
      <c r="J445" s="711"/>
      <c r="K445" s="711"/>
      <c r="L445" s="711"/>
      <c r="M445" s="711"/>
      <c r="N445" s="711"/>
      <c r="O445" s="711"/>
      <c r="P445" s="701"/>
      <c r="Q445" s="712"/>
    </row>
    <row r="446" spans="1:17" ht="14.4" customHeight="1" x14ac:dyDescent="0.3">
      <c r="A446" s="695" t="s">
        <v>556</v>
      </c>
      <c r="B446" s="696" t="s">
        <v>3783</v>
      </c>
      <c r="C446" s="696" t="s">
        <v>3620</v>
      </c>
      <c r="D446" s="696" t="s">
        <v>4331</v>
      </c>
      <c r="E446" s="696" t="s">
        <v>4332</v>
      </c>
      <c r="F446" s="711">
        <v>2</v>
      </c>
      <c r="G446" s="711">
        <v>17383.96</v>
      </c>
      <c r="H446" s="711">
        <v>1</v>
      </c>
      <c r="I446" s="711">
        <v>8691.98</v>
      </c>
      <c r="J446" s="711">
        <v>1</v>
      </c>
      <c r="K446" s="711">
        <v>8691.98</v>
      </c>
      <c r="L446" s="711">
        <v>0.5</v>
      </c>
      <c r="M446" s="711">
        <v>8691.98</v>
      </c>
      <c r="N446" s="711">
        <v>3</v>
      </c>
      <c r="O446" s="711">
        <v>26075.94</v>
      </c>
      <c r="P446" s="701">
        <v>1.5</v>
      </c>
      <c r="Q446" s="712">
        <v>8691.98</v>
      </c>
    </row>
    <row r="447" spans="1:17" ht="14.4" customHeight="1" x14ac:dyDescent="0.3">
      <c r="A447" s="695" t="s">
        <v>556</v>
      </c>
      <c r="B447" s="696" t="s">
        <v>3783</v>
      </c>
      <c r="C447" s="696" t="s">
        <v>3620</v>
      </c>
      <c r="D447" s="696" t="s">
        <v>4333</v>
      </c>
      <c r="E447" s="696" t="s">
        <v>4334</v>
      </c>
      <c r="F447" s="711">
        <v>1</v>
      </c>
      <c r="G447" s="711">
        <v>9995.73</v>
      </c>
      <c r="H447" s="711">
        <v>1</v>
      </c>
      <c r="I447" s="711">
        <v>9995.73</v>
      </c>
      <c r="J447" s="711"/>
      <c r="K447" s="711"/>
      <c r="L447" s="711"/>
      <c r="M447" s="711"/>
      <c r="N447" s="711"/>
      <c r="O447" s="711"/>
      <c r="P447" s="701"/>
      <c r="Q447" s="712"/>
    </row>
    <row r="448" spans="1:17" ht="14.4" customHeight="1" x14ac:dyDescent="0.3">
      <c r="A448" s="695" t="s">
        <v>556</v>
      </c>
      <c r="B448" s="696" t="s">
        <v>3783</v>
      </c>
      <c r="C448" s="696" t="s">
        <v>3620</v>
      </c>
      <c r="D448" s="696" t="s">
        <v>4335</v>
      </c>
      <c r="E448" s="696" t="s">
        <v>4336</v>
      </c>
      <c r="F448" s="711"/>
      <c r="G448" s="711"/>
      <c r="H448" s="711"/>
      <c r="I448" s="711"/>
      <c r="J448" s="711"/>
      <c r="K448" s="711"/>
      <c r="L448" s="711"/>
      <c r="M448" s="711"/>
      <c r="N448" s="711">
        <v>1</v>
      </c>
      <c r="O448" s="711">
        <v>8669.48</v>
      </c>
      <c r="P448" s="701"/>
      <c r="Q448" s="712">
        <v>8669.48</v>
      </c>
    </row>
    <row r="449" spans="1:17" ht="14.4" customHeight="1" x14ac:dyDescent="0.3">
      <c r="A449" s="695" t="s">
        <v>556</v>
      </c>
      <c r="B449" s="696" t="s">
        <v>3783</v>
      </c>
      <c r="C449" s="696" t="s">
        <v>3620</v>
      </c>
      <c r="D449" s="696" t="s">
        <v>4337</v>
      </c>
      <c r="E449" s="696" t="s">
        <v>4338</v>
      </c>
      <c r="F449" s="711">
        <v>2</v>
      </c>
      <c r="G449" s="711">
        <v>1464.06</v>
      </c>
      <c r="H449" s="711">
        <v>1</v>
      </c>
      <c r="I449" s="711">
        <v>732.03</v>
      </c>
      <c r="J449" s="711"/>
      <c r="K449" s="711"/>
      <c r="L449" s="711"/>
      <c r="M449" s="711"/>
      <c r="N449" s="711"/>
      <c r="O449" s="711"/>
      <c r="P449" s="701"/>
      <c r="Q449" s="712"/>
    </row>
    <row r="450" spans="1:17" ht="14.4" customHeight="1" x14ac:dyDescent="0.3">
      <c r="A450" s="695" t="s">
        <v>556</v>
      </c>
      <c r="B450" s="696" t="s">
        <v>3783</v>
      </c>
      <c r="C450" s="696" t="s">
        <v>3620</v>
      </c>
      <c r="D450" s="696" t="s">
        <v>4339</v>
      </c>
      <c r="E450" s="696" t="s">
        <v>4340</v>
      </c>
      <c r="F450" s="711">
        <v>14</v>
      </c>
      <c r="G450" s="711">
        <v>2042.6</v>
      </c>
      <c r="H450" s="711">
        <v>1</v>
      </c>
      <c r="I450" s="711">
        <v>145.9</v>
      </c>
      <c r="J450" s="711"/>
      <c r="K450" s="711"/>
      <c r="L450" s="711"/>
      <c r="M450" s="711"/>
      <c r="N450" s="711"/>
      <c r="O450" s="711"/>
      <c r="P450" s="701"/>
      <c r="Q450" s="712"/>
    </row>
    <row r="451" spans="1:17" ht="14.4" customHeight="1" x14ac:dyDescent="0.3">
      <c r="A451" s="695" t="s">
        <v>556</v>
      </c>
      <c r="B451" s="696" t="s">
        <v>3783</v>
      </c>
      <c r="C451" s="696" t="s">
        <v>3620</v>
      </c>
      <c r="D451" s="696" t="s">
        <v>4341</v>
      </c>
      <c r="E451" s="696" t="s">
        <v>4342</v>
      </c>
      <c r="F451" s="711"/>
      <c r="G451" s="711"/>
      <c r="H451" s="711"/>
      <c r="I451" s="711"/>
      <c r="J451" s="711">
        <v>8</v>
      </c>
      <c r="K451" s="711">
        <v>5495.2</v>
      </c>
      <c r="L451" s="711"/>
      <c r="M451" s="711">
        <v>686.9</v>
      </c>
      <c r="N451" s="711">
        <v>1</v>
      </c>
      <c r="O451" s="711">
        <v>686.9</v>
      </c>
      <c r="P451" s="701"/>
      <c r="Q451" s="712">
        <v>686.9</v>
      </c>
    </row>
    <row r="452" spans="1:17" ht="14.4" customHeight="1" x14ac:dyDescent="0.3">
      <c r="A452" s="695" t="s">
        <v>556</v>
      </c>
      <c r="B452" s="696" t="s">
        <v>3783</v>
      </c>
      <c r="C452" s="696" t="s">
        <v>3620</v>
      </c>
      <c r="D452" s="696" t="s">
        <v>4343</v>
      </c>
      <c r="E452" s="696" t="s">
        <v>4344</v>
      </c>
      <c r="F452" s="711"/>
      <c r="G452" s="711"/>
      <c r="H452" s="711"/>
      <c r="I452" s="711"/>
      <c r="J452" s="711">
        <v>24</v>
      </c>
      <c r="K452" s="711">
        <v>21334.32</v>
      </c>
      <c r="L452" s="711"/>
      <c r="M452" s="711">
        <v>888.93</v>
      </c>
      <c r="N452" s="711">
        <v>10</v>
      </c>
      <c r="O452" s="711">
        <v>8889.2999999999993</v>
      </c>
      <c r="P452" s="701"/>
      <c r="Q452" s="712">
        <v>888.93</v>
      </c>
    </row>
    <row r="453" spans="1:17" ht="14.4" customHeight="1" x14ac:dyDescent="0.3">
      <c r="A453" s="695" t="s">
        <v>556</v>
      </c>
      <c r="B453" s="696" t="s">
        <v>3783</v>
      </c>
      <c r="C453" s="696" t="s">
        <v>3620</v>
      </c>
      <c r="D453" s="696" t="s">
        <v>4345</v>
      </c>
      <c r="E453" s="696" t="s">
        <v>4346</v>
      </c>
      <c r="F453" s="711"/>
      <c r="G453" s="711"/>
      <c r="H453" s="711"/>
      <c r="I453" s="711"/>
      <c r="J453" s="711">
        <v>1</v>
      </c>
      <c r="K453" s="711">
        <v>4182.04</v>
      </c>
      <c r="L453" s="711"/>
      <c r="M453" s="711">
        <v>4182.04</v>
      </c>
      <c r="N453" s="711">
        <v>4</v>
      </c>
      <c r="O453" s="711">
        <v>16728.16</v>
      </c>
      <c r="P453" s="701"/>
      <c r="Q453" s="712">
        <v>4182.04</v>
      </c>
    </row>
    <row r="454" spans="1:17" ht="14.4" customHeight="1" x14ac:dyDescent="0.3">
      <c r="A454" s="695" t="s">
        <v>556</v>
      </c>
      <c r="B454" s="696" t="s">
        <v>3783</v>
      </c>
      <c r="C454" s="696" t="s">
        <v>3620</v>
      </c>
      <c r="D454" s="696" t="s">
        <v>4347</v>
      </c>
      <c r="E454" s="696" t="s">
        <v>4348</v>
      </c>
      <c r="F454" s="711"/>
      <c r="G454" s="711"/>
      <c r="H454" s="711"/>
      <c r="I454" s="711"/>
      <c r="J454" s="711">
        <v>2</v>
      </c>
      <c r="K454" s="711">
        <v>10505.6</v>
      </c>
      <c r="L454" s="711"/>
      <c r="M454" s="711">
        <v>5252.8</v>
      </c>
      <c r="N454" s="711"/>
      <c r="O454" s="711"/>
      <c r="P454" s="701"/>
      <c r="Q454" s="712"/>
    </row>
    <row r="455" spans="1:17" ht="14.4" customHeight="1" x14ac:dyDescent="0.3">
      <c r="A455" s="695" t="s">
        <v>556</v>
      </c>
      <c r="B455" s="696" t="s">
        <v>3783</v>
      </c>
      <c r="C455" s="696" t="s">
        <v>3620</v>
      </c>
      <c r="D455" s="696" t="s">
        <v>4349</v>
      </c>
      <c r="E455" s="696" t="s">
        <v>4350</v>
      </c>
      <c r="F455" s="711"/>
      <c r="G455" s="711"/>
      <c r="H455" s="711"/>
      <c r="I455" s="711"/>
      <c r="J455" s="711">
        <v>1</v>
      </c>
      <c r="K455" s="711">
        <v>8283.65</v>
      </c>
      <c r="L455" s="711"/>
      <c r="M455" s="711">
        <v>8283.65</v>
      </c>
      <c r="N455" s="711">
        <v>1</v>
      </c>
      <c r="O455" s="711">
        <v>8283.65</v>
      </c>
      <c r="P455" s="701"/>
      <c r="Q455" s="712">
        <v>8283.65</v>
      </c>
    </row>
    <row r="456" spans="1:17" ht="14.4" customHeight="1" x14ac:dyDescent="0.3">
      <c r="A456" s="695" t="s">
        <v>556</v>
      </c>
      <c r="B456" s="696" t="s">
        <v>3783</v>
      </c>
      <c r="C456" s="696" t="s">
        <v>3620</v>
      </c>
      <c r="D456" s="696" t="s">
        <v>4351</v>
      </c>
      <c r="E456" s="696" t="s">
        <v>4352</v>
      </c>
      <c r="F456" s="711"/>
      <c r="G456" s="711"/>
      <c r="H456" s="711"/>
      <c r="I456" s="711"/>
      <c r="J456" s="711">
        <v>2</v>
      </c>
      <c r="K456" s="711">
        <v>16567.3</v>
      </c>
      <c r="L456" s="711"/>
      <c r="M456" s="711">
        <v>8283.65</v>
      </c>
      <c r="N456" s="711">
        <v>1</v>
      </c>
      <c r="O456" s="711">
        <v>8283.65</v>
      </c>
      <c r="P456" s="701"/>
      <c r="Q456" s="712">
        <v>8283.65</v>
      </c>
    </row>
    <row r="457" spans="1:17" ht="14.4" customHeight="1" x14ac:dyDescent="0.3">
      <c r="A457" s="695" t="s">
        <v>556</v>
      </c>
      <c r="B457" s="696" t="s">
        <v>3783</v>
      </c>
      <c r="C457" s="696" t="s">
        <v>3620</v>
      </c>
      <c r="D457" s="696" t="s">
        <v>4353</v>
      </c>
      <c r="E457" s="696" t="s">
        <v>4354</v>
      </c>
      <c r="F457" s="711">
        <v>9</v>
      </c>
      <c r="G457" s="711">
        <v>40386.42</v>
      </c>
      <c r="H457" s="711">
        <v>1</v>
      </c>
      <c r="I457" s="711">
        <v>4487.38</v>
      </c>
      <c r="J457" s="711">
        <v>4</v>
      </c>
      <c r="K457" s="711">
        <v>17949.52</v>
      </c>
      <c r="L457" s="711">
        <v>0.44444444444444448</v>
      </c>
      <c r="M457" s="711">
        <v>4487.38</v>
      </c>
      <c r="N457" s="711">
        <v>5</v>
      </c>
      <c r="O457" s="711">
        <v>22436.9</v>
      </c>
      <c r="P457" s="701">
        <v>0.55555555555555558</v>
      </c>
      <c r="Q457" s="712">
        <v>4487.38</v>
      </c>
    </row>
    <row r="458" spans="1:17" ht="14.4" customHeight="1" x14ac:dyDescent="0.3">
      <c r="A458" s="695" t="s">
        <v>556</v>
      </c>
      <c r="B458" s="696" t="s">
        <v>3783</v>
      </c>
      <c r="C458" s="696" t="s">
        <v>3620</v>
      </c>
      <c r="D458" s="696" t="s">
        <v>4355</v>
      </c>
      <c r="E458" s="696" t="s">
        <v>4356</v>
      </c>
      <c r="F458" s="711"/>
      <c r="G458" s="711"/>
      <c r="H458" s="711"/>
      <c r="I458" s="711"/>
      <c r="J458" s="711">
        <v>3</v>
      </c>
      <c r="K458" s="711">
        <v>1098</v>
      </c>
      <c r="L458" s="711"/>
      <c r="M458" s="711">
        <v>366</v>
      </c>
      <c r="N458" s="711"/>
      <c r="O458" s="711"/>
      <c r="P458" s="701"/>
      <c r="Q458" s="712"/>
    </row>
    <row r="459" spans="1:17" ht="14.4" customHeight="1" x14ac:dyDescent="0.3">
      <c r="A459" s="695" t="s">
        <v>556</v>
      </c>
      <c r="B459" s="696" t="s">
        <v>3783</v>
      </c>
      <c r="C459" s="696" t="s">
        <v>3620</v>
      </c>
      <c r="D459" s="696" t="s">
        <v>4357</v>
      </c>
      <c r="E459" s="696" t="s">
        <v>4346</v>
      </c>
      <c r="F459" s="711"/>
      <c r="G459" s="711"/>
      <c r="H459" s="711"/>
      <c r="I459" s="711"/>
      <c r="J459" s="711"/>
      <c r="K459" s="711"/>
      <c r="L459" s="711"/>
      <c r="M459" s="711"/>
      <c r="N459" s="711">
        <v>1</v>
      </c>
      <c r="O459" s="711">
        <v>4606.3</v>
      </c>
      <c r="P459" s="701"/>
      <c r="Q459" s="712">
        <v>4606.3</v>
      </c>
    </row>
    <row r="460" spans="1:17" ht="14.4" customHeight="1" x14ac:dyDescent="0.3">
      <c r="A460" s="695" t="s">
        <v>556</v>
      </c>
      <c r="B460" s="696" t="s">
        <v>3783</v>
      </c>
      <c r="C460" s="696" t="s">
        <v>3620</v>
      </c>
      <c r="D460" s="696" t="s">
        <v>4358</v>
      </c>
      <c r="E460" s="696" t="s">
        <v>4359</v>
      </c>
      <c r="F460" s="711"/>
      <c r="G460" s="711"/>
      <c r="H460" s="711"/>
      <c r="I460" s="711"/>
      <c r="J460" s="711"/>
      <c r="K460" s="711"/>
      <c r="L460" s="711"/>
      <c r="M460" s="711"/>
      <c r="N460" s="711">
        <v>4</v>
      </c>
      <c r="O460" s="711">
        <v>5438.84</v>
      </c>
      <c r="P460" s="701"/>
      <c r="Q460" s="712">
        <v>1359.71</v>
      </c>
    </row>
    <row r="461" spans="1:17" ht="14.4" customHeight="1" x14ac:dyDescent="0.3">
      <c r="A461" s="695" t="s">
        <v>556</v>
      </c>
      <c r="B461" s="696" t="s">
        <v>3783</v>
      </c>
      <c r="C461" s="696" t="s">
        <v>3620</v>
      </c>
      <c r="D461" s="696" t="s">
        <v>4360</v>
      </c>
      <c r="E461" s="696" t="s">
        <v>4361</v>
      </c>
      <c r="F461" s="711"/>
      <c r="G461" s="711"/>
      <c r="H461" s="711"/>
      <c r="I461" s="711"/>
      <c r="J461" s="711"/>
      <c r="K461" s="711"/>
      <c r="L461" s="711"/>
      <c r="M461" s="711"/>
      <c r="N461" s="711">
        <v>2</v>
      </c>
      <c r="O461" s="711">
        <v>2425.1</v>
      </c>
      <c r="P461" s="701"/>
      <c r="Q461" s="712">
        <v>1212.55</v>
      </c>
    </row>
    <row r="462" spans="1:17" ht="14.4" customHeight="1" x14ac:dyDescent="0.3">
      <c r="A462" s="695" t="s">
        <v>556</v>
      </c>
      <c r="B462" s="696" t="s">
        <v>3783</v>
      </c>
      <c r="C462" s="696" t="s">
        <v>3620</v>
      </c>
      <c r="D462" s="696" t="s">
        <v>4362</v>
      </c>
      <c r="E462" s="696" t="s">
        <v>4363</v>
      </c>
      <c r="F462" s="711"/>
      <c r="G462" s="711"/>
      <c r="H462" s="711"/>
      <c r="I462" s="711"/>
      <c r="J462" s="711"/>
      <c r="K462" s="711"/>
      <c r="L462" s="711"/>
      <c r="M462" s="711"/>
      <c r="N462" s="711">
        <v>1</v>
      </c>
      <c r="O462" s="711">
        <v>5309</v>
      </c>
      <c r="P462" s="701"/>
      <c r="Q462" s="712">
        <v>5309</v>
      </c>
    </row>
    <row r="463" spans="1:17" ht="14.4" customHeight="1" x14ac:dyDescent="0.3">
      <c r="A463" s="695" t="s">
        <v>556</v>
      </c>
      <c r="B463" s="696" t="s">
        <v>3783</v>
      </c>
      <c r="C463" s="696" t="s">
        <v>3620</v>
      </c>
      <c r="D463" s="696" t="s">
        <v>4364</v>
      </c>
      <c r="E463" s="696" t="s">
        <v>4365</v>
      </c>
      <c r="F463" s="711">
        <v>1</v>
      </c>
      <c r="G463" s="711">
        <v>2713</v>
      </c>
      <c r="H463" s="711">
        <v>1</v>
      </c>
      <c r="I463" s="711">
        <v>2713</v>
      </c>
      <c r="J463" s="711"/>
      <c r="K463" s="711"/>
      <c r="L463" s="711"/>
      <c r="M463" s="711"/>
      <c r="N463" s="711"/>
      <c r="O463" s="711"/>
      <c r="P463" s="701"/>
      <c r="Q463" s="712"/>
    </row>
    <row r="464" spans="1:17" ht="14.4" customHeight="1" x14ac:dyDescent="0.3">
      <c r="A464" s="695" t="s">
        <v>556</v>
      </c>
      <c r="B464" s="696" t="s">
        <v>3783</v>
      </c>
      <c r="C464" s="696" t="s">
        <v>3620</v>
      </c>
      <c r="D464" s="696" t="s">
        <v>4366</v>
      </c>
      <c r="E464" s="696" t="s">
        <v>4367</v>
      </c>
      <c r="F464" s="711"/>
      <c r="G464" s="711"/>
      <c r="H464" s="711"/>
      <c r="I464" s="711"/>
      <c r="J464" s="711">
        <v>1</v>
      </c>
      <c r="K464" s="711">
        <v>12500</v>
      </c>
      <c r="L464" s="711"/>
      <c r="M464" s="711">
        <v>12500</v>
      </c>
      <c r="N464" s="711"/>
      <c r="O464" s="711"/>
      <c r="P464" s="701"/>
      <c r="Q464" s="712"/>
    </row>
    <row r="465" spans="1:17" ht="14.4" customHeight="1" x14ac:dyDescent="0.3">
      <c r="A465" s="695" t="s">
        <v>556</v>
      </c>
      <c r="B465" s="696" t="s">
        <v>3783</v>
      </c>
      <c r="C465" s="696" t="s">
        <v>3620</v>
      </c>
      <c r="D465" s="696" t="s">
        <v>4368</v>
      </c>
      <c r="E465" s="696" t="s">
        <v>4369</v>
      </c>
      <c r="F465" s="711">
        <v>3</v>
      </c>
      <c r="G465" s="711">
        <v>656.40000000000009</v>
      </c>
      <c r="H465" s="711">
        <v>1</v>
      </c>
      <c r="I465" s="711">
        <v>218.80000000000004</v>
      </c>
      <c r="J465" s="711"/>
      <c r="K465" s="711"/>
      <c r="L465" s="711"/>
      <c r="M465" s="711"/>
      <c r="N465" s="711"/>
      <c r="O465" s="711"/>
      <c r="P465" s="701"/>
      <c r="Q465" s="712"/>
    </row>
    <row r="466" spans="1:17" ht="14.4" customHeight="1" x14ac:dyDescent="0.3">
      <c r="A466" s="695" t="s">
        <v>556</v>
      </c>
      <c r="B466" s="696" t="s">
        <v>3783</v>
      </c>
      <c r="C466" s="696" t="s">
        <v>3620</v>
      </c>
      <c r="D466" s="696" t="s">
        <v>4370</v>
      </c>
      <c r="E466" s="696" t="s">
        <v>4371</v>
      </c>
      <c r="F466" s="711">
        <v>1</v>
      </c>
      <c r="G466" s="711">
        <v>2560</v>
      </c>
      <c r="H466" s="711">
        <v>1</v>
      </c>
      <c r="I466" s="711">
        <v>2560</v>
      </c>
      <c r="J466" s="711"/>
      <c r="K466" s="711"/>
      <c r="L466" s="711"/>
      <c r="M466" s="711"/>
      <c r="N466" s="711"/>
      <c r="O466" s="711"/>
      <c r="P466" s="701"/>
      <c r="Q466" s="712"/>
    </row>
    <row r="467" spans="1:17" ht="14.4" customHeight="1" x14ac:dyDescent="0.3">
      <c r="A467" s="695" t="s">
        <v>556</v>
      </c>
      <c r="B467" s="696" t="s">
        <v>3783</v>
      </c>
      <c r="C467" s="696" t="s">
        <v>3620</v>
      </c>
      <c r="D467" s="696" t="s">
        <v>4372</v>
      </c>
      <c r="E467" s="696" t="s">
        <v>4312</v>
      </c>
      <c r="F467" s="711">
        <v>2</v>
      </c>
      <c r="G467" s="711">
        <v>5526</v>
      </c>
      <c r="H467" s="711">
        <v>1</v>
      </c>
      <c r="I467" s="711">
        <v>2763</v>
      </c>
      <c r="J467" s="711">
        <v>4</v>
      </c>
      <c r="K467" s="711">
        <v>11453.88</v>
      </c>
      <c r="L467" s="711">
        <v>2.0727252985884905</v>
      </c>
      <c r="M467" s="711">
        <v>2863.47</v>
      </c>
      <c r="N467" s="711"/>
      <c r="O467" s="711"/>
      <c r="P467" s="701"/>
      <c r="Q467" s="712"/>
    </row>
    <row r="468" spans="1:17" ht="14.4" customHeight="1" x14ac:dyDescent="0.3">
      <c r="A468" s="695" t="s">
        <v>556</v>
      </c>
      <c r="B468" s="696" t="s">
        <v>3783</v>
      </c>
      <c r="C468" s="696" t="s">
        <v>3620</v>
      </c>
      <c r="D468" s="696" t="s">
        <v>4373</v>
      </c>
      <c r="E468" s="696" t="s">
        <v>4346</v>
      </c>
      <c r="F468" s="711"/>
      <c r="G468" s="711"/>
      <c r="H468" s="711"/>
      <c r="I468" s="711"/>
      <c r="J468" s="711"/>
      <c r="K468" s="711"/>
      <c r="L468" s="711"/>
      <c r="M468" s="711"/>
      <c r="N468" s="711">
        <v>2</v>
      </c>
      <c r="O468" s="711">
        <v>9212.6</v>
      </c>
      <c r="P468" s="701"/>
      <c r="Q468" s="712">
        <v>4606.3</v>
      </c>
    </row>
    <row r="469" spans="1:17" ht="14.4" customHeight="1" x14ac:dyDescent="0.3">
      <c r="A469" s="695" t="s">
        <v>556</v>
      </c>
      <c r="B469" s="696" t="s">
        <v>3783</v>
      </c>
      <c r="C469" s="696" t="s">
        <v>3620</v>
      </c>
      <c r="D469" s="696" t="s">
        <v>4374</v>
      </c>
      <c r="E469" s="696" t="s">
        <v>4346</v>
      </c>
      <c r="F469" s="711"/>
      <c r="G469" s="711"/>
      <c r="H469" s="711"/>
      <c r="I469" s="711"/>
      <c r="J469" s="711"/>
      <c r="K469" s="711"/>
      <c r="L469" s="711"/>
      <c r="M469" s="711"/>
      <c r="N469" s="711">
        <v>2</v>
      </c>
      <c r="O469" s="711">
        <v>10061.120000000001</v>
      </c>
      <c r="P469" s="701"/>
      <c r="Q469" s="712">
        <v>5030.5600000000004</v>
      </c>
    </row>
    <row r="470" spans="1:17" ht="14.4" customHeight="1" x14ac:dyDescent="0.3">
      <c r="A470" s="695" t="s">
        <v>556</v>
      </c>
      <c r="B470" s="696" t="s">
        <v>3783</v>
      </c>
      <c r="C470" s="696" t="s">
        <v>3620</v>
      </c>
      <c r="D470" s="696" t="s">
        <v>4375</v>
      </c>
      <c r="E470" s="696" t="s">
        <v>4376</v>
      </c>
      <c r="F470" s="711"/>
      <c r="G470" s="711"/>
      <c r="H470" s="711"/>
      <c r="I470" s="711"/>
      <c r="J470" s="711"/>
      <c r="K470" s="711"/>
      <c r="L470" s="711"/>
      <c r="M470" s="711"/>
      <c r="N470" s="711">
        <v>2</v>
      </c>
      <c r="O470" s="711">
        <v>3233.46</v>
      </c>
      <c r="P470" s="701"/>
      <c r="Q470" s="712">
        <v>1616.73</v>
      </c>
    </row>
    <row r="471" spans="1:17" ht="14.4" customHeight="1" x14ac:dyDescent="0.3">
      <c r="A471" s="695" t="s">
        <v>556</v>
      </c>
      <c r="B471" s="696" t="s">
        <v>3783</v>
      </c>
      <c r="C471" s="696" t="s">
        <v>3620</v>
      </c>
      <c r="D471" s="696" t="s">
        <v>4377</v>
      </c>
      <c r="E471" s="696" t="s">
        <v>4217</v>
      </c>
      <c r="F471" s="711"/>
      <c r="G471" s="711"/>
      <c r="H471" s="711"/>
      <c r="I471" s="711"/>
      <c r="J471" s="711"/>
      <c r="K471" s="711"/>
      <c r="L471" s="711"/>
      <c r="M471" s="711"/>
      <c r="N471" s="711">
        <v>2</v>
      </c>
      <c r="O471" s="711">
        <v>2317.3000000000002</v>
      </c>
      <c r="P471" s="701"/>
      <c r="Q471" s="712">
        <v>1158.6500000000001</v>
      </c>
    </row>
    <row r="472" spans="1:17" ht="14.4" customHeight="1" x14ac:dyDescent="0.3">
      <c r="A472" s="695" t="s">
        <v>556</v>
      </c>
      <c r="B472" s="696" t="s">
        <v>3783</v>
      </c>
      <c r="C472" s="696" t="s">
        <v>3620</v>
      </c>
      <c r="D472" s="696" t="s">
        <v>4378</v>
      </c>
      <c r="E472" s="696" t="s">
        <v>4379</v>
      </c>
      <c r="F472" s="711"/>
      <c r="G472" s="711"/>
      <c r="H472" s="711"/>
      <c r="I472" s="711"/>
      <c r="J472" s="711">
        <v>1</v>
      </c>
      <c r="K472" s="711">
        <v>5589</v>
      </c>
      <c r="L472" s="711"/>
      <c r="M472" s="711">
        <v>5589</v>
      </c>
      <c r="N472" s="711">
        <v>2</v>
      </c>
      <c r="O472" s="711">
        <v>11178</v>
      </c>
      <c r="P472" s="701"/>
      <c r="Q472" s="712">
        <v>5589</v>
      </c>
    </row>
    <row r="473" spans="1:17" ht="14.4" customHeight="1" x14ac:dyDescent="0.3">
      <c r="A473" s="695" t="s">
        <v>556</v>
      </c>
      <c r="B473" s="696" t="s">
        <v>3783</v>
      </c>
      <c r="C473" s="696" t="s">
        <v>3620</v>
      </c>
      <c r="D473" s="696" t="s">
        <v>4380</v>
      </c>
      <c r="E473" s="696" t="s">
        <v>3932</v>
      </c>
      <c r="F473" s="711">
        <v>3</v>
      </c>
      <c r="G473" s="711">
        <v>2813.73</v>
      </c>
      <c r="H473" s="711">
        <v>1</v>
      </c>
      <c r="I473" s="711">
        <v>937.91</v>
      </c>
      <c r="J473" s="711"/>
      <c r="K473" s="711"/>
      <c r="L473" s="711"/>
      <c r="M473" s="711"/>
      <c r="N473" s="711"/>
      <c r="O473" s="711"/>
      <c r="P473" s="701"/>
      <c r="Q473" s="712"/>
    </row>
    <row r="474" spans="1:17" ht="14.4" customHeight="1" x14ac:dyDescent="0.3">
      <c r="A474" s="695" t="s">
        <v>556</v>
      </c>
      <c r="B474" s="696" t="s">
        <v>3783</v>
      </c>
      <c r="C474" s="696" t="s">
        <v>3620</v>
      </c>
      <c r="D474" s="696" t="s">
        <v>4381</v>
      </c>
      <c r="E474" s="696" t="s">
        <v>4382</v>
      </c>
      <c r="F474" s="711"/>
      <c r="G474" s="711"/>
      <c r="H474" s="711"/>
      <c r="I474" s="711"/>
      <c r="J474" s="711">
        <v>3</v>
      </c>
      <c r="K474" s="711">
        <v>679.34999999999991</v>
      </c>
      <c r="L474" s="711"/>
      <c r="M474" s="711">
        <v>226.44999999999996</v>
      </c>
      <c r="N474" s="711"/>
      <c r="O474" s="711"/>
      <c r="P474" s="701"/>
      <c r="Q474" s="712"/>
    </row>
    <row r="475" spans="1:17" ht="14.4" customHeight="1" x14ac:dyDescent="0.3">
      <c r="A475" s="695" t="s">
        <v>556</v>
      </c>
      <c r="B475" s="696" t="s">
        <v>3783</v>
      </c>
      <c r="C475" s="696" t="s">
        <v>3620</v>
      </c>
      <c r="D475" s="696" t="s">
        <v>4383</v>
      </c>
      <c r="E475" s="696" t="s">
        <v>4384</v>
      </c>
      <c r="F475" s="711">
        <v>1</v>
      </c>
      <c r="G475" s="711">
        <v>4466.2</v>
      </c>
      <c r="H475" s="711">
        <v>1</v>
      </c>
      <c r="I475" s="711">
        <v>4466.2</v>
      </c>
      <c r="J475" s="711"/>
      <c r="K475" s="711"/>
      <c r="L475" s="711"/>
      <c r="M475" s="711"/>
      <c r="N475" s="711"/>
      <c r="O475" s="711"/>
      <c r="P475" s="701"/>
      <c r="Q475" s="712"/>
    </row>
    <row r="476" spans="1:17" ht="14.4" customHeight="1" x14ac:dyDescent="0.3">
      <c r="A476" s="695" t="s">
        <v>556</v>
      </c>
      <c r="B476" s="696" t="s">
        <v>3783</v>
      </c>
      <c r="C476" s="696" t="s">
        <v>3620</v>
      </c>
      <c r="D476" s="696" t="s">
        <v>4385</v>
      </c>
      <c r="E476" s="696" t="s">
        <v>4386</v>
      </c>
      <c r="F476" s="711"/>
      <c r="G476" s="711"/>
      <c r="H476" s="711"/>
      <c r="I476" s="711"/>
      <c r="J476" s="711">
        <v>0.2</v>
      </c>
      <c r="K476" s="711">
        <v>17.18</v>
      </c>
      <c r="L476" s="711"/>
      <c r="M476" s="711">
        <v>85.899999999999991</v>
      </c>
      <c r="N476" s="711">
        <v>0.3</v>
      </c>
      <c r="O476" s="711">
        <v>25.77</v>
      </c>
      <c r="P476" s="701"/>
      <c r="Q476" s="712">
        <v>85.9</v>
      </c>
    </row>
    <row r="477" spans="1:17" ht="14.4" customHeight="1" x14ac:dyDescent="0.3">
      <c r="A477" s="695" t="s">
        <v>556</v>
      </c>
      <c r="B477" s="696" t="s">
        <v>3783</v>
      </c>
      <c r="C477" s="696" t="s">
        <v>3620</v>
      </c>
      <c r="D477" s="696" t="s">
        <v>4387</v>
      </c>
      <c r="E477" s="696" t="s">
        <v>4386</v>
      </c>
      <c r="F477" s="711"/>
      <c r="G477" s="711"/>
      <c r="H477" s="711"/>
      <c r="I477" s="711"/>
      <c r="J477" s="711">
        <v>0.1</v>
      </c>
      <c r="K477" s="711">
        <v>50.02</v>
      </c>
      <c r="L477" s="711"/>
      <c r="M477" s="711">
        <v>500.2</v>
      </c>
      <c r="N477" s="711">
        <v>0.1</v>
      </c>
      <c r="O477" s="711">
        <v>50.02</v>
      </c>
      <c r="P477" s="701"/>
      <c r="Q477" s="712">
        <v>500.2</v>
      </c>
    </row>
    <row r="478" spans="1:17" ht="14.4" customHeight="1" x14ac:dyDescent="0.3">
      <c r="A478" s="695" t="s">
        <v>556</v>
      </c>
      <c r="B478" s="696" t="s">
        <v>3783</v>
      </c>
      <c r="C478" s="696" t="s">
        <v>3620</v>
      </c>
      <c r="D478" s="696" t="s">
        <v>4388</v>
      </c>
      <c r="E478" s="696" t="s">
        <v>4038</v>
      </c>
      <c r="F478" s="711"/>
      <c r="G478" s="711"/>
      <c r="H478" s="711"/>
      <c r="I478" s="711"/>
      <c r="J478" s="711">
        <v>1</v>
      </c>
      <c r="K478" s="711">
        <v>4062.03</v>
      </c>
      <c r="L478" s="711"/>
      <c r="M478" s="711">
        <v>4062.03</v>
      </c>
      <c r="N478" s="711"/>
      <c r="O478" s="711"/>
      <c r="P478" s="701"/>
      <c r="Q478" s="712"/>
    </row>
    <row r="479" spans="1:17" ht="14.4" customHeight="1" x14ac:dyDescent="0.3">
      <c r="A479" s="695" t="s">
        <v>556</v>
      </c>
      <c r="B479" s="696" t="s">
        <v>3783</v>
      </c>
      <c r="C479" s="696" t="s">
        <v>3620</v>
      </c>
      <c r="D479" s="696" t="s">
        <v>4389</v>
      </c>
      <c r="E479" s="696" t="s">
        <v>4386</v>
      </c>
      <c r="F479" s="711"/>
      <c r="G479" s="711"/>
      <c r="H479" s="711"/>
      <c r="I479" s="711"/>
      <c r="J479" s="711">
        <v>0.2</v>
      </c>
      <c r="K479" s="711">
        <v>197.2</v>
      </c>
      <c r="L479" s="711"/>
      <c r="M479" s="711">
        <v>985.99999999999989</v>
      </c>
      <c r="N479" s="711">
        <v>0.4</v>
      </c>
      <c r="O479" s="711">
        <v>394.4</v>
      </c>
      <c r="P479" s="701"/>
      <c r="Q479" s="712">
        <v>985.99999999999989</v>
      </c>
    </row>
    <row r="480" spans="1:17" ht="14.4" customHeight="1" x14ac:dyDescent="0.3">
      <c r="A480" s="695" t="s">
        <v>556</v>
      </c>
      <c r="B480" s="696" t="s">
        <v>3783</v>
      </c>
      <c r="C480" s="696" t="s">
        <v>3620</v>
      </c>
      <c r="D480" s="696" t="s">
        <v>4390</v>
      </c>
      <c r="E480" s="696" t="s">
        <v>4274</v>
      </c>
      <c r="F480" s="711"/>
      <c r="G480" s="711"/>
      <c r="H480" s="711"/>
      <c r="I480" s="711"/>
      <c r="J480" s="711">
        <v>5</v>
      </c>
      <c r="K480" s="711">
        <v>3993</v>
      </c>
      <c r="L480" s="711"/>
      <c r="M480" s="711">
        <v>798.6</v>
      </c>
      <c r="N480" s="711">
        <v>5</v>
      </c>
      <c r="O480" s="711">
        <v>3993</v>
      </c>
      <c r="P480" s="701"/>
      <c r="Q480" s="712">
        <v>798.6</v>
      </c>
    </row>
    <row r="481" spans="1:17" ht="14.4" customHeight="1" x14ac:dyDescent="0.3">
      <c r="A481" s="695" t="s">
        <v>556</v>
      </c>
      <c r="B481" s="696" t="s">
        <v>3783</v>
      </c>
      <c r="C481" s="696" t="s">
        <v>3620</v>
      </c>
      <c r="D481" s="696" t="s">
        <v>4391</v>
      </c>
      <c r="E481" s="696" t="s">
        <v>3918</v>
      </c>
      <c r="F481" s="711"/>
      <c r="G481" s="711"/>
      <c r="H481" s="711"/>
      <c r="I481" s="711"/>
      <c r="J481" s="711"/>
      <c r="K481" s="711"/>
      <c r="L481" s="711"/>
      <c r="M481" s="711"/>
      <c r="N481" s="711">
        <v>6</v>
      </c>
      <c r="O481" s="711">
        <v>1815.72</v>
      </c>
      <c r="P481" s="701"/>
      <c r="Q481" s="712">
        <v>302.62</v>
      </c>
    </row>
    <row r="482" spans="1:17" ht="14.4" customHeight="1" x14ac:dyDescent="0.3">
      <c r="A482" s="695" t="s">
        <v>556</v>
      </c>
      <c r="B482" s="696" t="s">
        <v>3783</v>
      </c>
      <c r="C482" s="696" t="s">
        <v>3620</v>
      </c>
      <c r="D482" s="696" t="s">
        <v>4392</v>
      </c>
      <c r="E482" s="696" t="s">
        <v>3902</v>
      </c>
      <c r="F482" s="711"/>
      <c r="G482" s="711"/>
      <c r="H482" s="711"/>
      <c r="I482" s="711"/>
      <c r="J482" s="711"/>
      <c r="K482" s="711"/>
      <c r="L482" s="711"/>
      <c r="M482" s="711"/>
      <c r="N482" s="711">
        <v>4</v>
      </c>
      <c r="O482" s="711">
        <v>1865.88</v>
      </c>
      <c r="P482" s="701"/>
      <c r="Q482" s="712">
        <v>466.47</v>
      </c>
    </row>
    <row r="483" spans="1:17" ht="14.4" customHeight="1" x14ac:dyDescent="0.3">
      <c r="A483" s="695" t="s">
        <v>556</v>
      </c>
      <c r="B483" s="696" t="s">
        <v>3783</v>
      </c>
      <c r="C483" s="696" t="s">
        <v>3620</v>
      </c>
      <c r="D483" s="696" t="s">
        <v>4393</v>
      </c>
      <c r="E483" s="696" t="s">
        <v>4089</v>
      </c>
      <c r="F483" s="711"/>
      <c r="G483" s="711"/>
      <c r="H483" s="711"/>
      <c r="I483" s="711"/>
      <c r="J483" s="711"/>
      <c r="K483" s="711"/>
      <c r="L483" s="711"/>
      <c r="M483" s="711"/>
      <c r="N483" s="711">
        <v>1</v>
      </c>
      <c r="O483" s="711">
        <v>682.96</v>
      </c>
      <c r="P483" s="701"/>
      <c r="Q483" s="712">
        <v>682.96</v>
      </c>
    </row>
    <row r="484" spans="1:17" ht="14.4" customHeight="1" x14ac:dyDescent="0.3">
      <c r="A484" s="695" t="s">
        <v>556</v>
      </c>
      <c r="B484" s="696" t="s">
        <v>3783</v>
      </c>
      <c r="C484" s="696" t="s">
        <v>3620</v>
      </c>
      <c r="D484" s="696" t="s">
        <v>4394</v>
      </c>
      <c r="E484" s="696" t="s">
        <v>4395</v>
      </c>
      <c r="F484" s="711"/>
      <c r="G484" s="711"/>
      <c r="H484" s="711"/>
      <c r="I484" s="711"/>
      <c r="J484" s="711"/>
      <c r="K484" s="711"/>
      <c r="L484" s="711"/>
      <c r="M484" s="711"/>
      <c r="N484" s="711">
        <v>1</v>
      </c>
      <c r="O484" s="711">
        <v>10992</v>
      </c>
      <c r="P484" s="701"/>
      <c r="Q484" s="712">
        <v>10992</v>
      </c>
    </row>
    <row r="485" spans="1:17" ht="14.4" customHeight="1" x14ac:dyDescent="0.3">
      <c r="A485" s="695" t="s">
        <v>556</v>
      </c>
      <c r="B485" s="696" t="s">
        <v>3783</v>
      </c>
      <c r="C485" s="696" t="s">
        <v>3620</v>
      </c>
      <c r="D485" s="696" t="s">
        <v>4396</v>
      </c>
      <c r="E485" s="696" t="s">
        <v>4204</v>
      </c>
      <c r="F485" s="711"/>
      <c r="G485" s="711"/>
      <c r="H485" s="711"/>
      <c r="I485" s="711"/>
      <c r="J485" s="711"/>
      <c r="K485" s="711"/>
      <c r="L485" s="711"/>
      <c r="M485" s="711"/>
      <c r="N485" s="711">
        <v>1</v>
      </c>
      <c r="O485" s="711">
        <v>9224.67</v>
      </c>
      <c r="P485" s="701"/>
      <c r="Q485" s="712">
        <v>9224.67</v>
      </c>
    </row>
    <row r="486" spans="1:17" ht="14.4" customHeight="1" x14ac:dyDescent="0.3">
      <c r="A486" s="695" t="s">
        <v>556</v>
      </c>
      <c r="B486" s="696" t="s">
        <v>3783</v>
      </c>
      <c r="C486" s="696" t="s">
        <v>3620</v>
      </c>
      <c r="D486" s="696" t="s">
        <v>4397</v>
      </c>
      <c r="E486" s="696" t="s">
        <v>4398</v>
      </c>
      <c r="F486" s="711"/>
      <c r="G486" s="711"/>
      <c r="H486" s="711"/>
      <c r="I486" s="711"/>
      <c r="J486" s="711"/>
      <c r="K486" s="711"/>
      <c r="L486" s="711"/>
      <c r="M486" s="711"/>
      <c r="N486" s="711">
        <v>5</v>
      </c>
      <c r="O486" s="711">
        <v>5378.75</v>
      </c>
      <c r="P486" s="701"/>
      <c r="Q486" s="712">
        <v>1075.75</v>
      </c>
    </row>
    <row r="487" spans="1:17" ht="14.4" customHeight="1" x14ac:dyDescent="0.3">
      <c r="A487" s="695" t="s">
        <v>556</v>
      </c>
      <c r="B487" s="696" t="s">
        <v>3783</v>
      </c>
      <c r="C487" s="696" t="s">
        <v>3620</v>
      </c>
      <c r="D487" s="696" t="s">
        <v>4399</v>
      </c>
      <c r="E487" s="696" t="s">
        <v>4279</v>
      </c>
      <c r="F487" s="711"/>
      <c r="G487" s="711"/>
      <c r="H487" s="711"/>
      <c r="I487" s="711"/>
      <c r="J487" s="711"/>
      <c r="K487" s="711"/>
      <c r="L487" s="711"/>
      <c r="M487" s="711"/>
      <c r="N487" s="711">
        <v>1</v>
      </c>
      <c r="O487" s="711">
        <v>9275</v>
      </c>
      <c r="P487" s="701"/>
      <c r="Q487" s="712">
        <v>9275</v>
      </c>
    </row>
    <row r="488" spans="1:17" ht="14.4" customHeight="1" x14ac:dyDescent="0.3">
      <c r="A488" s="695" t="s">
        <v>556</v>
      </c>
      <c r="B488" s="696" t="s">
        <v>3783</v>
      </c>
      <c r="C488" s="696" t="s">
        <v>3620</v>
      </c>
      <c r="D488" s="696" t="s">
        <v>4400</v>
      </c>
      <c r="E488" s="696" t="s">
        <v>4401</v>
      </c>
      <c r="F488" s="711"/>
      <c r="G488" s="711"/>
      <c r="H488" s="711"/>
      <c r="I488" s="711"/>
      <c r="J488" s="711"/>
      <c r="K488" s="711"/>
      <c r="L488" s="711"/>
      <c r="M488" s="711"/>
      <c r="N488" s="711">
        <v>0.3</v>
      </c>
      <c r="O488" s="711">
        <v>686.19</v>
      </c>
      <c r="P488" s="701"/>
      <c r="Q488" s="712">
        <v>2287.3000000000002</v>
      </c>
    </row>
    <row r="489" spans="1:17" ht="14.4" customHeight="1" x14ac:dyDescent="0.3">
      <c r="A489" s="695" t="s">
        <v>556</v>
      </c>
      <c r="B489" s="696" t="s">
        <v>3783</v>
      </c>
      <c r="C489" s="696" t="s">
        <v>3620</v>
      </c>
      <c r="D489" s="696" t="s">
        <v>4402</v>
      </c>
      <c r="E489" s="696" t="s">
        <v>4403</v>
      </c>
      <c r="F489" s="711"/>
      <c r="G489" s="711"/>
      <c r="H489" s="711"/>
      <c r="I489" s="711"/>
      <c r="J489" s="711"/>
      <c r="K489" s="711"/>
      <c r="L489" s="711"/>
      <c r="M489" s="711"/>
      <c r="N489" s="711">
        <v>0.1</v>
      </c>
      <c r="O489" s="711">
        <v>602.64</v>
      </c>
      <c r="P489" s="701"/>
      <c r="Q489" s="712">
        <v>6026.4</v>
      </c>
    </row>
    <row r="490" spans="1:17" ht="14.4" customHeight="1" x14ac:dyDescent="0.3">
      <c r="A490" s="695" t="s">
        <v>556</v>
      </c>
      <c r="B490" s="696" t="s">
        <v>3783</v>
      </c>
      <c r="C490" s="696" t="s">
        <v>3620</v>
      </c>
      <c r="D490" s="696" t="s">
        <v>4404</v>
      </c>
      <c r="E490" s="696" t="s">
        <v>4405</v>
      </c>
      <c r="F490" s="711"/>
      <c r="G490" s="711"/>
      <c r="H490" s="711"/>
      <c r="I490" s="711"/>
      <c r="J490" s="711">
        <v>0.1</v>
      </c>
      <c r="K490" s="711">
        <v>42.39</v>
      </c>
      <c r="L490" s="711"/>
      <c r="M490" s="711">
        <v>423.9</v>
      </c>
      <c r="N490" s="711"/>
      <c r="O490" s="711"/>
      <c r="P490" s="701"/>
      <c r="Q490" s="712"/>
    </row>
    <row r="491" spans="1:17" ht="14.4" customHeight="1" x14ac:dyDescent="0.3">
      <c r="A491" s="695" t="s">
        <v>556</v>
      </c>
      <c r="B491" s="696" t="s">
        <v>3783</v>
      </c>
      <c r="C491" s="696" t="s">
        <v>3620</v>
      </c>
      <c r="D491" s="696" t="s">
        <v>4406</v>
      </c>
      <c r="E491" s="696" t="s">
        <v>4407</v>
      </c>
      <c r="F491" s="711"/>
      <c r="G491" s="711"/>
      <c r="H491" s="711"/>
      <c r="I491" s="711"/>
      <c r="J491" s="711"/>
      <c r="K491" s="711"/>
      <c r="L491" s="711"/>
      <c r="M491" s="711"/>
      <c r="N491" s="711">
        <v>1</v>
      </c>
      <c r="O491" s="711">
        <v>7358.18</v>
      </c>
      <c r="P491" s="701"/>
      <c r="Q491" s="712">
        <v>7358.18</v>
      </c>
    </row>
    <row r="492" spans="1:17" ht="14.4" customHeight="1" x14ac:dyDescent="0.3">
      <c r="A492" s="695" t="s">
        <v>556</v>
      </c>
      <c r="B492" s="696" t="s">
        <v>3783</v>
      </c>
      <c r="C492" s="696" t="s">
        <v>3620</v>
      </c>
      <c r="D492" s="696" t="s">
        <v>4408</v>
      </c>
      <c r="E492" s="696" t="s">
        <v>4409</v>
      </c>
      <c r="F492" s="711"/>
      <c r="G492" s="711"/>
      <c r="H492" s="711"/>
      <c r="I492" s="711"/>
      <c r="J492" s="711"/>
      <c r="K492" s="711"/>
      <c r="L492" s="711"/>
      <c r="M492" s="711"/>
      <c r="N492" s="711">
        <v>1</v>
      </c>
      <c r="O492" s="711">
        <v>4544.5</v>
      </c>
      <c r="P492" s="701"/>
      <c r="Q492" s="712">
        <v>4544.5</v>
      </c>
    </row>
    <row r="493" spans="1:17" ht="14.4" customHeight="1" x14ac:dyDescent="0.3">
      <c r="A493" s="695" t="s">
        <v>556</v>
      </c>
      <c r="B493" s="696" t="s">
        <v>3783</v>
      </c>
      <c r="C493" s="696" t="s">
        <v>3589</v>
      </c>
      <c r="D493" s="696" t="s">
        <v>4410</v>
      </c>
      <c r="E493" s="696" t="s">
        <v>4411</v>
      </c>
      <c r="F493" s="711">
        <v>10</v>
      </c>
      <c r="G493" s="711">
        <v>1850</v>
      </c>
      <c r="H493" s="711">
        <v>1</v>
      </c>
      <c r="I493" s="711">
        <v>185</v>
      </c>
      <c r="J493" s="711">
        <v>4</v>
      </c>
      <c r="K493" s="711">
        <v>740</v>
      </c>
      <c r="L493" s="711">
        <v>0.4</v>
      </c>
      <c r="M493" s="711">
        <v>185</v>
      </c>
      <c r="N493" s="711">
        <v>8</v>
      </c>
      <c r="O493" s="711">
        <v>1480</v>
      </c>
      <c r="P493" s="701">
        <v>0.8</v>
      </c>
      <c r="Q493" s="712">
        <v>185</v>
      </c>
    </row>
    <row r="494" spans="1:17" ht="14.4" customHeight="1" x14ac:dyDescent="0.3">
      <c r="A494" s="695" t="s">
        <v>556</v>
      </c>
      <c r="B494" s="696" t="s">
        <v>3783</v>
      </c>
      <c r="C494" s="696" t="s">
        <v>3589</v>
      </c>
      <c r="D494" s="696" t="s">
        <v>3590</v>
      </c>
      <c r="E494" s="696" t="s">
        <v>3591</v>
      </c>
      <c r="F494" s="711">
        <v>448</v>
      </c>
      <c r="G494" s="711">
        <v>111551</v>
      </c>
      <c r="H494" s="711">
        <v>1</v>
      </c>
      <c r="I494" s="711">
        <v>248.99776785714286</v>
      </c>
      <c r="J494" s="711">
        <v>341</v>
      </c>
      <c r="K494" s="711">
        <v>79112</v>
      </c>
      <c r="L494" s="711">
        <v>0.70920027610689285</v>
      </c>
      <c r="M494" s="711">
        <v>232</v>
      </c>
      <c r="N494" s="711"/>
      <c r="O494" s="711"/>
      <c r="P494" s="701"/>
      <c r="Q494" s="712"/>
    </row>
    <row r="495" spans="1:17" ht="14.4" customHeight="1" x14ac:dyDescent="0.3">
      <c r="A495" s="695" t="s">
        <v>556</v>
      </c>
      <c r="B495" s="696" t="s">
        <v>3783</v>
      </c>
      <c r="C495" s="696" t="s">
        <v>3589</v>
      </c>
      <c r="D495" s="696" t="s">
        <v>4412</v>
      </c>
      <c r="E495" s="696" t="s">
        <v>4413</v>
      </c>
      <c r="F495" s="711"/>
      <c r="G495" s="711"/>
      <c r="H495" s="711"/>
      <c r="I495" s="711"/>
      <c r="J495" s="711"/>
      <c r="K495" s="711"/>
      <c r="L495" s="711"/>
      <c r="M495" s="711"/>
      <c r="N495" s="711">
        <v>2</v>
      </c>
      <c r="O495" s="711">
        <v>3234</v>
      </c>
      <c r="P495" s="701"/>
      <c r="Q495" s="712">
        <v>1617</v>
      </c>
    </row>
    <row r="496" spans="1:17" ht="14.4" customHeight="1" x14ac:dyDescent="0.3">
      <c r="A496" s="695" t="s">
        <v>556</v>
      </c>
      <c r="B496" s="696" t="s">
        <v>3783</v>
      </c>
      <c r="C496" s="696" t="s">
        <v>3589</v>
      </c>
      <c r="D496" s="696" t="s">
        <v>3822</v>
      </c>
      <c r="E496" s="696" t="s">
        <v>3823</v>
      </c>
      <c r="F496" s="711">
        <v>44</v>
      </c>
      <c r="G496" s="711">
        <v>29696</v>
      </c>
      <c r="H496" s="711">
        <v>1</v>
      </c>
      <c r="I496" s="711">
        <v>674.90909090909088</v>
      </c>
      <c r="J496" s="711">
        <v>37</v>
      </c>
      <c r="K496" s="711">
        <v>25197</v>
      </c>
      <c r="L496" s="711">
        <v>0.8484981142241379</v>
      </c>
      <c r="M496" s="711">
        <v>681</v>
      </c>
      <c r="N496" s="711">
        <v>36</v>
      </c>
      <c r="O496" s="711">
        <v>24516</v>
      </c>
      <c r="P496" s="701">
        <v>0.82556573275862066</v>
      </c>
      <c r="Q496" s="712">
        <v>681</v>
      </c>
    </row>
    <row r="497" spans="1:17" ht="14.4" customHeight="1" x14ac:dyDescent="0.3">
      <c r="A497" s="695" t="s">
        <v>556</v>
      </c>
      <c r="B497" s="696" t="s">
        <v>3783</v>
      </c>
      <c r="C497" s="696" t="s">
        <v>3589</v>
      </c>
      <c r="D497" s="696" t="s">
        <v>3654</v>
      </c>
      <c r="E497" s="696" t="s">
        <v>3655</v>
      </c>
      <c r="F497" s="711">
        <v>7</v>
      </c>
      <c r="G497" s="711">
        <v>861</v>
      </c>
      <c r="H497" s="711">
        <v>1</v>
      </c>
      <c r="I497" s="711">
        <v>123</v>
      </c>
      <c r="J497" s="711">
        <v>13</v>
      </c>
      <c r="K497" s="711">
        <v>1612</v>
      </c>
      <c r="L497" s="711">
        <v>1.8722415795586527</v>
      </c>
      <c r="M497" s="711">
        <v>124</v>
      </c>
      <c r="N497" s="711">
        <v>7</v>
      </c>
      <c r="O497" s="711">
        <v>868</v>
      </c>
      <c r="P497" s="701">
        <v>1.0081300813008129</v>
      </c>
      <c r="Q497" s="712">
        <v>124</v>
      </c>
    </row>
    <row r="498" spans="1:17" ht="14.4" customHeight="1" x14ac:dyDescent="0.3">
      <c r="A498" s="695" t="s">
        <v>556</v>
      </c>
      <c r="B498" s="696" t="s">
        <v>3783</v>
      </c>
      <c r="C498" s="696" t="s">
        <v>3589</v>
      </c>
      <c r="D498" s="696" t="s">
        <v>3595</v>
      </c>
      <c r="E498" s="696" t="s">
        <v>3596</v>
      </c>
      <c r="F498" s="711">
        <v>41</v>
      </c>
      <c r="G498" s="711">
        <v>6068</v>
      </c>
      <c r="H498" s="711">
        <v>1</v>
      </c>
      <c r="I498" s="711">
        <v>148</v>
      </c>
      <c r="J498" s="711">
        <v>47</v>
      </c>
      <c r="K498" s="711">
        <v>7003</v>
      </c>
      <c r="L498" s="711">
        <v>1.1540870138431114</v>
      </c>
      <c r="M498" s="711">
        <v>149</v>
      </c>
      <c r="N498" s="711">
        <v>45</v>
      </c>
      <c r="O498" s="711">
        <v>6705</v>
      </c>
      <c r="P498" s="701">
        <v>1.1049769281476598</v>
      </c>
      <c r="Q498" s="712">
        <v>149</v>
      </c>
    </row>
    <row r="499" spans="1:17" ht="14.4" customHeight="1" x14ac:dyDescent="0.3">
      <c r="A499" s="695" t="s">
        <v>556</v>
      </c>
      <c r="B499" s="696" t="s">
        <v>3783</v>
      </c>
      <c r="C499" s="696" t="s">
        <v>3589</v>
      </c>
      <c r="D499" s="696" t="s">
        <v>3656</v>
      </c>
      <c r="E499" s="696" t="s">
        <v>3657</v>
      </c>
      <c r="F499" s="711">
        <v>10</v>
      </c>
      <c r="G499" s="711">
        <v>2220</v>
      </c>
      <c r="H499" s="711">
        <v>1</v>
      </c>
      <c r="I499" s="711">
        <v>222</v>
      </c>
      <c r="J499" s="711">
        <v>6</v>
      </c>
      <c r="K499" s="711">
        <v>1344</v>
      </c>
      <c r="L499" s="711">
        <v>0.60540540540540544</v>
      </c>
      <c r="M499" s="711">
        <v>224</v>
      </c>
      <c r="N499" s="711">
        <v>4</v>
      </c>
      <c r="O499" s="711">
        <v>896</v>
      </c>
      <c r="P499" s="701">
        <v>0.40360360360360359</v>
      </c>
      <c r="Q499" s="712">
        <v>224</v>
      </c>
    </row>
    <row r="500" spans="1:17" ht="14.4" customHeight="1" x14ac:dyDescent="0.3">
      <c r="A500" s="695" t="s">
        <v>556</v>
      </c>
      <c r="B500" s="696" t="s">
        <v>3783</v>
      </c>
      <c r="C500" s="696" t="s">
        <v>3589</v>
      </c>
      <c r="D500" s="696" t="s">
        <v>3660</v>
      </c>
      <c r="E500" s="696" t="s">
        <v>3661</v>
      </c>
      <c r="F500" s="711">
        <v>60</v>
      </c>
      <c r="G500" s="711">
        <v>5459</v>
      </c>
      <c r="H500" s="711">
        <v>1</v>
      </c>
      <c r="I500" s="711">
        <v>90.983333333333334</v>
      </c>
      <c r="J500" s="711">
        <v>51</v>
      </c>
      <c r="K500" s="711">
        <v>4641</v>
      </c>
      <c r="L500" s="711">
        <v>0.85015570617329184</v>
      </c>
      <c r="M500" s="711">
        <v>91</v>
      </c>
      <c r="N500" s="711">
        <v>35</v>
      </c>
      <c r="O500" s="711">
        <v>3185</v>
      </c>
      <c r="P500" s="701">
        <v>0.58344019051108265</v>
      </c>
      <c r="Q500" s="712">
        <v>91</v>
      </c>
    </row>
    <row r="501" spans="1:17" ht="14.4" customHeight="1" x14ac:dyDescent="0.3">
      <c r="A501" s="695" t="s">
        <v>556</v>
      </c>
      <c r="B501" s="696" t="s">
        <v>3783</v>
      </c>
      <c r="C501" s="696" t="s">
        <v>3589</v>
      </c>
      <c r="D501" s="696" t="s">
        <v>3664</v>
      </c>
      <c r="E501" s="696" t="s">
        <v>3665</v>
      </c>
      <c r="F501" s="711">
        <v>3</v>
      </c>
      <c r="G501" s="711">
        <v>663</v>
      </c>
      <c r="H501" s="711">
        <v>1</v>
      </c>
      <c r="I501" s="711">
        <v>221</v>
      </c>
      <c r="J501" s="711">
        <v>2</v>
      </c>
      <c r="K501" s="711">
        <v>446</v>
      </c>
      <c r="L501" s="711">
        <v>0.67269984917043746</v>
      </c>
      <c r="M501" s="711">
        <v>223</v>
      </c>
      <c r="N501" s="711">
        <v>2</v>
      </c>
      <c r="O501" s="711">
        <v>446</v>
      </c>
      <c r="P501" s="701">
        <v>0.67269984917043746</v>
      </c>
      <c r="Q501" s="712">
        <v>223</v>
      </c>
    </row>
    <row r="502" spans="1:17" ht="14.4" customHeight="1" x14ac:dyDescent="0.3">
      <c r="A502" s="695" t="s">
        <v>556</v>
      </c>
      <c r="B502" s="696" t="s">
        <v>3783</v>
      </c>
      <c r="C502" s="696" t="s">
        <v>3589</v>
      </c>
      <c r="D502" s="696" t="s">
        <v>4414</v>
      </c>
      <c r="E502" s="696" t="s">
        <v>4415</v>
      </c>
      <c r="F502" s="711">
        <v>3</v>
      </c>
      <c r="G502" s="711">
        <v>1119</v>
      </c>
      <c r="H502" s="711">
        <v>1</v>
      </c>
      <c r="I502" s="711">
        <v>373</v>
      </c>
      <c r="J502" s="711">
        <v>3</v>
      </c>
      <c r="K502" s="711">
        <v>1128</v>
      </c>
      <c r="L502" s="711">
        <v>1.0080428954423593</v>
      </c>
      <c r="M502" s="711">
        <v>376</v>
      </c>
      <c r="N502" s="711">
        <v>1</v>
      </c>
      <c r="O502" s="711">
        <v>376</v>
      </c>
      <c r="P502" s="701">
        <v>0.3360142984807864</v>
      </c>
      <c r="Q502" s="712">
        <v>376</v>
      </c>
    </row>
    <row r="503" spans="1:17" ht="14.4" customHeight="1" x14ac:dyDescent="0.3">
      <c r="A503" s="695" t="s">
        <v>556</v>
      </c>
      <c r="B503" s="696" t="s">
        <v>3783</v>
      </c>
      <c r="C503" s="696" t="s">
        <v>3589</v>
      </c>
      <c r="D503" s="696" t="s">
        <v>4416</v>
      </c>
      <c r="E503" s="696" t="s">
        <v>4417</v>
      </c>
      <c r="F503" s="711">
        <v>6</v>
      </c>
      <c r="G503" s="711">
        <v>20700</v>
      </c>
      <c r="H503" s="711">
        <v>1</v>
      </c>
      <c r="I503" s="711">
        <v>3450</v>
      </c>
      <c r="J503" s="711">
        <v>8</v>
      </c>
      <c r="K503" s="711">
        <v>27728</v>
      </c>
      <c r="L503" s="711">
        <v>1.3395169082125604</v>
      </c>
      <c r="M503" s="711">
        <v>3466</v>
      </c>
      <c r="N503" s="711">
        <v>9</v>
      </c>
      <c r="O503" s="711">
        <v>31194</v>
      </c>
      <c r="P503" s="701">
        <v>1.5069565217391305</v>
      </c>
      <c r="Q503" s="712">
        <v>3466</v>
      </c>
    </row>
    <row r="504" spans="1:17" ht="14.4" customHeight="1" x14ac:dyDescent="0.3">
      <c r="A504" s="695" t="s">
        <v>556</v>
      </c>
      <c r="B504" s="696" t="s">
        <v>3783</v>
      </c>
      <c r="C504" s="696" t="s">
        <v>3589</v>
      </c>
      <c r="D504" s="696" t="s">
        <v>3791</v>
      </c>
      <c r="E504" s="696" t="s">
        <v>3792</v>
      </c>
      <c r="F504" s="711">
        <v>6</v>
      </c>
      <c r="G504" s="711">
        <v>27630</v>
      </c>
      <c r="H504" s="711">
        <v>1</v>
      </c>
      <c r="I504" s="711">
        <v>4605</v>
      </c>
      <c r="J504" s="711">
        <v>7</v>
      </c>
      <c r="K504" s="711">
        <v>32396</v>
      </c>
      <c r="L504" s="711">
        <v>1.1724936663047412</v>
      </c>
      <c r="M504" s="711">
        <v>4628</v>
      </c>
      <c r="N504" s="711">
        <v>6</v>
      </c>
      <c r="O504" s="711">
        <v>27768</v>
      </c>
      <c r="P504" s="701">
        <v>1.0049945711183497</v>
      </c>
      <c r="Q504" s="712">
        <v>4628</v>
      </c>
    </row>
    <row r="505" spans="1:17" ht="14.4" customHeight="1" x14ac:dyDescent="0.3">
      <c r="A505" s="695" t="s">
        <v>556</v>
      </c>
      <c r="B505" s="696" t="s">
        <v>3783</v>
      </c>
      <c r="C505" s="696" t="s">
        <v>3589</v>
      </c>
      <c r="D505" s="696" t="s">
        <v>4418</v>
      </c>
      <c r="E505" s="696" t="s">
        <v>4419</v>
      </c>
      <c r="F505" s="711">
        <v>4</v>
      </c>
      <c r="G505" s="711">
        <v>12444</v>
      </c>
      <c r="H505" s="711">
        <v>1</v>
      </c>
      <c r="I505" s="711">
        <v>3111</v>
      </c>
      <c r="J505" s="711"/>
      <c r="K505" s="711"/>
      <c r="L505" s="711"/>
      <c r="M505" s="711"/>
      <c r="N505" s="711"/>
      <c r="O505" s="711"/>
      <c r="P505" s="701"/>
      <c r="Q505" s="712"/>
    </row>
    <row r="506" spans="1:17" ht="14.4" customHeight="1" x14ac:dyDescent="0.3">
      <c r="A506" s="695" t="s">
        <v>556</v>
      </c>
      <c r="B506" s="696" t="s">
        <v>3783</v>
      </c>
      <c r="C506" s="696" t="s">
        <v>3589</v>
      </c>
      <c r="D506" s="696" t="s">
        <v>4420</v>
      </c>
      <c r="E506" s="696" t="s">
        <v>4421</v>
      </c>
      <c r="F506" s="711">
        <v>9</v>
      </c>
      <c r="G506" s="711">
        <v>36810</v>
      </c>
      <c r="H506" s="711">
        <v>1</v>
      </c>
      <c r="I506" s="711">
        <v>4090</v>
      </c>
      <c r="J506" s="711">
        <v>11</v>
      </c>
      <c r="K506" s="711">
        <v>45190</v>
      </c>
      <c r="L506" s="711">
        <v>1.2276555283890247</v>
      </c>
      <c r="M506" s="711">
        <v>4108.181818181818</v>
      </c>
      <c r="N506" s="711">
        <v>12</v>
      </c>
      <c r="O506" s="711">
        <v>49320</v>
      </c>
      <c r="P506" s="701">
        <v>1.3398533007334963</v>
      </c>
      <c r="Q506" s="712">
        <v>4110</v>
      </c>
    </row>
    <row r="507" spans="1:17" ht="14.4" customHeight="1" x14ac:dyDescent="0.3">
      <c r="A507" s="695" t="s">
        <v>556</v>
      </c>
      <c r="B507" s="696" t="s">
        <v>3783</v>
      </c>
      <c r="C507" s="696" t="s">
        <v>3589</v>
      </c>
      <c r="D507" s="696" t="s">
        <v>4422</v>
      </c>
      <c r="E507" s="696" t="s">
        <v>4423</v>
      </c>
      <c r="F507" s="711">
        <v>5</v>
      </c>
      <c r="G507" s="711">
        <v>555</v>
      </c>
      <c r="H507" s="711">
        <v>1</v>
      </c>
      <c r="I507" s="711">
        <v>111</v>
      </c>
      <c r="J507" s="711">
        <v>4</v>
      </c>
      <c r="K507" s="711">
        <v>448</v>
      </c>
      <c r="L507" s="711">
        <v>0.80720720720720718</v>
      </c>
      <c r="M507" s="711">
        <v>112</v>
      </c>
      <c r="N507" s="711">
        <v>5</v>
      </c>
      <c r="O507" s="711">
        <v>560</v>
      </c>
      <c r="P507" s="701">
        <v>1.0090090090090089</v>
      </c>
      <c r="Q507" s="712">
        <v>112</v>
      </c>
    </row>
    <row r="508" spans="1:17" ht="14.4" customHeight="1" x14ac:dyDescent="0.3">
      <c r="A508" s="695" t="s">
        <v>556</v>
      </c>
      <c r="B508" s="696" t="s">
        <v>3783</v>
      </c>
      <c r="C508" s="696" t="s">
        <v>3589</v>
      </c>
      <c r="D508" s="696" t="s">
        <v>4424</v>
      </c>
      <c r="E508" s="696" t="s">
        <v>4425</v>
      </c>
      <c r="F508" s="711"/>
      <c r="G508" s="711"/>
      <c r="H508" s="711"/>
      <c r="I508" s="711"/>
      <c r="J508" s="711">
        <v>1</v>
      </c>
      <c r="K508" s="711">
        <v>340</v>
      </c>
      <c r="L508" s="711"/>
      <c r="M508" s="711">
        <v>340</v>
      </c>
      <c r="N508" s="711"/>
      <c r="O508" s="711"/>
      <c r="P508" s="701"/>
      <c r="Q508" s="712"/>
    </row>
    <row r="509" spans="1:17" ht="14.4" customHeight="1" x14ac:dyDescent="0.3">
      <c r="A509" s="695" t="s">
        <v>556</v>
      </c>
      <c r="B509" s="696" t="s">
        <v>3783</v>
      </c>
      <c r="C509" s="696" t="s">
        <v>3589</v>
      </c>
      <c r="D509" s="696" t="s">
        <v>4426</v>
      </c>
      <c r="E509" s="696" t="s">
        <v>4427</v>
      </c>
      <c r="F509" s="711">
        <v>9</v>
      </c>
      <c r="G509" s="711">
        <v>38400</v>
      </c>
      <c r="H509" s="711">
        <v>1</v>
      </c>
      <c r="I509" s="711">
        <v>4266.666666666667</v>
      </c>
      <c r="J509" s="711">
        <v>18</v>
      </c>
      <c r="K509" s="711">
        <v>77112</v>
      </c>
      <c r="L509" s="711">
        <v>2.0081250000000002</v>
      </c>
      <c r="M509" s="711">
        <v>4284</v>
      </c>
      <c r="N509" s="711">
        <v>14</v>
      </c>
      <c r="O509" s="711">
        <v>59976</v>
      </c>
      <c r="P509" s="701">
        <v>1.5618749999999999</v>
      </c>
      <c r="Q509" s="712">
        <v>4284</v>
      </c>
    </row>
    <row r="510" spans="1:17" ht="14.4" customHeight="1" x14ac:dyDescent="0.3">
      <c r="A510" s="695" t="s">
        <v>556</v>
      </c>
      <c r="B510" s="696" t="s">
        <v>3783</v>
      </c>
      <c r="C510" s="696" t="s">
        <v>3589</v>
      </c>
      <c r="D510" s="696" t="s">
        <v>4428</v>
      </c>
      <c r="E510" s="696" t="s">
        <v>4429</v>
      </c>
      <c r="F510" s="711">
        <v>3</v>
      </c>
      <c r="G510" s="711">
        <v>6945</v>
      </c>
      <c r="H510" s="711">
        <v>1</v>
      </c>
      <c r="I510" s="711">
        <v>2315</v>
      </c>
      <c r="J510" s="711">
        <v>2</v>
      </c>
      <c r="K510" s="711">
        <v>4654</v>
      </c>
      <c r="L510" s="711">
        <v>0.67012239020878328</v>
      </c>
      <c r="M510" s="711">
        <v>2327</v>
      </c>
      <c r="N510" s="711"/>
      <c r="O510" s="711"/>
      <c r="P510" s="701"/>
      <c r="Q510" s="712"/>
    </row>
    <row r="511" spans="1:17" ht="14.4" customHeight="1" x14ac:dyDescent="0.3">
      <c r="A511" s="695" t="s">
        <v>556</v>
      </c>
      <c r="B511" s="696" t="s">
        <v>3783</v>
      </c>
      <c r="C511" s="696" t="s">
        <v>3589</v>
      </c>
      <c r="D511" s="696" t="s">
        <v>4430</v>
      </c>
      <c r="E511" s="696" t="s">
        <v>4431</v>
      </c>
      <c r="F511" s="711">
        <v>8</v>
      </c>
      <c r="G511" s="711">
        <v>42444</v>
      </c>
      <c r="H511" s="711">
        <v>1</v>
      </c>
      <c r="I511" s="711">
        <v>5305.5</v>
      </c>
      <c r="J511" s="711">
        <v>8</v>
      </c>
      <c r="K511" s="711">
        <v>42584</v>
      </c>
      <c r="L511" s="711">
        <v>1.0032984638582603</v>
      </c>
      <c r="M511" s="711">
        <v>5323</v>
      </c>
      <c r="N511" s="711">
        <v>8</v>
      </c>
      <c r="O511" s="711">
        <v>42584</v>
      </c>
      <c r="P511" s="701">
        <v>1.0032984638582603</v>
      </c>
      <c r="Q511" s="712">
        <v>5323</v>
      </c>
    </row>
    <row r="512" spans="1:17" ht="14.4" customHeight="1" x14ac:dyDescent="0.3">
      <c r="A512" s="695" t="s">
        <v>556</v>
      </c>
      <c r="B512" s="696" t="s">
        <v>3783</v>
      </c>
      <c r="C512" s="696" t="s">
        <v>3589</v>
      </c>
      <c r="D512" s="696" t="s">
        <v>4432</v>
      </c>
      <c r="E512" s="696" t="s">
        <v>4433</v>
      </c>
      <c r="F512" s="711">
        <v>1</v>
      </c>
      <c r="G512" s="711">
        <v>2608</v>
      </c>
      <c r="H512" s="711">
        <v>1</v>
      </c>
      <c r="I512" s="711">
        <v>2608</v>
      </c>
      <c r="J512" s="711"/>
      <c r="K512" s="711"/>
      <c r="L512" s="711"/>
      <c r="M512" s="711"/>
      <c r="N512" s="711"/>
      <c r="O512" s="711"/>
      <c r="P512" s="701"/>
      <c r="Q512" s="712"/>
    </row>
    <row r="513" spans="1:17" ht="14.4" customHeight="1" x14ac:dyDescent="0.3">
      <c r="A513" s="695" t="s">
        <v>556</v>
      </c>
      <c r="B513" s="696" t="s">
        <v>3783</v>
      </c>
      <c r="C513" s="696" t="s">
        <v>3589</v>
      </c>
      <c r="D513" s="696" t="s">
        <v>4434</v>
      </c>
      <c r="E513" s="696" t="s">
        <v>4435</v>
      </c>
      <c r="F513" s="711">
        <v>4</v>
      </c>
      <c r="G513" s="711">
        <v>34800</v>
      </c>
      <c r="H513" s="711">
        <v>1</v>
      </c>
      <c r="I513" s="711">
        <v>8700</v>
      </c>
      <c r="J513" s="711">
        <v>2</v>
      </c>
      <c r="K513" s="711">
        <v>17502</v>
      </c>
      <c r="L513" s="711">
        <v>0.50293103448275867</v>
      </c>
      <c r="M513" s="711">
        <v>8751</v>
      </c>
      <c r="N513" s="711"/>
      <c r="O513" s="711"/>
      <c r="P513" s="701"/>
      <c r="Q513" s="712"/>
    </row>
    <row r="514" spans="1:17" ht="14.4" customHeight="1" x14ac:dyDescent="0.3">
      <c r="A514" s="695" t="s">
        <v>556</v>
      </c>
      <c r="B514" s="696" t="s">
        <v>3783</v>
      </c>
      <c r="C514" s="696" t="s">
        <v>3589</v>
      </c>
      <c r="D514" s="696" t="s">
        <v>4436</v>
      </c>
      <c r="E514" s="696" t="s">
        <v>4437</v>
      </c>
      <c r="F514" s="711">
        <v>3</v>
      </c>
      <c r="G514" s="711">
        <v>969</v>
      </c>
      <c r="H514" s="711">
        <v>1</v>
      </c>
      <c r="I514" s="711">
        <v>323</v>
      </c>
      <c r="J514" s="711"/>
      <c r="K514" s="711"/>
      <c r="L514" s="711"/>
      <c r="M514" s="711"/>
      <c r="N514" s="711">
        <v>1</v>
      </c>
      <c r="O514" s="711">
        <v>327</v>
      </c>
      <c r="P514" s="701">
        <v>0.33746130030959753</v>
      </c>
      <c r="Q514" s="712">
        <v>327</v>
      </c>
    </row>
    <row r="515" spans="1:17" ht="14.4" customHeight="1" x14ac:dyDescent="0.3">
      <c r="A515" s="695" t="s">
        <v>556</v>
      </c>
      <c r="B515" s="696" t="s">
        <v>3783</v>
      </c>
      <c r="C515" s="696" t="s">
        <v>3589</v>
      </c>
      <c r="D515" s="696" t="s">
        <v>4438</v>
      </c>
      <c r="E515" s="696" t="s">
        <v>4439</v>
      </c>
      <c r="F515" s="711">
        <v>8</v>
      </c>
      <c r="G515" s="711">
        <v>12040</v>
      </c>
      <c r="H515" s="711">
        <v>1</v>
      </c>
      <c r="I515" s="711">
        <v>1505</v>
      </c>
      <c r="J515" s="711">
        <v>12</v>
      </c>
      <c r="K515" s="711">
        <v>18180</v>
      </c>
      <c r="L515" s="711">
        <v>1.5099667774086378</v>
      </c>
      <c r="M515" s="711">
        <v>1515</v>
      </c>
      <c r="N515" s="711">
        <v>4</v>
      </c>
      <c r="O515" s="711">
        <v>6060</v>
      </c>
      <c r="P515" s="701">
        <v>0.50332225913621265</v>
      </c>
      <c r="Q515" s="712">
        <v>1515</v>
      </c>
    </row>
    <row r="516" spans="1:17" ht="14.4" customHeight="1" x14ac:dyDescent="0.3">
      <c r="A516" s="695" t="s">
        <v>556</v>
      </c>
      <c r="B516" s="696" t="s">
        <v>3783</v>
      </c>
      <c r="C516" s="696" t="s">
        <v>3589</v>
      </c>
      <c r="D516" s="696" t="s">
        <v>4440</v>
      </c>
      <c r="E516" s="696" t="s">
        <v>4441</v>
      </c>
      <c r="F516" s="711">
        <v>2</v>
      </c>
      <c r="G516" s="711">
        <v>6030</v>
      </c>
      <c r="H516" s="711">
        <v>1</v>
      </c>
      <c r="I516" s="711">
        <v>3015</v>
      </c>
      <c r="J516" s="711">
        <v>1</v>
      </c>
      <c r="K516" s="711">
        <v>3031</v>
      </c>
      <c r="L516" s="711">
        <v>0.50265339966832501</v>
      </c>
      <c r="M516" s="711">
        <v>3031</v>
      </c>
      <c r="N516" s="711">
        <v>3</v>
      </c>
      <c r="O516" s="711">
        <v>9093</v>
      </c>
      <c r="P516" s="701">
        <v>1.5079601990049751</v>
      </c>
      <c r="Q516" s="712">
        <v>3031</v>
      </c>
    </row>
    <row r="517" spans="1:17" ht="14.4" customHeight="1" x14ac:dyDescent="0.3">
      <c r="A517" s="695" t="s">
        <v>556</v>
      </c>
      <c r="B517" s="696" t="s">
        <v>3783</v>
      </c>
      <c r="C517" s="696" t="s">
        <v>3589</v>
      </c>
      <c r="D517" s="696" t="s">
        <v>4442</v>
      </c>
      <c r="E517" s="696" t="s">
        <v>4443</v>
      </c>
      <c r="F517" s="711">
        <v>3</v>
      </c>
      <c r="G517" s="711">
        <v>7170</v>
      </c>
      <c r="H517" s="711">
        <v>1</v>
      </c>
      <c r="I517" s="711">
        <v>2390</v>
      </c>
      <c r="J517" s="711">
        <v>5</v>
      </c>
      <c r="K517" s="711">
        <v>12065</v>
      </c>
      <c r="L517" s="711">
        <v>1.6827057182705718</v>
      </c>
      <c r="M517" s="711">
        <v>2413</v>
      </c>
      <c r="N517" s="711">
        <v>5</v>
      </c>
      <c r="O517" s="711">
        <v>12065</v>
      </c>
      <c r="P517" s="701">
        <v>1.6827057182705718</v>
      </c>
      <c r="Q517" s="712">
        <v>2413</v>
      </c>
    </row>
    <row r="518" spans="1:17" ht="14.4" customHeight="1" x14ac:dyDescent="0.3">
      <c r="A518" s="695" t="s">
        <v>556</v>
      </c>
      <c r="B518" s="696" t="s">
        <v>3783</v>
      </c>
      <c r="C518" s="696" t="s">
        <v>3589</v>
      </c>
      <c r="D518" s="696" t="s">
        <v>3668</v>
      </c>
      <c r="E518" s="696" t="s">
        <v>3669</v>
      </c>
      <c r="F518" s="711">
        <v>1</v>
      </c>
      <c r="G518" s="711">
        <v>525</v>
      </c>
      <c r="H518" s="711">
        <v>1</v>
      </c>
      <c r="I518" s="711">
        <v>525</v>
      </c>
      <c r="J518" s="711">
        <v>1</v>
      </c>
      <c r="K518" s="711">
        <v>527</v>
      </c>
      <c r="L518" s="711">
        <v>1.0038095238095237</v>
      </c>
      <c r="M518" s="711">
        <v>527</v>
      </c>
      <c r="N518" s="711">
        <v>3</v>
      </c>
      <c r="O518" s="711">
        <v>1581</v>
      </c>
      <c r="P518" s="701">
        <v>3.0114285714285716</v>
      </c>
      <c r="Q518" s="712">
        <v>527</v>
      </c>
    </row>
    <row r="519" spans="1:17" ht="14.4" customHeight="1" x14ac:dyDescent="0.3">
      <c r="A519" s="695" t="s">
        <v>556</v>
      </c>
      <c r="B519" s="696" t="s">
        <v>3783</v>
      </c>
      <c r="C519" s="696" t="s">
        <v>3589</v>
      </c>
      <c r="D519" s="696" t="s">
        <v>4444</v>
      </c>
      <c r="E519" s="696" t="s">
        <v>4445</v>
      </c>
      <c r="F519" s="711">
        <v>1</v>
      </c>
      <c r="G519" s="711">
        <v>1475</v>
      </c>
      <c r="H519" s="711">
        <v>1</v>
      </c>
      <c r="I519" s="711">
        <v>1475</v>
      </c>
      <c r="J519" s="711"/>
      <c r="K519" s="711"/>
      <c r="L519" s="711"/>
      <c r="M519" s="711"/>
      <c r="N519" s="711">
        <v>5</v>
      </c>
      <c r="O519" s="711">
        <v>7405</v>
      </c>
      <c r="P519" s="701">
        <v>5.0203389830508476</v>
      </c>
      <c r="Q519" s="712">
        <v>1481</v>
      </c>
    </row>
    <row r="520" spans="1:17" ht="14.4" customHeight="1" x14ac:dyDescent="0.3">
      <c r="A520" s="695" t="s">
        <v>556</v>
      </c>
      <c r="B520" s="696" t="s">
        <v>3783</v>
      </c>
      <c r="C520" s="696" t="s">
        <v>3589</v>
      </c>
      <c r="D520" s="696" t="s">
        <v>4446</v>
      </c>
      <c r="E520" s="696" t="s">
        <v>4447</v>
      </c>
      <c r="F520" s="711">
        <v>2</v>
      </c>
      <c r="G520" s="711">
        <v>8426</v>
      </c>
      <c r="H520" s="711">
        <v>1</v>
      </c>
      <c r="I520" s="711">
        <v>4213</v>
      </c>
      <c r="J520" s="711">
        <v>1</v>
      </c>
      <c r="K520" s="711">
        <v>4236</v>
      </c>
      <c r="L520" s="711">
        <v>0.5027296463327795</v>
      </c>
      <c r="M520" s="711">
        <v>4236</v>
      </c>
      <c r="N520" s="711"/>
      <c r="O520" s="711"/>
      <c r="P520" s="701"/>
      <c r="Q520" s="712"/>
    </row>
    <row r="521" spans="1:17" ht="14.4" customHeight="1" x14ac:dyDescent="0.3">
      <c r="A521" s="695" t="s">
        <v>556</v>
      </c>
      <c r="B521" s="696" t="s">
        <v>3783</v>
      </c>
      <c r="C521" s="696" t="s">
        <v>3589</v>
      </c>
      <c r="D521" s="696" t="s">
        <v>3670</v>
      </c>
      <c r="E521" s="696" t="s">
        <v>3671</v>
      </c>
      <c r="F521" s="711">
        <v>1</v>
      </c>
      <c r="G521" s="711">
        <v>656</v>
      </c>
      <c r="H521" s="711">
        <v>1</v>
      </c>
      <c r="I521" s="711">
        <v>656</v>
      </c>
      <c r="J521" s="711"/>
      <c r="K521" s="711"/>
      <c r="L521" s="711"/>
      <c r="M521" s="711"/>
      <c r="N521" s="711"/>
      <c r="O521" s="711"/>
      <c r="P521" s="701"/>
      <c r="Q521" s="712"/>
    </row>
    <row r="522" spans="1:17" ht="14.4" customHeight="1" x14ac:dyDescent="0.3">
      <c r="A522" s="695" t="s">
        <v>556</v>
      </c>
      <c r="B522" s="696" t="s">
        <v>3783</v>
      </c>
      <c r="C522" s="696" t="s">
        <v>3589</v>
      </c>
      <c r="D522" s="696" t="s">
        <v>4448</v>
      </c>
      <c r="E522" s="696" t="s">
        <v>4449</v>
      </c>
      <c r="F522" s="711">
        <v>1</v>
      </c>
      <c r="G522" s="711">
        <v>1429</v>
      </c>
      <c r="H522" s="711">
        <v>1</v>
      </c>
      <c r="I522" s="711">
        <v>1429</v>
      </c>
      <c r="J522" s="711"/>
      <c r="K522" s="711"/>
      <c r="L522" s="711"/>
      <c r="M522" s="711"/>
      <c r="N522" s="711"/>
      <c r="O522" s="711"/>
      <c r="P522" s="701"/>
      <c r="Q522" s="712"/>
    </row>
    <row r="523" spans="1:17" ht="14.4" customHeight="1" x14ac:dyDescent="0.3">
      <c r="A523" s="695" t="s">
        <v>556</v>
      </c>
      <c r="B523" s="696" t="s">
        <v>3783</v>
      </c>
      <c r="C523" s="696" t="s">
        <v>3589</v>
      </c>
      <c r="D523" s="696" t="s">
        <v>4450</v>
      </c>
      <c r="E523" s="696" t="s">
        <v>4451</v>
      </c>
      <c r="F523" s="711">
        <v>2</v>
      </c>
      <c r="G523" s="711">
        <v>1808</v>
      </c>
      <c r="H523" s="711">
        <v>1</v>
      </c>
      <c r="I523" s="711">
        <v>904</v>
      </c>
      <c r="J523" s="711">
        <v>10</v>
      </c>
      <c r="K523" s="711">
        <v>9100</v>
      </c>
      <c r="L523" s="711">
        <v>5.033185840707965</v>
      </c>
      <c r="M523" s="711">
        <v>910</v>
      </c>
      <c r="N523" s="711">
        <v>2</v>
      </c>
      <c r="O523" s="711">
        <v>1820</v>
      </c>
      <c r="P523" s="701">
        <v>1.0066371681415929</v>
      </c>
      <c r="Q523" s="712">
        <v>910</v>
      </c>
    </row>
    <row r="524" spans="1:17" ht="14.4" customHeight="1" x14ac:dyDescent="0.3">
      <c r="A524" s="695" t="s">
        <v>556</v>
      </c>
      <c r="B524" s="696" t="s">
        <v>3783</v>
      </c>
      <c r="C524" s="696" t="s">
        <v>3589</v>
      </c>
      <c r="D524" s="696" t="s">
        <v>4452</v>
      </c>
      <c r="E524" s="696" t="s">
        <v>4453</v>
      </c>
      <c r="F524" s="711">
        <v>1</v>
      </c>
      <c r="G524" s="711">
        <v>997</v>
      </c>
      <c r="H524" s="711">
        <v>1</v>
      </c>
      <c r="I524" s="711">
        <v>997</v>
      </c>
      <c r="J524" s="711"/>
      <c r="K524" s="711"/>
      <c r="L524" s="711"/>
      <c r="M524" s="711"/>
      <c r="N524" s="711"/>
      <c r="O524" s="711"/>
      <c r="P524" s="701"/>
      <c r="Q524" s="712"/>
    </row>
    <row r="525" spans="1:17" ht="14.4" customHeight="1" x14ac:dyDescent="0.3">
      <c r="A525" s="695" t="s">
        <v>556</v>
      </c>
      <c r="B525" s="696" t="s">
        <v>3783</v>
      </c>
      <c r="C525" s="696" t="s">
        <v>3589</v>
      </c>
      <c r="D525" s="696" t="s">
        <v>4454</v>
      </c>
      <c r="E525" s="696" t="s">
        <v>4455</v>
      </c>
      <c r="F525" s="711">
        <v>2</v>
      </c>
      <c r="G525" s="711">
        <v>7932</v>
      </c>
      <c r="H525" s="711">
        <v>1</v>
      </c>
      <c r="I525" s="711">
        <v>3966</v>
      </c>
      <c r="J525" s="711"/>
      <c r="K525" s="711"/>
      <c r="L525" s="711"/>
      <c r="M525" s="711"/>
      <c r="N525" s="711"/>
      <c r="O525" s="711"/>
      <c r="P525" s="701"/>
      <c r="Q525" s="712"/>
    </row>
    <row r="526" spans="1:17" ht="14.4" customHeight="1" x14ac:dyDescent="0.3">
      <c r="A526" s="695" t="s">
        <v>556</v>
      </c>
      <c r="B526" s="696" t="s">
        <v>3783</v>
      </c>
      <c r="C526" s="696" t="s">
        <v>3589</v>
      </c>
      <c r="D526" s="696" t="s">
        <v>3672</v>
      </c>
      <c r="E526" s="696" t="s">
        <v>3673</v>
      </c>
      <c r="F526" s="711">
        <v>4</v>
      </c>
      <c r="G526" s="711">
        <v>4816</v>
      </c>
      <c r="H526" s="711">
        <v>1</v>
      </c>
      <c r="I526" s="711">
        <v>1204</v>
      </c>
      <c r="J526" s="711"/>
      <c r="K526" s="711"/>
      <c r="L526" s="711"/>
      <c r="M526" s="711"/>
      <c r="N526" s="711">
        <v>3</v>
      </c>
      <c r="O526" s="711">
        <v>3639</v>
      </c>
      <c r="P526" s="701">
        <v>0.75560631229235875</v>
      </c>
      <c r="Q526" s="712">
        <v>1213</v>
      </c>
    </row>
    <row r="527" spans="1:17" ht="14.4" customHeight="1" x14ac:dyDescent="0.3">
      <c r="A527" s="695" t="s">
        <v>556</v>
      </c>
      <c r="B527" s="696" t="s">
        <v>3783</v>
      </c>
      <c r="C527" s="696" t="s">
        <v>3589</v>
      </c>
      <c r="D527" s="696" t="s">
        <v>4456</v>
      </c>
      <c r="E527" s="696" t="s">
        <v>4457</v>
      </c>
      <c r="F527" s="711">
        <v>2</v>
      </c>
      <c r="G527" s="711">
        <v>3474</v>
      </c>
      <c r="H527" s="711">
        <v>1</v>
      </c>
      <c r="I527" s="711">
        <v>1737</v>
      </c>
      <c r="J527" s="711"/>
      <c r="K527" s="711"/>
      <c r="L527" s="711"/>
      <c r="M527" s="711"/>
      <c r="N527" s="711"/>
      <c r="O527" s="711"/>
      <c r="P527" s="701"/>
      <c r="Q527" s="712"/>
    </row>
    <row r="528" spans="1:17" ht="14.4" customHeight="1" x14ac:dyDescent="0.3">
      <c r="A528" s="695" t="s">
        <v>556</v>
      </c>
      <c r="B528" s="696" t="s">
        <v>3783</v>
      </c>
      <c r="C528" s="696" t="s">
        <v>3589</v>
      </c>
      <c r="D528" s="696" t="s">
        <v>4458</v>
      </c>
      <c r="E528" s="696" t="s">
        <v>4459</v>
      </c>
      <c r="F528" s="711">
        <v>4</v>
      </c>
      <c r="G528" s="711">
        <v>12060</v>
      </c>
      <c r="H528" s="711">
        <v>1</v>
      </c>
      <c r="I528" s="711">
        <v>3015</v>
      </c>
      <c r="J528" s="711"/>
      <c r="K528" s="711"/>
      <c r="L528" s="711"/>
      <c r="M528" s="711"/>
      <c r="N528" s="711">
        <v>3</v>
      </c>
      <c r="O528" s="711">
        <v>9093</v>
      </c>
      <c r="P528" s="701">
        <v>0.75398009950248757</v>
      </c>
      <c r="Q528" s="712">
        <v>3031</v>
      </c>
    </row>
    <row r="529" spans="1:17" ht="14.4" customHeight="1" x14ac:dyDescent="0.3">
      <c r="A529" s="695" t="s">
        <v>556</v>
      </c>
      <c r="B529" s="696" t="s">
        <v>3783</v>
      </c>
      <c r="C529" s="696" t="s">
        <v>3589</v>
      </c>
      <c r="D529" s="696" t="s">
        <v>3674</v>
      </c>
      <c r="E529" s="696" t="s">
        <v>3675</v>
      </c>
      <c r="F529" s="711">
        <v>1</v>
      </c>
      <c r="G529" s="711">
        <v>926</v>
      </c>
      <c r="H529" s="711">
        <v>1</v>
      </c>
      <c r="I529" s="711">
        <v>926</v>
      </c>
      <c r="J529" s="711"/>
      <c r="K529" s="711"/>
      <c r="L529" s="711"/>
      <c r="M529" s="711"/>
      <c r="N529" s="711">
        <v>3</v>
      </c>
      <c r="O529" s="711">
        <v>2796</v>
      </c>
      <c r="P529" s="701">
        <v>3.0194384449244058</v>
      </c>
      <c r="Q529" s="712">
        <v>932</v>
      </c>
    </row>
    <row r="530" spans="1:17" ht="14.4" customHeight="1" x14ac:dyDescent="0.3">
      <c r="A530" s="695" t="s">
        <v>556</v>
      </c>
      <c r="B530" s="696" t="s">
        <v>3783</v>
      </c>
      <c r="C530" s="696" t="s">
        <v>3589</v>
      </c>
      <c r="D530" s="696" t="s">
        <v>4460</v>
      </c>
      <c r="E530" s="696" t="s">
        <v>4461</v>
      </c>
      <c r="F530" s="711">
        <v>3</v>
      </c>
      <c r="G530" s="711">
        <v>2349</v>
      </c>
      <c r="H530" s="711">
        <v>1</v>
      </c>
      <c r="I530" s="711">
        <v>783</v>
      </c>
      <c r="J530" s="711"/>
      <c r="K530" s="711"/>
      <c r="L530" s="711"/>
      <c r="M530" s="711"/>
      <c r="N530" s="711">
        <v>2</v>
      </c>
      <c r="O530" s="711">
        <v>1574</v>
      </c>
      <c r="P530" s="701">
        <v>0.67007237122179653</v>
      </c>
      <c r="Q530" s="712">
        <v>787</v>
      </c>
    </row>
    <row r="531" spans="1:17" ht="14.4" customHeight="1" x14ac:dyDescent="0.3">
      <c r="A531" s="695" t="s">
        <v>556</v>
      </c>
      <c r="B531" s="696" t="s">
        <v>3783</v>
      </c>
      <c r="C531" s="696" t="s">
        <v>3589</v>
      </c>
      <c r="D531" s="696" t="s">
        <v>4462</v>
      </c>
      <c r="E531" s="696" t="s">
        <v>4463</v>
      </c>
      <c r="F531" s="711">
        <v>2</v>
      </c>
      <c r="G531" s="711">
        <v>4646</v>
      </c>
      <c r="H531" s="711">
        <v>1</v>
      </c>
      <c r="I531" s="711">
        <v>2323</v>
      </c>
      <c r="J531" s="711"/>
      <c r="K531" s="711"/>
      <c r="L531" s="711"/>
      <c r="M531" s="711"/>
      <c r="N531" s="711"/>
      <c r="O531" s="711"/>
      <c r="P531" s="701"/>
      <c r="Q531" s="712"/>
    </row>
    <row r="532" spans="1:17" ht="14.4" customHeight="1" x14ac:dyDescent="0.3">
      <c r="A532" s="695" t="s">
        <v>556</v>
      </c>
      <c r="B532" s="696" t="s">
        <v>3783</v>
      </c>
      <c r="C532" s="696" t="s">
        <v>3589</v>
      </c>
      <c r="D532" s="696" t="s">
        <v>4464</v>
      </c>
      <c r="E532" s="696" t="s">
        <v>4465</v>
      </c>
      <c r="F532" s="711">
        <v>1</v>
      </c>
      <c r="G532" s="711">
        <v>1316</v>
      </c>
      <c r="H532" s="711">
        <v>1</v>
      </c>
      <c r="I532" s="711">
        <v>1316</v>
      </c>
      <c r="J532" s="711"/>
      <c r="K532" s="711"/>
      <c r="L532" s="711"/>
      <c r="M532" s="711"/>
      <c r="N532" s="711">
        <v>2</v>
      </c>
      <c r="O532" s="711">
        <v>2646</v>
      </c>
      <c r="P532" s="701">
        <v>2.0106382978723403</v>
      </c>
      <c r="Q532" s="712">
        <v>1323</v>
      </c>
    </row>
    <row r="533" spans="1:17" ht="14.4" customHeight="1" x14ac:dyDescent="0.3">
      <c r="A533" s="695" t="s">
        <v>556</v>
      </c>
      <c r="B533" s="696" t="s">
        <v>3783</v>
      </c>
      <c r="C533" s="696" t="s">
        <v>3589</v>
      </c>
      <c r="D533" s="696" t="s">
        <v>4466</v>
      </c>
      <c r="E533" s="696" t="s">
        <v>4467</v>
      </c>
      <c r="F533" s="711">
        <v>68</v>
      </c>
      <c r="G533" s="711">
        <v>338232</v>
      </c>
      <c r="H533" s="711">
        <v>1</v>
      </c>
      <c r="I533" s="711">
        <v>4974</v>
      </c>
      <c r="J533" s="711">
        <v>56</v>
      </c>
      <c r="K533" s="711">
        <v>279160</v>
      </c>
      <c r="L533" s="711">
        <v>0.82535064689325666</v>
      </c>
      <c r="M533" s="711">
        <v>4985</v>
      </c>
      <c r="N533" s="711">
        <v>51</v>
      </c>
      <c r="O533" s="711">
        <v>254235</v>
      </c>
      <c r="P533" s="701">
        <v>0.75165862484921597</v>
      </c>
      <c r="Q533" s="712">
        <v>4985</v>
      </c>
    </row>
    <row r="534" spans="1:17" ht="14.4" customHeight="1" x14ac:dyDescent="0.3">
      <c r="A534" s="695" t="s">
        <v>556</v>
      </c>
      <c r="B534" s="696" t="s">
        <v>3783</v>
      </c>
      <c r="C534" s="696" t="s">
        <v>3589</v>
      </c>
      <c r="D534" s="696" t="s">
        <v>4468</v>
      </c>
      <c r="E534" s="696" t="s">
        <v>4469</v>
      </c>
      <c r="F534" s="711"/>
      <c r="G534" s="711"/>
      <c r="H534" s="711"/>
      <c r="I534" s="711"/>
      <c r="J534" s="711">
        <v>1</v>
      </c>
      <c r="K534" s="711">
        <v>8579</v>
      </c>
      <c r="L534" s="711"/>
      <c r="M534" s="711">
        <v>8579</v>
      </c>
      <c r="N534" s="711"/>
      <c r="O534" s="711"/>
      <c r="P534" s="701"/>
      <c r="Q534" s="712"/>
    </row>
    <row r="535" spans="1:17" ht="14.4" customHeight="1" x14ac:dyDescent="0.3">
      <c r="A535" s="695" t="s">
        <v>556</v>
      </c>
      <c r="B535" s="696" t="s">
        <v>3783</v>
      </c>
      <c r="C535" s="696" t="s">
        <v>3589</v>
      </c>
      <c r="D535" s="696" t="s">
        <v>4470</v>
      </c>
      <c r="E535" s="696" t="s">
        <v>4471</v>
      </c>
      <c r="F535" s="711">
        <v>8</v>
      </c>
      <c r="G535" s="711">
        <v>2520</v>
      </c>
      <c r="H535" s="711">
        <v>1</v>
      </c>
      <c r="I535" s="711">
        <v>315</v>
      </c>
      <c r="J535" s="711"/>
      <c r="K535" s="711"/>
      <c r="L535" s="711"/>
      <c r="M535" s="711"/>
      <c r="N535" s="711"/>
      <c r="O535" s="711"/>
      <c r="P535" s="701"/>
      <c r="Q535" s="712"/>
    </row>
    <row r="536" spans="1:17" ht="14.4" customHeight="1" x14ac:dyDescent="0.3">
      <c r="A536" s="695" t="s">
        <v>556</v>
      </c>
      <c r="B536" s="696" t="s">
        <v>3783</v>
      </c>
      <c r="C536" s="696" t="s">
        <v>3589</v>
      </c>
      <c r="D536" s="696" t="s">
        <v>4472</v>
      </c>
      <c r="E536" s="696" t="s">
        <v>4473</v>
      </c>
      <c r="F536" s="711"/>
      <c r="G536" s="711"/>
      <c r="H536" s="711"/>
      <c r="I536" s="711"/>
      <c r="J536" s="711">
        <v>1</v>
      </c>
      <c r="K536" s="711">
        <v>412</v>
      </c>
      <c r="L536" s="711"/>
      <c r="M536" s="711">
        <v>412</v>
      </c>
      <c r="N536" s="711"/>
      <c r="O536" s="711"/>
      <c r="P536" s="701"/>
      <c r="Q536" s="712"/>
    </row>
    <row r="537" spans="1:17" ht="14.4" customHeight="1" x14ac:dyDescent="0.3">
      <c r="A537" s="695" t="s">
        <v>556</v>
      </c>
      <c r="B537" s="696" t="s">
        <v>3783</v>
      </c>
      <c r="C537" s="696" t="s">
        <v>3589</v>
      </c>
      <c r="D537" s="696" t="s">
        <v>4474</v>
      </c>
      <c r="E537" s="696" t="s">
        <v>4475</v>
      </c>
      <c r="F537" s="711">
        <v>5</v>
      </c>
      <c r="G537" s="711">
        <v>23960</v>
      </c>
      <c r="H537" s="711">
        <v>1</v>
      </c>
      <c r="I537" s="711">
        <v>4792</v>
      </c>
      <c r="J537" s="711">
        <v>3</v>
      </c>
      <c r="K537" s="711">
        <v>14445</v>
      </c>
      <c r="L537" s="711">
        <v>0.60287979966611016</v>
      </c>
      <c r="M537" s="711">
        <v>4815</v>
      </c>
      <c r="N537" s="711">
        <v>4</v>
      </c>
      <c r="O537" s="711">
        <v>19260</v>
      </c>
      <c r="P537" s="701">
        <v>0.80383973288814692</v>
      </c>
      <c r="Q537" s="712">
        <v>4815</v>
      </c>
    </row>
    <row r="538" spans="1:17" ht="14.4" customHeight="1" x14ac:dyDescent="0.3">
      <c r="A538" s="695" t="s">
        <v>556</v>
      </c>
      <c r="B538" s="696" t="s">
        <v>3783</v>
      </c>
      <c r="C538" s="696" t="s">
        <v>3589</v>
      </c>
      <c r="D538" s="696" t="s">
        <v>4476</v>
      </c>
      <c r="E538" s="696" t="s">
        <v>4477</v>
      </c>
      <c r="F538" s="711"/>
      <c r="G538" s="711"/>
      <c r="H538" s="711"/>
      <c r="I538" s="711"/>
      <c r="J538" s="711"/>
      <c r="K538" s="711"/>
      <c r="L538" s="711"/>
      <c r="M538" s="711"/>
      <c r="N538" s="711">
        <v>2</v>
      </c>
      <c r="O538" s="711">
        <v>1276</v>
      </c>
      <c r="P538" s="701"/>
      <c r="Q538" s="712">
        <v>638</v>
      </c>
    </row>
    <row r="539" spans="1:17" ht="14.4" customHeight="1" x14ac:dyDescent="0.3">
      <c r="A539" s="695" t="s">
        <v>556</v>
      </c>
      <c r="B539" s="696" t="s">
        <v>3783</v>
      </c>
      <c r="C539" s="696" t="s">
        <v>3589</v>
      </c>
      <c r="D539" s="696" t="s">
        <v>4478</v>
      </c>
      <c r="E539" s="696" t="s">
        <v>4479</v>
      </c>
      <c r="F539" s="711">
        <v>4</v>
      </c>
      <c r="G539" s="711">
        <v>12148</v>
      </c>
      <c r="H539" s="711">
        <v>1</v>
      </c>
      <c r="I539" s="711">
        <v>3037</v>
      </c>
      <c r="J539" s="711">
        <v>3</v>
      </c>
      <c r="K539" s="711">
        <v>9147</v>
      </c>
      <c r="L539" s="711">
        <v>0.7529634507737899</v>
      </c>
      <c r="M539" s="711">
        <v>3049</v>
      </c>
      <c r="N539" s="711">
        <v>4</v>
      </c>
      <c r="O539" s="711">
        <v>12196</v>
      </c>
      <c r="P539" s="701">
        <v>1.0039512676983866</v>
      </c>
      <c r="Q539" s="712">
        <v>3049</v>
      </c>
    </row>
    <row r="540" spans="1:17" ht="14.4" customHeight="1" x14ac:dyDescent="0.3">
      <c r="A540" s="695" t="s">
        <v>556</v>
      </c>
      <c r="B540" s="696" t="s">
        <v>3783</v>
      </c>
      <c r="C540" s="696" t="s">
        <v>3589</v>
      </c>
      <c r="D540" s="696" t="s">
        <v>4480</v>
      </c>
      <c r="E540" s="696" t="s">
        <v>4481</v>
      </c>
      <c r="F540" s="711"/>
      <c r="G540" s="711"/>
      <c r="H540" s="711"/>
      <c r="I540" s="711"/>
      <c r="J540" s="711">
        <v>2</v>
      </c>
      <c r="K540" s="711">
        <v>4412</v>
      </c>
      <c r="L540" s="711"/>
      <c r="M540" s="711">
        <v>2206</v>
      </c>
      <c r="N540" s="711"/>
      <c r="O540" s="711"/>
      <c r="P540" s="701"/>
      <c r="Q540" s="712"/>
    </row>
    <row r="541" spans="1:17" ht="14.4" customHeight="1" x14ac:dyDescent="0.3">
      <c r="A541" s="695" t="s">
        <v>556</v>
      </c>
      <c r="B541" s="696" t="s">
        <v>3783</v>
      </c>
      <c r="C541" s="696" t="s">
        <v>3589</v>
      </c>
      <c r="D541" s="696" t="s">
        <v>4482</v>
      </c>
      <c r="E541" s="696" t="s">
        <v>4483</v>
      </c>
      <c r="F541" s="711">
        <v>1</v>
      </c>
      <c r="G541" s="711">
        <v>2682</v>
      </c>
      <c r="H541" s="711">
        <v>1</v>
      </c>
      <c r="I541" s="711">
        <v>2682</v>
      </c>
      <c r="J541" s="711">
        <v>2</v>
      </c>
      <c r="K541" s="711">
        <v>5388</v>
      </c>
      <c r="L541" s="711">
        <v>2.0089485458612977</v>
      </c>
      <c r="M541" s="711">
        <v>2694</v>
      </c>
      <c r="N541" s="711">
        <v>1</v>
      </c>
      <c r="O541" s="711">
        <v>2694</v>
      </c>
      <c r="P541" s="701">
        <v>1.0044742729306488</v>
      </c>
      <c r="Q541" s="712">
        <v>2694</v>
      </c>
    </row>
    <row r="542" spans="1:17" ht="14.4" customHeight="1" x14ac:dyDescent="0.3">
      <c r="A542" s="695" t="s">
        <v>556</v>
      </c>
      <c r="B542" s="696" t="s">
        <v>3783</v>
      </c>
      <c r="C542" s="696" t="s">
        <v>3589</v>
      </c>
      <c r="D542" s="696" t="s">
        <v>4484</v>
      </c>
      <c r="E542" s="696" t="s">
        <v>4485</v>
      </c>
      <c r="F542" s="711">
        <v>2</v>
      </c>
      <c r="G542" s="711">
        <v>12200</v>
      </c>
      <c r="H542" s="711">
        <v>1</v>
      </c>
      <c r="I542" s="711">
        <v>6100</v>
      </c>
      <c r="J542" s="711"/>
      <c r="K542" s="711"/>
      <c r="L542" s="711"/>
      <c r="M542" s="711"/>
      <c r="N542" s="711">
        <v>1</v>
      </c>
      <c r="O542" s="711">
        <v>6123</v>
      </c>
      <c r="P542" s="701">
        <v>0.5018852459016393</v>
      </c>
      <c r="Q542" s="712">
        <v>6123</v>
      </c>
    </row>
    <row r="543" spans="1:17" ht="14.4" customHeight="1" x14ac:dyDescent="0.3">
      <c r="A543" s="695" t="s">
        <v>556</v>
      </c>
      <c r="B543" s="696" t="s">
        <v>3783</v>
      </c>
      <c r="C543" s="696" t="s">
        <v>3589</v>
      </c>
      <c r="D543" s="696" t="s">
        <v>4486</v>
      </c>
      <c r="E543" s="696" t="s">
        <v>4487</v>
      </c>
      <c r="F543" s="711">
        <v>2</v>
      </c>
      <c r="G543" s="711">
        <v>2962</v>
      </c>
      <c r="H543" s="711">
        <v>1</v>
      </c>
      <c r="I543" s="711">
        <v>1481</v>
      </c>
      <c r="J543" s="711">
        <v>1</v>
      </c>
      <c r="K543" s="711">
        <v>1487</v>
      </c>
      <c r="L543" s="711">
        <v>0.50202565833896018</v>
      </c>
      <c r="M543" s="711">
        <v>1487</v>
      </c>
      <c r="N543" s="711">
        <v>1</v>
      </c>
      <c r="O543" s="711">
        <v>1487</v>
      </c>
      <c r="P543" s="701">
        <v>0.50202565833896018</v>
      </c>
      <c r="Q543" s="712">
        <v>1487</v>
      </c>
    </row>
    <row r="544" spans="1:17" ht="14.4" customHeight="1" x14ac:dyDescent="0.3">
      <c r="A544" s="695" t="s">
        <v>556</v>
      </c>
      <c r="B544" s="696" t="s">
        <v>3783</v>
      </c>
      <c r="C544" s="696" t="s">
        <v>3589</v>
      </c>
      <c r="D544" s="696" t="s">
        <v>4488</v>
      </c>
      <c r="E544" s="696" t="s">
        <v>4489</v>
      </c>
      <c r="F544" s="711">
        <v>2</v>
      </c>
      <c r="G544" s="711">
        <v>5204</v>
      </c>
      <c r="H544" s="711">
        <v>1</v>
      </c>
      <c r="I544" s="711">
        <v>2602</v>
      </c>
      <c r="J544" s="711"/>
      <c r="K544" s="711"/>
      <c r="L544" s="711"/>
      <c r="M544" s="711"/>
      <c r="N544" s="711"/>
      <c r="O544" s="711"/>
      <c r="P544" s="701"/>
      <c r="Q544" s="712"/>
    </row>
    <row r="545" spans="1:17" ht="14.4" customHeight="1" x14ac:dyDescent="0.3">
      <c r="A545" s="695" t="s">
        <v>556</v>
      </c>
      <c r="B545" s="696" t="s">
        <v>3783</v>
      </c>
      <c r="C545" s="696" t="s">
        <v>3589</v>
      </c>
      <c r="D545" s="696" t="s">
        <v>4490</v>
      </c>
      <c r="E545" s="696" t="s">
        <v>4491</v>
      </c>
      <c r="F545" s="711">
        <v>1</v>
      </c>
      <c r="G545" s="711">
        <v>2734</v>
      </c>
      <c r="H545" s="711">
        <v>1</v>
      </c>
      <c r="I545" s="711">
        <v>2734</v>
      </c>
      <c r="J545" s="711">
        <v>1</v>
      </c>
      <c r="K545" s="711">
        <v>2751</v>
      </c>
      <c r="L545" s="711">
        <v>1.0062179956108266</v>
      </c>
      <c r="M545" s="711">
        <v>2751</v>
      </c>
      <c r="N545" s="711"/>
      <c r="O545" s="711"/>
      <c r="P545" s="701"/>
      <c r="Q545" s="712"/>
    </row>
    <row r="546" spans="1:17" ht="14.4" customHeight="1" x14ac:dyDescent="0.3">
      <c r="A546" s="695" t="s">
        <v>556</v>
      </c>
      <c r="B546" s="696" t="s">
        <v>3783</v>
      </c>
      <c r="C546" s="696" t="s">
        <v>3589</v>
      </c>
      <c r="D546" s="696" t="s">
        <v>4492</v>
      </c>
      <c r="E546" s="696" t="s">
        <v>4493</v>
      </c>
      <c r="F546" s="711">
        <v>2</v>
      </c>
      <c r="G546" s="711">
        <v>9292</v>
      </c>
      <c r="H546" s="711">
        <v>1</v>
      </c>
      <c r="I546" s="711">
        <v>4646</v>
      </c>
      <c r="J546" s="711">
        <v>2</v>
      </c>
      <c r="K546" s="711">
        <v>9332</v>
      </c>
      <c r="L546" s="711">
        <v>1.0043047783039174</v>
      </c>
      <c r="M546" s="711">
        <v>4666</v>
      </c>
      <c r="N546" s="711">
        <v>3</v>
      </c>
      <c r="O546" s="711">
        <v>13998</v>
      </c>
      <c r="P546" s="701">
        <v>1.506457167455876</v>
      </c>
      <c r="Q546" s="712">
        <v>4666</v>
      </c>
    </row>
    <row r="547" spans="1:17" ht="14.4" customHeight="1" x14ac:dyDescent="0.3">
      <c r="A547" s="695" t="s">
        <v>556</v>
      </c>
      <c r="B547" s="696" t="s">
        <v>3783</v>
      </c>
      <c r="C547" s="696" t="s">
        <v>3589</v>
      </c>
      <c r="D547" s="696" t="s">
        <v>4494</v>
      </c>
      <c r="E547" s="696" t="s">
        <v>4495</v>
      </c>
      <c r="F547" s="711"/>
      <c r="G547" s="711"/>
      <c r="H547" s="711"/>
      <c r="I547" s="711"/>
      <c r="J547" s="711"/>
      <c r="K547" s="711"/>
      <c r="L547" s="711"/>
      <c r="M547" s="711"/>
      <c r="N547" s="711">
        <v>1</v>
      </c>
      <c r="O547" s="711">
        <v>1894</v>
      </c>
      <c r="P547" s="701"/>
      <c r="Q547" s="712">
        <v>1894</v>
      </c>
    </row>
    <row r="548" spans="1:17" ht="14.4" customHeight="1" x14ac:dyDescent="0.3">
      <c r="A548" s="695" t="s">
        <v>556</v>
      </c>
      <c r="B548" s="696" t="s">
        <v>3783</v>
      </c>
      <c r="C548" s="696" t="s">
        <v>3589</v>
      </c>
      <c r="D548" s="696" t="s">
        <v>4496</v>
      </c>
      <c r="E548" s="696" t="s">
        <v>4497</v>
      </c>
      <c r="F548" s="711"/>
      <c r="G548" s="711"/>
      <c r="H548" s="711"/>
      <c r="I548" s="711"/>
      <c r="J548" s="711">
        <v>1</v>
      </c>
      <c r="K548" s="711">
        <v>1574</v>
      </c>
      <c r="L548" s="711"/>
      <c r="M548" s="711">
        <v>1574</v>
      </c>
      <c r="N548" s="711"/>
      <c r="O548" s="711"/>
      <c r="P548" s="701"/>
      <c r="Q548" s="712"/>
    </row>
    <row r="549" spans="1:17" ht="14.4" customHeight="1" x14ac:dyDescent="0.3">
      <c r="A549" s="695" t="s">
        <v>556</v>
      </c>
      <c r="B549" s="696" t="s">
        <v>3783</v>
      </c>
      <c r="C549" s="696" t="s">
        <v>3589</v>
      </c>
      <c r="D549" s="696" t="s">
        <v>4498</v>
      </c>
      <c r="E549" s="696" t="s">
        <v>4499</v>
      </c>
      <c r="F549" s="711">
        <v>2</v>
      </c>
      <c r="G549" s="711">
        <v>8048</v>
      </c>
      <c r="H549" s="711">
        <v>1</v>
      </c>
      <c r="I549" s="711">
        <v>4024</v>
      </c>
      <c r="J549" s="711">
        <v>2</v>
      </c>
      <c r="K549" s="711">
        <v>8088</v>
      </c>
      <c r="L549" s="711">
        <v>1.0049701789264414</v>
      </c>
      <c r="M549" s="711">
        <v>4044</v>
      </c>
      <c r="N549" s="711">
        <v>5</v>
      </c>
      <c r="O549" s="711">
        <v>20220</v>
      </c>
      <c r="P549" s="701">
        <v>2.5124254473161032</v>
      </c>
      <c r="Q549" s="712">
        <v>4044</v>
      </c>
    </row>
    <row r="550" spans="1:17" ht="14.4" customHeight="1" x14ac:dyDescent="0.3">
      <c r="A550" s="695" t="s">
        <v>556</v>
      </c>
      <c r="B550" s="696" t="s">
        <v>3783</v>
      </c>
      <c r="C550" s="696" t="s">
        <v>3589</v>
      </c>
      <c r="D550" s="696" t="s">
        <v>4500</v>
      </c>
      <c r="E550" s="696" t="s">
        <v>4501</v>
      </c>
      <c r="F550" s="711">
        <v>2</v>
      </c>
      <c r="G550" s="711">
        <v>4786</v>
      </c>
      <c r="H550" s="711">
        <v>1</v>
      </c>
      <c r="I550" s="711">
        <v>2393</v>
      </c>
      <c r="J550" s="711">
        <v>2</v>
      </c>
      <c r="K550" s="711">
        <v>4800</v>
      </c>
      <c r="L550" s="711">
        <v>1.0029251984956122</v>
      </c>
      <c r="M550" s="711">
        <v>2400</v>
      </c>
      <c r="N550" s="711"/>
      <c r="O550" s="711"/>
      <c r="P550" s="701"/>
      <c r="Q550" s="712"/>
    </row>
    <row r="551" spans="1:17" ht="14.4" customHeight="1" x14ac:dyDescent="0.3">
      <c r="A551" s="695" t="s">
        <v>556</v>
      </c>
      <c r="B551" s="696" t="s">
        <v>3783</v>
      </c>
      <c r="C551" s="696" t="s">
        <v>3589</v>
      </c>
      <c r="D551" s="696" t="s">
        <v>4502</v>
      </c>
      <c r="E551" s="696" t="s">
        <v>4503</v>
      </c>
      <c r="F551" s="711">
        <v>3</v>
      </c>
      <c r="G551" s="711">
        <v>7716</v>
      </c>
      <c r="H551" s="711">
        <v>1</v>
      </c>
      <c r="I551" s="711">
        <v>2572</v>
      </c>
      <c r="J551" s="711">
        <v>1</v>
      </c>
      <c r="K551" s="711">
        <v>2582</v>
      </c>
      <c r="L551" s="711">
        <v>0.3346293416277864</v>
      </c>
      <c r="M551" s="711">
        <v>2582</v>
      </c>
      <c r="N551" s="711"/>
      <c r="O551" s="711"/>
      <c r="P551" s="701"/>
      <c r="Q551" s="712"/>
    </row>
    <row r="552" spans="1:17" ht="14.4" customHeight="1" x14ac:dyDescent="0.3">
      <c r="A552" s="695" t="s">
        <v>556</v>
      </c>
      <c r="B552" s="696" t="s">
        <v>3783</v>
      </c>
      <c r="C552" s="696" t="s">
        <v>3589</v>
      </c>
      <c r="D552" s="696" t="s">
        <v>3678</v>
      </c>
      <c r="E552" s="696" t="s">
        <v>3679</v>
      </c>
      <c r="F552" s="711">
        <v>71</v>
      </c>
      <c r="G552" s="711">
        <v>89744</v>
      </c>
      <c r="H552" s="711">
        <v>1</v>
      </c>
      <c r="I552" s="711">
        <v>1264</v>
      </c>
      <c r="J552" s="711">
        <v>61</v>
      </c>
      <c r="K552" s="711">
        <v>77470</v>
      </c>
      <c r="L552" s="711">
        <v>0.86323319664824394</v>
      </c>
      <c r="M552" s="711">
        <v>1270</v>
      </c>
      <c r="N552" s="711">
        <v>54</v>
      </c>
      <c r="O552" s="711">
        <v>68580</v>
      </c>
      <c r="P552" s="701">
        <v>0.76417364949188804</v>
      </c>
      <c r="Q552" s="712">
        <v>1270</v>
      </c>
    </row>
    <row r="553" spans="1:17" ht="14.4" customHeight="1" x14ac:dyDescent="0.3">
      <c r="A553" s="695" t="s">
        <v>556</v>
      </c>
      <c r="B553" s="696" t="s">
        <v>3783</v>
      </c>
      <c r="C553" s="696" t="s">
        <v>3589</v>
      </c>
      <c r="D553" s="696" t="s">
        <v>4504</v>
      </c>
      <c r="E553" s="696" t="s">
        <v>4505</v>
      </c>
      <c r="F553" s="711">
        <v>8</v>
      </c>
      <c r="G553" s="711">
        <v>32089</v>
      </c>
      <c r="H553" s="711">
        <v>1</v>
      </c>
      <c r="I553" s="711">
        <v>4011.125</v>
      </c>
      <c r="J553" s="711">
        <v>14</v>
      </c>
      <c r="K553" s="711">
        <v>56462</v>
      </c>
      <c r="L553" s="711">
        <v>1.7595437688927671</v>
      </c>
      <c r="M553" s="711">
        <v>4033</v>
      </c>
      <c r="N553" s="711">
        <v>16</v>
      </c>
      <c r="O553" s="711">
        <v>64528</v>
      </c>
      <c r="P553" s="701">
        <v>2.0109071644488767</v>
      </c>
      <c r="Q553" s="712">
        <v>4033</v>
      </c>
    </row>
    <row r="554" spans="1:17" ht="14.4" customHeight="1" x14ac:dyDescent="0.3">
      <c r="A554" s="695" t="s">
        <v>556</v>
      </c>
      <c r="B554" s="696" t="s">
        <v>3783</v>
      </c>
      <c r="C554" s="696" t="s">
        <v>3589</v>
      </c>
      <c r="D554" s="696" t="s">
        <v>3680</v>
      </c>
      <c r="E554" s="696" t="s">
        <v>3681</v>
      </c>
      <c r="F554" s="711">
        <v>3</v>
      </c>
      <c r="G554" s="711">
        <v>2778</v>
      </c>
      <c r="H554" s="711">
        <v>1</v>
      </c>
      <c r="I554" s="711">
        <v>926</v>
      </c>
      <c r="J554" s="711">
        <v>6</v>
      </c>
      <c r="K554" s="711">
        <v>5586</v>
      </c>
      <c r="L554" s="711">
        <v>2.0107991360691146</v>
      </c>
      <c r="M554" s="711">
        <v>931</v>
      </c>
      <c r="N554" s="711">
        <v>9</v>
      </c>
      <c r="O554" s="711">
        <v>8388</v>
      </c>
      <c r="P554" s="701">
        <v>3.0194384449244058</v>
      </c>
      <c r="Q554" s="712">
        <v>932</v>
      </c>
    </row>
    <row r="555" spans="1:17" ht="14.4" customHeight="1" x14ac:dyDescent="0.3">
      <c r="A555" s="695" t="s">
        <v>556</v>
      </c>
      <c r="B555" s="696" t="s">
        <v>3783</v>
      </c>
      <c r="C555" s="696" t="s">
        <v>3589</v>
      </c>
      <c r="D555" s="696" t="s">
        <v>4506</v>
      </c>
      <c r="E555" s="696" t="s">
        <v>4507</v>
      </c>
      <c r="F555" s="711">
        <v>4</v>
      </c>
      <c r="G555" s="711">
        <v>3612</v>
      </c>
      <c r="H555" s="711">
        <v>1</v>
      </c>
      <c r="I555" s="711">
        <v>903</v>
      </c>
      <c r="J555" s="711">
        <v>2</v>
      </c>
      <c r="K555" s="711">
        <v>1814</v>
      </c>
      <c r="L555" s="711">
        <v>0.5022148394241418</v>
      </c>
      <c r="M555" s="711">
        <v>907</v>
      </c>
      <c r="N555" s="711">
        <v>1</v>
      </c>
      <c r="O555" s="711">
        <v>907</v>
      </c>
      <c r="P555" s="701">
        <v>0.2511074197120709</v>
      </c>
      <c r="Q555" s="712">
        <v>907</v>
      </c>
    </row>
    <row r="556" spans="1:17" ht="14.4" customHeight="1" x14ac:dyDescent="0.3">
      <c r="A556" s="695" t="s">
        <v>556</v>
      </c>
      <c r="B556" s="696" t="s">
        <v>3783</v>
      </c>
      <c r="C556" s="696" t="s">
        <v>3589</v>
      </c>
      <c r="D556" s="696" t="s">
        <v>3682</v>
      </c>
      <c r="E556" s="696" t="s">
        <v>3683</v>
      </c>
      <c r="F556" s="711">
        <v>1</v>
      </c>
      <c r="G556" s="711">
        <v>940</v>
      </c>
      <c r="H556" s="711">
        <v>1</v>
      </c>
      <c r="I556" s="711">
        <v>940</v>
      </c>
      <c r="J556" s="711"/>
      <c r="K556" s="711"/>
      <c r="L556" s="711"/>
      <c r="M556" s="711"/>
      <c r="N556" s="711"/>
      <c r="O556" s="711"/>
      <c r="P556" s="701"/>
      <c r="Q556" s="712"/>
    </row>
    <row r="557" spans="1:17" ht="14.4" customHeight="1" x14ac:dyDescent="0.3">
      <c r="A557" s="695" t="s">
        <v>556</v>
      </c>
      <c r="B557" s="696" t="s">
        <v>3783</v>
      </c>
      <c r="C557" s="696" t="s">
        <v>3589</v>
      </c>
      <c r="D557" s="696" t="s">
        <v>4508</v>
      </c>
      <c r="E557" s="696" t="s">
        <v>4509</v>
      </c>
      <c r="F557" s="711"/>
      <c r="G557" s="711"/>
      <c r="H557" s="711"/>
      <c r="I557" s="711"/>
      <c r="J557" s="711">
        <v>1</v>
      </c>
      <c r="K557" s="711">
        <v>713</v>
      </c>
      <c r="L557" s="711"/>
      <c r="M557" s="711">
        <v>713</v>
      </c>
      <c r="N557" s="711"/>
      <c r="O557" s="711"/>
      <c r="P557" s="701"/>
      <c r="Q557" s="712"/>
    </row>
    <row r="558" spans="1:17" ht="14.4" customHeight="1" x14ac:dyDescent="0.3">
      <c r="A558" s="695" t="s">
        <v>556</v>
      </c>
      <c r="B558" s="696" t="s">
        <v>3783</v>
      </c>
      <c r="C558" s="696" t="s">
        <v>3589</v>
      </c>
      <c r="D558" s="696" t="s">
        <v>4510</v>
      </c>
      <c r="E558" s="696" t="s">
        <v>4511</v>
      </c>
      <c r="F558" s="711">
        <v>2</v>
      </c>
      <c r="G558" s="711">
        <v>4620</v>
      </c>
      <c r="H558" s="711">
        <v>1</v>
      </c>
      <c r="I558" s="711">
        <v>2310</v>
      </c>
      <c r="J558" s="711">
        <v>2</v>
      </c>
      <c r="K558" s="711">
        <v>4634</v>
      </c>
      <c r="L558" s="711">
        <v>1.0030303030303029</v>
      </c>
      <c r="M558" s="711">
        <v>2317</v>
      </c>
      <c r="N558" s="711"/>
      <c r="O558" s="711"/>
      <c r="P558" s="701"/>
      <c r="Q558" s="712"/>
    </row>
    <row r="559" spans="1:17" ht="14.4" customHeight="1" x14ac:dyDescent="0.3">
      <c r="A559" s="695" t="s">
        <v>556</v>
      </c>
      <c r="B559" s="696" t="s">
        <v>3783</v>
      </c>
      <c r="C559" s="696" t="s">
        <v>3589</v>
      </c>
      <c r="D559" s="696" t="s">
        <v>4512</v>
      </c>
      <c r="E559" s="696" t="s">
        <v>4513</v>
      </c>
      <c r="F559" s="711">
        <v>30</v>
      </c>
      <c r="G559" s="711">
        <v>87570</v>
      </c>
      <c r="H559" s="711">
        <v>1</v>
      </c>
      <c r="I559" s="711">
        <v>2919</v>
      </c>
      <c r="J559" s="711">
        <v>18</v>
      </c>
      <c r="K559" s="711">
        <v>52848</v>
      </c>
      <c r="L559" s="711">
        <v>0.60349434737923946</v>
      </c>
      <c r="M559" s="711">
        <v>2936</v>
      </c>
      <c r="N559" s="711">
        <v>36</v>
      </c>
      <c r="O559" s="711">
        <v>105696</v>
      </c>
      <c r="P559" s="701">
        <v>1.2069886947584789</v>
      </c>
      <c r="Q559" s="712">
        <v>2936</v>
      </c>
    </row>
    <row r="560" spans="1:17" ht="14.4" customHeight="1" x14ac:dyDescent="0.3">
      <c r="A560" s="695" t="s">
        <v>556</v>
      </c>
      <c r="B560" s="696" t="s">
        <v>3783</v>
      </c>
      <c r="C560" s="696" t="s">
        <v>3589</v>
      </c>
      <c r="D560" s="696" t="s">
        <v>4514</v>
      </c>
      <c r="E560" s="696" t="s">
        <v>4515</v>
      </c>
      <c r="F560" s="711">
        <v>1</v>
      </c>
      <c r="G560" s="711">
        <v>2134</v>
      </c>
      <c r="H560" s="711">
        <v>1</v>
      </c>
      <c r="I560" s="711">
        <v>2134</v>
      </c>
      <c r="J560" s="711">
        <v>1</v>
      </c>
      <c r="K560" s="711">
        <v>2146</v>
      </c>
      <c r="L560" s="711">
        <v>1.0056232427366447</v>
      </c>
      <c r="M560" s="711">
        <v>2146</v>
      </c>
      <c r="N560" s="711">
        <v>1</v>
      </c>
      <c r="O560" s="711">
        <v>2146</v>
      </c>
      <c r="P560" s="701">
        <v>1.0056232427366447</v>
      </c>
      <c r="Q560" s="712">
        <v>2146</v>
      </c>
    </row>
    <row r="561" spans="1:17" ht="14.4" customHeight="1" x14ac:dyDescent="0.3">
      <c r="A561" s="695" t="s">
        <v>556</v>
      </c>
      <c r="B561" s="696" t="s">
        <v>3783</v>
      </c>
      <c r="C561" s="696" t="s">
        <v>3589</v>
      </c>
      <c r="D561" s="696" t="s">
        <v>4516</v>
      </c>
      <c r="E561" s="696" t="s">
        <v>4517</v>
      </c>
      <c r="F561" s="711">
        <v>1</v>
      </c>
      <c r="G561" s="711">
        <v>1613</v>
      </c>
      <c r="H561" s="711">
        <v>1</v>
      </c>
      <c r="I561" s="711">
        <v>1613</v>
      </c>
      <c r="J561" s="711"/>
      <c r="K561" s="711"/>
      <c r="L561" s="711"/>
      <c r="M561" s="711"/>
      <c r="N561" s="711"/>
      <c r="O561" s="711"/>
      <c r="P561" s="701"/>
      <c r="Q561" s="712"/>
    </row>
    <row r="562" spans="1:17" ht="14.4" customHeight="1" x14ac:dyDescent="0.3">
      <c r="A562" s="695" t="s">
        <v>556</v>
      </c>
      <c r="B562" s="696" t="s">
        <v>3783</v>
      </c>
      <c r="C562" s="696" t="s">
        <v>3589</v>
      </c>
      <c r="D562" s="696" t="s">
        <v>4518</v>
      </c>
      <c r="E562" s="696" t="s">
        <v>4519</v>
      </c>
      <c r="F562" s="711">
        <v>1</v>
      </c>
      <c r="G562" s="711">
        <v>2143</v>
      </c>
      <c r="H562" s="711">
        <v>1</v>
      </c>
      <c r="I562" s="711">
        <v>2143</v>
      </c>
      <c r="J562" s="711"/>
      <c r="K562" s="711"/>
      <c r="L562" s="711"/>
      <c r="M562" s="711"/>
      <c r="N562" s="711">
        <v>1</v>
      </c>
      <c r="O562" s="711">
        <v>2153</v>
      </c>
      <c r="P562" s="701">
        <v>1.0046663555762949</v>
      </c>
      <c r="Q562" s="712">
        <v>2153</v>
      </c>
    </row>
    <row r="563" spans="1:17" ht="14.4" customHeight="1" x14ac:dyDescent="0.3">
      <c r="A563" s="695" t="s">
        <v>556</v>
      </c>
      <c r="B563" s="696" t="s">
        <v>3783</v>
      </c>
      <c r="C563" s="696" t="s">
        <v>3589</v>
      </c>
      <c r="D563" s="696" t="s">
        <v>4520</v>
      </c>
      <c r="E563" s="696" t="s">
        <v>4521</v>
      </c>
      <c r="F563" s="711">
        <v>1</v>
      </c>
      <c r="G563" s="711">
        <v>1625</v>
      </c>
      <c r="H563" s="711">
        <v>1</v>
      </c>
      <c r="I563" s="711">
        <v>1625</v>
      </c>
      <c r="J563" s="711">
        <v>1</v>
      </c>
      <c r="K563" s="711">
        <v>1637</v>
      </c>
      <c r="L563" s="711">
        <v>1.0073846153846153</v>
      </c>
      <c r="M563" s="711">
        <v>1637</v>
      </c>
      <c r="N563" s="711"/>
      <c r="O563" s="711"/>
      <c r="P563" s="701"/>
      <c r="Q563" s="712"/>
    </row>
    <row r="564" spans="1:17" ht="14.4" customHeight="1" x14ac:dyDescent="0.3">
      <c r="A564" s="695" t="s">
        <v>556</v>
      </c>
      <c r="B564" s="696" t="s">
        <v>3783</v>
      </c>
      <c r="C564" s="696" t="s">
        <v>3589</v>
      </c>
      <c r="D564" s="696" t="s">
        <v>4522</v>
      </c>
      <c r="E564" s="696" t="s">
        <v>4523</v>
      </c>
      <c r="F564" s="711">
        <v>0</v>
      </c>
      <c r="G564" s="711">
        <v>0</v>
      </c>
      <c r="H564" s="711"/>
      <c r="I564" s="711"/>
      <c r="J564" s="711">
        <v>0</v>
      </c>
      <c r="K564" s="711">
        <v>0</v>
      </c>
      <c r="L564" s="711"/>
      <c r="M564" s="711"/>
      <c r="N564" s="711">
        <v>0</v>
      </c>
      <c r="O564" s="711">
        <v>0</v>
      </c>
      <c r="P564" s="701"/>
      <c r="Q564" s="712"/>
    </row>
    <row r="565" spans="1:17" ht="14.4" customHeight="1" x14ac:dyDescent="0.3">
      <c r="A565" s="695" t="s">
        <v>556</v>
      </c>
      <c r="B565" s="696" t="s">
        <v>3783</v>
      </c>
      <c r="C565" s="696" t="s">
        <v>3589</v>
      </c>
      <c r="D565" s="696" t="s">
        <v>4524</v>
      </c>
      <c r="E565" s="696" t="s">
        <v>4525</v>
      </c>
      <c r="F565" s="711">
        <v>215</v>
      </c>
      <c r="G565" s="711">
        <v>0</v>
      </c>
      <c r="H565" s="711"/>
      <c r="I565" s="711">
        <v>0</v>
      </c>
      <c r="J565" s="711">
        <v>268</v>
      </c>
      <c r="K565" s="711">
        <v>0</v>
      </c>
      <c r="L565" s="711"/>
      <c r="M565" s="711">
        <v>0</v>
      </c>
      <c r="N565" s="711">
        <v>242</v>
      </c>
      <c r="O565" s="711">
        <v>0</v>
      </c>
      <c r="P565" s="701"/>
      <c r="Q565" s="712">
        <v>0</v>
      </c>
    </row>
    <row r="566" spans="1:17" ht="14.4" customHeight="1" x14ac:dyDescent="0.3">
      <c r="A566" s="695" t="s">
        <v>556</v>
      </c>
      <c r="B566" s="696" t="s">
        <v>3783</v>
      </c>
      <c r="C566" s="696" t="s">
        <v>3589</v>
      </c>
      <c r="D566" s="696" t="s">
        <v>3686</v>
      </c>
      <c r="E566" s="696" t="s">
        <v>3687</v>
      </c>
      <c r="F566" s="711">
        <v>18</v>
      </c>
      <c r="G566" s="711">
        <v>0</v>
      </c>
      <c r="H566" s="711"/>
      <c r="I566" s="711">
        <v>0</v>
      </c>
      <c r="J566" s="711">
        <v>31</v>
      </c>
      <c r="K566" s="711">
        <v>0</v>
      </c>
      <c r="L566" s="711"/>
      <c r="M566" s="711">
        <v>0</v>
      </c>
      <c r="N566" s="711"/>
      <c r="O566" s="711"/>
      <c r="P566" s="701"/>
      <c r="Q566" s="712"/>
    </row>
    <row r="567" spans="1:17" ht="14.4" customHeight="1" x14ac:dyDescent="0.3">
      <c r="A567" s="695" t="s">
        <v>556</v>
      </c>
      <c r="B567" s="696" t="s">
        <v>3783</v>
      </c>
      <c r="C567" s="696" t="s">
        <v>3589</v>
      </c>
      <c r="D567" s="696" t="s">
        <v>4526</v>
      </c>
      <c r="E567" s="696" t="s">
        <v>4527</v>
      </c>
      <c r="F567" s="711">
        <v>44</v>
      </c>
      <c r="G567" s="711">
        <v>0</v>
      </c>
      <c r="H567" s="711"/>
      <c r="I567" s="711">
        <v>0</v>
      </c>
      <c r="J567" s="711">
        <v>21</v>
      </c>
      <c r="K567" s="711">
        <v>0</v>
      </c>
      <c r="L567" s="711"/>
      <c r="M567" s="711">
        <v>0</v>
      </c>
      <c r="N567" s="711">
        <v>44</v>
      </c>
      <c r="O567" s="711">
        <v>0</v>
      </c>
      <c r="P567" s="701"/>
      <c r="Q567" s="712">
        <v>0</v>
      </c>
    </row>
    <row r="568" spans="1:17" ht="14.4" customHeight="1" x14ac:dyDescent="0.3">
      <c r="A568" s="695" t="s">
        <v>556</v>
      </c>
      <c r="B568" s="696" t="s">
        <v>3783</v>
      </c>
      <c r="C568" s="696" t="s">
        <v>3589</v>
      </c>
      <c r="D568" s="696" t="s">
        <v>4528</v>
      </c>
      <c r="E568" s="696" t="s">
        <v>4529</v>
      </c>
      <c r="F568" s="711"/>
      <c r="G568" s="711"/>
      <c r="H568" s="711"/>
      <c r="I568" s="711"/>
      <c r="J568" s="711"/>
      <c r="K568" s="711"/>
      <c r="L568" s="711"/>
      <c r="M568" s="711"/>
      <c r="N568" s="711">
        <v>2</v>
      </c>
      <c r="O568" s="711">
        <v>0</v>
      </c>
      <c r="P568" s="701"/>
      <c r="Q568" s="712">
        <v>0</v>
      </c>
    </row>
    <row r="569" spans="1:17" ht="14.4" customHeight="1" x14ac:dyDescent="0.3">
      <c r="A569" s="695" t="s">
        <v>556</v>
      </c>
      <c r="B569" s="696" t="s">
        <v>3783</v>
      </c>
      <c r="C569" s="696" t="s">
        <v>3589</v>
      </c>
      <c r="D569" s="696" t="s">
        <v>4530</v>
      </c>
      <c r="E569" s="696" t="s">
        <v>4531</v>
      </c>
      <c r="F569" s="711">
        <v>1533</v>
      </c>
      <c r="G569" s="711">
        <v>0</v>
      </c>
      <c r="H569" s="711"/>
      <c r="I569" s="711">
        <v>0</v>
      </c>
      <c r="J569" s="711">
        <v>1557</v>
      </c>
      <c r="K569" s="711">
        <v>0</v>
      </c>
      <c r="L569" s="711"/>
      <c r="M569" s="711">
        <v>0</v>
      </c>
      <c r="N569" s="711"/>
      <c r="O569" s="711"/>
      <c r="P569" s="701"/>
      <c r="Q569" s="712"/>
    </row>
    <row r="570" spans="1:17" ht="14.4" customHeight="1" x14ac:dyDescent="0.3">
      <c r="A570" s="695" t="s">
        <v>556</v>
      </c>
      <c r="B570" s="696" t="s">
        <v>3783</v>
      </c>
      <c r="C570" s="696" t="s">
        <v>3589</v>
      </c>
      <c r="D570" s="696" t="s">
        <v>4532</v>
      </c>
      <c r="E570" s="696" t="s">
        <v>4533</v>
      </c>
      <c r="F570" s="711">
        <v>18</v>
      </c>
      <c r="G570" s="711">
        <v>101736</v>
      </c>
      <c r="H570" s="711">
        <v>1</v>
      </c>
      <c r="I570" s="711">
        <v>5652</v>
      </c>
      <c r="J570" s="711">
        <v>19</v>
      </c>
      <c r="K570" s="711">
        <v>107654</v>
      </c>
      <c r="L570" s="711">
        <v>1.0581701659196352</v>
      </c>
      <c r="M570" s="711">
        <v>5666</v>
      </c>
      <c r="N570" s="711">
        <v>8</v>
      </c>
      <c r="O570" s="711">
        <v>45328</v>
      </c>
      <c r="P570" s="701">
        <v>0.44554533301879373</v>
      </c>
      <c r="Q570" s="712">
        <v>5666</v>
      </c>
    </row>
    <row r="571" spans="1:17" ht="14.4" customHeight="1" x14ac:dyDescent="0.3">
      <c r="A571" s="695" t="s">
        <v>556</v>
      </c>
      <c r="B571" s="696" t="s">
        <v>3783</v>
      </c>
      <c r="C571" s="696" t="s">
        <v>3589</v>
      </c>
      <c r="D571" s="696" t="s">
        <v>4534</v>
      </c>
      <c r="E571" s="696" t="s">
        <v>4535</v>
      </c>
      <c r="F571" s="711">
        <v>21</v>
      </c>
      <c r="G571" s="711">
        <v>81669</v>
      </c>
      <c r="H571" s="711">
        <v>1</v>
      </c>
      <c r="I571" s="711">
        <v>3889</v>
      </c>
      <c r="J571" s="711">
        <v>34</v>
      </c>
      <c r="K571" s="711">
        <v>132886</v>
      </c>
      <c r="L571" s="711">
        <v>1.6271290208034872</v>
      </c>
      <c r="M571" s="711">
        <v>3908.4117647058824</v>
      </c>
      <c r="N571" s="711">
        <v>19</v>
      </c>
      <c r="O571" s="711">
        <v>74271</v>
      </c>
      <c r="P571" s="701">
        <v>0.90941483304558646</v>
      </c>
      <c r="Q571" s="712">
        <v>3909</v>
      </c>
    </row>
    <row r="572" spans="1:17" ht="14.4" customHeight="1" x14ac:dyDescent="0.3">
      <c r="A572" s="695" t="s">
        <v>556</v>
      </c>
      <c r="B572" s="696" t="s">
        <v>3783</v>
      </c>
      <c r="C572" s="696" t="s">
        <v>3589</v>
      </c>
      <c r="D572" s="696" t="s">
        <v>4536</v>
      </c>
      <c r="E572" s="696" t="s">
        <v>4537</v>
      </c>
      <c r="F572" s="711">
        <v>1495</v>
      </c>
      <c r="G572" s="711">
        <v>1612243</v>
      </c>
      <c r="H572" s="711">
        <v>1</v>
      </c>
      <c r="I572" s="711">
        <v>1078.4234113712375</v>
      </c>
      <c r="J572" s="711">
        <v>1413</v>
      </c>
      <c r="K572" s="711">
        <v>1585149</v>
      </c>
      <c r="L572" s="711">
        <v>0.98319484097620524</v>
      </c>
      <c r="M572" s="711">
        <v>1121.8322717622082</v>
      </c>
      <c r="N572" s="711">
        <v>1491</v>
      </c>
      <c r="O572" s="711">
        <v>1623605</v>
      </c>
      <c r="P572" s="701">
        <v>1.0070473247519141</v>
      </c>
      <c r="Q572" s="712">
        <v>1088.9369550637157</v>
      </c>
    </row>
    <row r="573" spans="1:17" ht="14.4" customHeight="1" x14ac:dyDescent="0.3">
      <c r="A573" s="695" t="s">
        <v>556</v>
      </c>
      <c r="B573" s="696" t="s">
        <v>3783</v>
      </c>
      <c r="C573" s="696" t="s">
        <v>3589</v>
      </c>
      <c r="D573" s="696" t="s">
        <v>4538</v>
      </c>
      <c r="E573" s="696" t="s">
        <v>4539</v>
      </c>
      <c r="F573" s="711"/>
      <c r="G573" s="711"/>
      <c r="H573" s="711"/>
      <c r="I573" s="711"/>
      <c r="J573" s="711">
        <v>2</v>
      </c>
      <c r="K573" s="711">
        <v>7012</v>
      </c>
      <c r="L573" s="711"/>
      <c r="M573" s="711">
        <v>3506</v>
      </c>
      <c r="N573" s="711">
        <v>2</v>
      </c>
      <c r="O573" s="711">
        <v>7012</v>
      </c>
      <c r="P573" s="701"/>
      <c r="Q573" s="712">
        <v>3506</v>
      </c>
    </row>
    <row r="574" spans="1:17" ht="14.4" customHeight="1" x14ac:dyDescent="0.3">
      <c r="A574" s="695" t="s">
        <v>556</v>
      </c>
      <c r="B574" s="696" t="s">
        <v>3783</v>
      </c>
      <c r="C574" s="696" t="s">
        <v>3589</v>
      </c>
      <c r="D574" s="696" t="s">
        <v>3592</v>
      </c>
      <c r="E574" s="696" t="s">
        <v>3593</v>
      </c>
      <c r="F574" s="711">
        <v>1</v>
      </c>
      <c r="G574" s="711">
        <v>185</v>
      </c>
      <c r="H574" s="711">
        <v>1</v>
      </c>
      <c r="I574" s="711">
        <v>185</v>
      </c>
      <c r="J574" s="711">
        <v>4</v>
      </c>
      <c r="K574" s="711">
        <v>744</v>
      </c>
      <c r="L574" s="711">
        <v>4.0216216216216214</v>
      </c>
      <c r="M574" s="711">
        <v>186</v>
      </c>
      <c r="N574" s="711">
        <v>2</v>
      </c>
      <c r="O574" s="711">
        <v>372</v>
      </c>
      <c r="P574" s="701">
        <v>2.0108108108108107</v>
      </c>
      <c r="Q574" s="712">
        <v>186</v>
      </c>
    </row>
    <row r="575" spans="1:17" ht="14.4" customHeight="1" x14ac:dyDescent="0.3">
      <c r="A575" s="695" t="s">
        <v>556</v>
      </c>
      <c r="B575" s="696" t="s">
        <v>3783</v>
      </c>
      <c r="C575" s="696" t="s">
        <v>3589</v>
      </c>
      <c r="D575" s="696" t="s">
        <v>4540</v>
      </c>
      <c r="E575" s="696" t="s">
        <v>4541</v>
      </c>
      <c r="F575" s="711">
        <v>33</v>
      </c>
      <c r="G575" s="711">
        <v>0</v>
      </c>
      <c r="H575" s="711"/>
      <c r="I575" s="711">
        <v>0</v>
      </c>
      <c r="J575" s="711">
        <v>5</v>
      </c>
      <c r="K575" s="711">
        <v>0</v>
      </c>
      <c r="L575" s="711"/>
      <c r="M575" s="711">
        <v>0</v>
      </c>
      <c r="N575" s="711">
        <v>1</v>
      </c>
      <c r="O575" s="711">
        <v>0</v>
      </c>
      <c r="P575" s="701"/>
      <c r="Q575" s="712">
        <v>0</v>
      </c>
    </row>
    <row r="576" spans="1:17" ht="14.4" customHeight="1" x14ac:dyDescent="0.3">
      <c r="A576" s="695" t="s">
        <v>556</v>
      </c>
      <c r="B576" s="696" t="s">
        <v>3783</v>
      </c>
      <c r="C576" s="696" t="s">
        <v>3589</v>
      </c>
      <c r="D576" s="696" t="s">
        <v>4542</v>
      </c>
      <c r="E576" s="696" t="s">
        <v>4543</v>
      </c>
      <c r="F576" s="711">
        <v>7</v>
      </c>
      <c r="G576" s="711">
        <v>19586</v>
      </c>
      <c r="H576" s="711">
        <v>1</v>
      </c>
      <c r="I576" s="711">
        <v>2798</v>
      </c>
      <c r="J576" s="711">
        <v>7</v>
      </c>
      <c r="K576" s="711">
        <v>19698</v>
      </c>
      <c r="L576" s="711">
        <v>1.0057183702644745</v>
      </c>
      <c r="M576" s="711">
        <v>2814</v>
      </c>
      <c r="N576" s="711">
        <v>7</v>
      </c>
      <c r="O576" s="711">
        <v>19698</v>
      </c>
      <c r="P576" s="701">
        <v>1.0057183702644745</v>
      </c>
      <c r="Q576" s="712">
        <v>2814</v>
      </c>
    </row>
    <row r="577" spans="1:17" ht="14.4" customHeight="1" x14ac:dyDescent="0.3">
      <c r="A577" s="695" t="s">
        <v>556</v>
      </c>
      <c r="B577" s="696" t="s">
        <v>3783</v>
      </c>
      <c r="C577" s="696" t="s">
        <v>3589</v>
      </c>
      <c r="D577" s="696" t="s">
        <v>4544</v>
      </c>
      <c r="E577" s="696" t="s">
        <v>4545</v>
      </c>
      <c r="F577" s="711"/>
      <c r="G577" s="711"/>
      <c r="H577" s="711"/>
      <c r="I577" s="711"/>
      <c r="J577" s="711">
        <v>1</v>
      </c>
      <c r="K577" s="711">
        <v>2746</v>
      </c>
      <c r="L577" s="711"/>
      <c r="M577" s="711">
        <v>2746</v>
      </c>
      <c r="N577" s="711"/>
      <c r="O577" s="711"/>
      <c r="P577" s="701"/>
      <c r="Q577" s="712"/>
    </row>
    <row r="578" spans="1:17" ht="14.4" customHeight="1" x14ac:dyDescent="0.3">
      <c r="A578" s="695" t="s">
        <v>556</v>
      </c>
      <c r="B578" s="696" t="s">
        <v>3783</v>
      </c>
      <c r="C578" s="696" t="s">
        <v>3589</v>
      </c>
      <c r="D578" s="696" t="s">
        <v>4546</v>
      </c>
      <c r="E578" s="696" t="s">
        <v>4547</v>
      </c>
      <c r="F578" s="711">
        <v>25</v>
      </c>
      <c r="G578" s="711">
        <v>47000</v>
      </c>
      <c r="H578" s="711">
        <v>1</v>
      </c>
      <c r="I578" s="711">
        <v>1880</v>
      </c>
      <c r="J578" s="711">
        <v>5</v>
      </c>
      <c r="K578" s="711">
        <v>9460</v>
      </c>
      <c r="L578" s="711">
        <v>0.20127659574468085</v>
      </c>
      <c r="M578" s="711">
        <v>1892</v>
      </c>
      <c r="N578" s="711"/>
      <c r="O578" s="711"/>
      <c r="P578" s="701"/>
      <c r="Q578" s="712"/>
    </row>
    <row r="579" spans="1:17" ht="14.4" customHeight="1" x14ac:dyDescent="0.3">
      <c r="A579" s="695" t="s">
        <v>556</v>
      </c>
      <c r="B579" s="696" t="s">
        <v>3783</v>
      </c>
      <c r="C579" s="696" t="s">
        <v>3589</v>
      </c>
      <c r="D579" s="696" t="s">
        <v>4548</v>
      </c>
      <c r="E579" s="696" t="s">
        <v>4549</v>
      </c>
      <c r="F579" s="711">
        <v>8</v>
      </c>
      <c r="G579" s="711">
        <v>3432</v>
      </c>
      <c r="H579" s="711">
        <v>1</v>
      </c>
      <c r="I579" s="711">
        <v>429</v>
      </c>
      <c r="J579" s="711">
        <v>15</v>
      </c>
      <c r="K579" s="711">
        <v>6465</v>
      </c>
      <c r="L579" s="711">
        <v>1.8837412587412588</v>
      </c>
      <c r="M579" s="711">
        <v>431</v>
      </c>
      <c r="N579" s="711">
        <v>15</v>
      </c>
      <c r="O579" s="711">
        <v>6465</v>
      </c>
      <c r="P579" s="701">
        <v>1.8837412587412588</v>
      </c>
      <c r="Q579" s="712">
        <v>431</v>
      </c>
    </row>
    <row r="580" spans="1:17" ht="14.4" customHeight="1" x14ac:dyDescent="0.3">
      <c r="A580" s="695" t="s">
        <v>556</v>
      </c>
      <c r="B580" s="696" t="s">
        <v>3783</v>
      </c>
      <c r="C580" s="696" t="s">
        <v>3589</v>
      </c>
      <c r="D580" s="696" t="s">
        <v>4550</v>
      </c>
      <c r="E580" s="696" t="s">
        <v>4551</v>
      </c>
      <c r="F580" s="711">
        <v>1</v>
      </c>
      <c r="G580" s="711">
        <v>3934</v>
      </c>
      <c r="H580" s="711">
        <v>1</v>
      </c>
      <c r="I580" s="711">
        <v>3934</v>
      </c>
      <c r="J580" s="711">
        <v>2</v>
      </c>
      <c r="K580" s="711">
        <v>7900</v>
      </c>
      <c r="L580" s="711">
        <v>2.0081342145399086</v>
      </c>
      <c r="M580" s="711">
        <v>3950</v>
      </c>
      <c r="N580" s="711">
        <v>3</v>
      </c>
      <c r="O580" s="711">
        <v>11850</v>
      </c>
      <c r="P580" s="701">
        <v>3.0122013218098629</v>
      </c>
      <c r="Q580" s="712">
        <v>3950</v>
      </c>
    </row>
    <row r="581" spans="1:17" ht="14.4" customHeight="1" x14ac:dyDescent="0.3">
      <c r="A581" s="695" t="s">
        <v>556</v>
      </c>
      <c r="B581" s="696" t="s">
        <v>3783</v>
      </c>
      <c r="C581" s="696" t="s">
        <v>3589</v>
      </c>
      <c r="D581" s="696" t="s">
        <v>3706</v>
      </c>
      <c r="E581" s="696" t="s">
        <v>3707</v>
      </c>
      <c r="F581" s="711"/>
      <c r="G581" s="711"/>
      <c r="H581" s="711"/>
      <c r="I581" s="711"/>
      <c r="J581" s="711">
        <v>149</v>
      </c>
      <c r="K581" s="711">
        <v>34568</v>
      </c>
      <c r="L581" s="711"/>
      <c r="M581" s="711">
        <v>232</v>
      </c>
      <c r="N581" s="711">
        <v>441</v>
      </c>
      <c r="O581" s="711">
        <v>102312</v>
      </c>
      <c r="P581" s="701"/>
      <c r="Q581" s="712">
        <v>232</v>
      </c>
    </row>
    <row r="582" spans="1:17" ht="14.4" customHeight="1" x14ac:dyDescent="0.3">
      <c r="A582" s="695" t="s">
        <v>556</v>
      </c>
      <c r="B582" s="696" t="s">
        <v>3783</v>
      </c>
      <c r="C582" s="696" t="s">
        <v>3589</v>
      </c>
      <c r="D582" s="696" t="s">
        <v>3708</v>
      </c>
      <c r="E582" s="696" t="s">
        <v>3709</v>
      </c>
      <c r="F582" s="711">
        <v>1</v>
      </c>
      <c r="G582" s="711">
        <v>111</v>
      </c>
      <c r="H582" s="711">
        <v>1</v>
      </c>
      <c r="I582" s="711">
        <v>111</v>
      </c>
      <c r="J582" s="711">
        <v>1</v>
      </c>
      <c r="K582" s="711">
        <v>112</v>
      </c>
      <c r="L582" s="711">
        <v>1.0090090090090089</v>
      </c>
      <c r="M582" s="711">
        <v>112</v>
      </c>
      <c r="N582" s="711">
        <v>1</v>
      </c>
      <c r="O582" s="711">
        <v>112</v>
      </c>
      <c r="P582" s="701">
        <v>1.0090090090090089</v>
      </c>
      <c r="Q582" s="712">
        <v>112</v>
      </c>
    </row>
    <row r="583" spans="1:17" ht="14.4" customHeight="1" x14ac:dyDescent="0.3">
      <c r="A583" s="695" t="s">
        <v>556</v>
      </c>
      <c r="B583" s="696" t="s">
        <v>3783</v>
      </c>
      <c r="C583" s="696" t="s">
        <v>3589</v>
      </c>
      <c r="D583" s="696" t="s">
        <v>4552</v>
      </c>
      <c r="E583" s="696" t="s">
        <v>4553</v>
      </c>
      <c r="F583" s="711"/>
      <c r="G583" s="711"/>
      <c r="H583" s="711"/>
      <c r="I583" s="711"/>
      <c r="J583" s="711">
        <v>1</v>
      </c>
      <c r="K583" s="711">
        <v>694</v>
      </c>
      <c r="L583" s="711"/>
      <c r="M583" s="711">
        <v>694</v>
      </c>
      <c r="N583" s="711">
        <v>1</v>
      </c>
      <c r="O583" s="711">
        <v>694</v>
      </c>
      <c r="P583" s="701"/>
      <c r="Q583" s="712">
        <v>694</v>
      </c>
    </row>
    <row r="584" spans="1:17" ht="14.4" customHeight="1" x14ac:dyDescent="0.3">
      <c r="A584" s="695" t="s">
        <v>556</v>
      </c>
      <c r="B584" s="696" t="s">
        <v>3783</v>
      </c>
      <c r="C584" s="696" t="s">
        <v>3589</v>
      </c>
      <c r="D584" s="696" t="s">
        <v>3710</v>
      </c>
      <c r="E584" s="696" t="s">
        <v>3711</v>
      </c>
      <c r="F584" s="711"/>
      <c r="G584" s="711"/>
      <c r="H584" s="711"/>
      <c r="I584" s="711"/>
      <c r="J584" s="711">
        <v>134</v>
      </c>
      <c r="K584" s="711">
        <v>46096</v>
      </c>
      <c r="L584" s="711"/>
      <c r="M584" s="711">
        <v>344</v>
      </c>
      <c r="N584" s="711">
        <v>394</v>
      </c>
      <c r="O584" s="711">
        <v>135536</v>
      </c>
      <c r="P584" s="701"/>
      <c r="Q584" s="712">
        <v>344</v>
      </c>
    </row>
    <row r="585" spans="1:17" ht="14.4" customHeight="1" x14ac:dyDescent="0.3">
      <c r="A585" s="695" t="s">
        <v>556</v>
      </c>
      <c r="B585" s="696" t="s">
        <v>3783</v>
      </c>
      <c r="C585" s="696" t="s">
        <v>3589</v>
      </c>
      <c r="D585" s="696" t="s">
        <v>4554</v>
      </c>
      <c r="E585" s="696" t="s">
        <v>4555</v>
      </c>
      <c r="F585" s="711">
        <v>49</v>
      </c>
      <c r="G585" s="711">
        <v>41252</v>
      </c>
      <c r="H585" s="711">
        <v>1</v>
      </c>
      <c r="I585" s="711">
        <v>841.87755102040819</v>
      </c>
      <c r="J585" s="711">
        <v>60</v>
      </c>
      <c r="K585" s="711">
        <v>50700</v>
      </c>
      <c r="L585" s="711">
        <v>1.2290313196935907</v>
      </c>
      <c r="M585" s="711">
        <v>845</v>
      </c>
      <c r="N585" s="711">
        <v>73</v>
      </c>
      <c r="O585" s="711">
        <v>61685</v>
      </c>
      <c r="P585" s="701">
        <v>1.4953214389605352</v>
      </c>
      <c r="Q585" s="712">
        <v>845</v>
      </c>
    </row>
    <row r="586" spans="1:17" ht="14.4" customHeight="1" x14ac:dyDescent="0.3">
      <c r="A586" s="695" t="s">
        <v>556</v>
      </c>
      <c r="B586" s="696" t="s">
        <v>3783</v>
      </c>
      <c r="C586" s="696" t="s">
        <v>3589</v>
      </c>
      <c r="D586" s="696" t="s">
        <v>3793</v>
      </c>
      <c r="E586" s="696" t="s">
        <v>3794</v>
      </c>
      <c r="F586" s="711">
        <v>374</v>
      </c>
      <c r="G586" s="711">
        <v>41509</v>
      </c>
      <c r="H586" s="711">
        <v>1</v>
      </c>
      <c r="I586" s="711">
        <v>110.98663101604278</v>
      </c>
      <c r="J586" s="711">
        <v>370</v>
      </c>
      <c r="K586" s="711">
        <v>41438</v>
      </c>
      <c r="L586" s="711">
        <v>0.99828952757233369</v>
      </c>
      <c r="M586" s="711">
        <v>111.99459459459459</v>
      </c>
      <c r="N586" s="711">
        <v>320</v>
      </c>
      <c r="O586" s="711">
        <v>35840</v>
      </c>
      <c r="P586" s="701">
        <v>0.86342720855718036</v>
      </c>
      <c r="Q586" s="712">
        <v>112</v>
      </c>
    </row>
    <row r="587" spans="1:17" ht="14.4" customHeight="1" x14ac:dyDescent="0.3">
      <c r="A587" s="695" t="s">
        <v>556</v>
      </c>
      <c r="B587" s="696" t="s">
        <v>3783</v>
      </c>
      <c r="C587" s="696" t="s">
        <v>3589</v>
      </c>
      <c r="D587" s="696" t="s">
        <v>4556</v>
      </c>
      <c r="E587" s="696" t="s">
        <v>4557</v>
      </c>
      <c r="F587" s="711">
        <v>9</v>
      </c>
      <c r="G587" s="711">
        <v>38151</v>
      </c>
      <c r="H587" s="711">
        <v>1</v>
      </c>
      <c r="I587" s="711">
        <v>4239</v>
      </c>
      <c r="J587" s="711">
        <v>9</v>
      </c>
      <c r="K587" s="711">
        <v>38331</v>
      </c>
      <c r="L587" s="711">
        <v>1.0047180938900684</v>
      </c>
      <c r="M587" s="711">
        <v>4259</v>
      </c>
      <c r="N587" s="711">
        <v>8</v>
      </c>
      <c r="O587" s="711">
        <v>34072</v>
      </c>
      <c r="P587" s="701">
        <v>0.89308275012450522</v>
      </c>
      <c r="Q587" s="712">
        <v>4259</v>
      </c>
    </row>
    <row r="588" spans="1:17" ht="14.4" customHeight="1" x14ac:dyDescent="0.3">
      <c r="A588" s="695" t="s">
        <v>556</v>
      </c>
      <c r="B588" s="696" t="s">
        <v>3783</v>
      </c>
      <c r="C588" s="696" t="s">
        <v>3589</v>
      </c>
      <c r="D588" s="696" t="s">
        <v>4558</v>
      </c>
      <c r="E588" s="696" t="s">
        <v>4559</v>
      </c>
      <c r="F588" s="711">
        <v>230</v>
      </c>
      <c r="G588" s="711">
        <v>82799</v>
      </c>
      <c r="H588" s="711">
        <v>1</v>
      </c>
      <c r="I588" s="711">
        <v>359.99565217391302</v>
      </c>
      <c r="J588" s="711">
        <v>296</v>
      </c>
      <c r="K588" s="711">
        <v>101824</v>
      </c>
      <c r="L588" s="711">
        <v>1.2297733064408991</v>
      </c>
      <c r="M588" s="711">
        <v>344</v>
      </c>
      <c r="N588" s="711"/>
      <c r="O588" s="711"/>
      <c r="P588" s="701"/>
      <c r="Q588" s="712"/>
    </row>
    <row r="589" spans="1:17" ht="14.4" customHeight="1" x14ac:dyDescent="0.3">
      <c r="A589" s="695" t="s">
        <v>556</v>
      </c>
      <c r="B589" s="696" t="s">
        <v>3783</v>
      </c>
      <c r="C589" s="696" t="s">
        <v>3589</v>
      </c>
      <c r="D589" s="696" t="s">
        <v>4560</v>
      </c>
      <c r="E589" s="696" t="s">
        <v>4561</v>
      </c>
      <c r="F589" s="711">
        <v>8</v>
      </c>
      <c r="G589" s="711">
        <v>28680</v>
      </c>
      <c r="H589" s="711">
        <v>1</v>
      </c>
      <c r="I589" s="711">
        <v>3585</v>
      </c>
      <c r="J589" s="711">
        <v>13</v>
      </c>
      <c r="K589" s="711">
        <v>46865</v>
      </c>
      <c r="L589" s="711">
        <v>1.6340655509065551</v>
      </c>
      <c r="M589" s="711">
        <v>3605</v>
      </c>
      <c r="N589" s="711">
        <v>5</v>
      </c>
      <c r="O589" s="711">
        <v>18025</v>
      </c>
      <c r="P589" s="701">
        <v>0.62848675034867507</v>
      </c>
      <c r="Q589" s="712">
        <v>3605</v>
      </c>
    </row>
    <row r="590" spans="1:17" ht="14.4" customHeight="1" x14ac:dyDescent="0.3">
      <c r="A590" s="695" t="s">
        <v>556</v>
      </c>
      <c r="B590" s="696" t="s">
        <v>3783</v>
      </c>
      <c r="C590" s="696" t="s">
        <v>3589</v>
      </c>
      <c r="D590" s="696" t="s">
        <v>4562</v>
      </c>
      <c r="E590" s="696" t="s">
        <v>4563</v>
      </c>
      <c r="F590" s="711"/>
      <c r="G590" s="711"/>
      <c r="H590" s="711"/>
      <c r="I590" s="711"/>
      <c r="J590" s="711"/>
      <c r="K590" s="711"/>
      <c r="L590" s="711"/>
      <c r="M590" s="711"/>
      <c r="N590" s="711">
        <v>1</v>
      </c>
      <c r="O590" s="711">
        <v>3459</v>
      </c>
      <c r="P590" s="701"/>
      <c r="Q590" s="712">
        <v>3459</v>
      </c>
    </row>
    <row r="591" spans="1:17" ht="14.4" customHeight="1" x14ac:dyDescent="0.3">
      <c r="A591" s="695" t="s">
        <v>556</v>
      </c>
      <c r="B591" s="696" t="s">
        <v>3783</v>
      </c>
      <c r="C591" s="696" t="s">
        <v>3589</v>
      </c>
      <c r="D591" s="696" t="s">
        <v>4564</v>
      </c>
      <c r="E591" s="696" t="s">
        <v>4565</v>
      </c>
      <c r="F591" s="711">
        <v>10</v>
      </c>
      <c r="G591" s="711">
        <v>8580</v>
      </c>
      <c r="H591" s="711">
        <v>1</v>
      </c>
      <c r="I591" s="711">
        <v>858</v>
      </c>
      <c r="J591" s="711">
        <v>8</v>
      </c>
      <c r="K591" s="711">
        <v>6896</v>
      </c>
      <c r="L591" s="711">
        <v>0.80372960372960378</v>
      </c>
      <c r="M591" s="711">
        <v>862</v>
      </c>
      <c r="N591" s="711">
        <v>2</v>
      </c>
      <c r="O591" s="711">
        <v>1724</v>
      </c>
      <c r="P591" s="701">
        <v>0.20093240093240095</v>
      </c>
      <c r="Q591" s="712">
        <v>862</v>
      </c>
    </row>
    <row r="592" spans="1:17" ht="14.4" customHeight="1" x14ac:dyDescent="0.3">
      <c r="A592" s="695" t="s">
        <v>556</v>
      </c>
      <c r="B592" s="696" t="s">
        <v>3783</v>
      </c>
      <c r="C592" s="696" t="s">
        <v>3589</v>
      </c>
      <c r="D592" s="696" t="s">
        <v>4566</v>
      </c>
      <c r="E592" s="696" t="s">
        <v>4567</v>
      </c>
      <c r="F592" s="711"/>
      <c r="G592" s="711"/>
      <c r="H592" s="711"/>
      <c r="I592" s="711"/>
      <c r="J592" s="711"/>
      <c r="K592" s="711"/>
      <c r="L592" s="711"/>
      <c r="M592" s="711"/>
      <c r="N592" s="711">
        <v>1</v>
      </c>
      <c r="O592" s="711">
        <v>3571</v>
      </c>
      <c r="P592" s="701"/>
      <c r="Q592" s="712">
        <v>3571</v>
      </c>
    </row>
    <row r="593" spans="1:17" ht="14.4" customHeight="1" x14ac:dyDescent="0.3">
      <c r="A593" s="695" t="s">
        <v>556</v>
      </c>
      <c r="B593" s="696" t="s">
        <v>3783</v>
      </c>
      <c r="C593" s="696" t="s">
        <v>3589</v>
      </c>
      <c r="D593" s="696" t="s">
        <v>3716</v>
      </c>
      <c r="E593" s="696" t="s">
        <v>3717</v>
      </c>
      <c r="F593" s="711">
        <v>2</v>
      </c>
      <c r="G593" s="711">
        <v>352</v>
      </c>
      <c r="H593" s="711">
        <v>1</v>
      </c>
      <c r="I593" s="711">
        <v>176</v>
      </c>
      <c r="J593" s="711"/>
      <c r="K593" s="711"/>
      <c r="L593" s="711"/>
      <c r="M593" s="711"/>
      <c r="N593" s="711">
        <v>1</v>
      </c>
      <c r="O593" s="711">
        <v>177</v>
      </c>
      <c r="P593" s="701">
        <v>0.50284090909090906</v>
      </c>
      <c r="Q593" s="712">
        <v>177</v>
      </c>
    </row>
    <row r="594" spans="1:17" ht="14.4" customHeight="1" x14ac:dyDescent="0.3">
      <c r="A594" s="695" t="s">
        <v>556</v>
      </c>
      <c r="B594" s="696" t="s">
        <v>3783</v>
      </c>
      <c r="C594" s="696" t="s">
        <v>3589</v>
      </c>
      <c r="D594" s="696" t="s">
        <v>4568</v>
      </c>
      <c r="E594" s="696" t="s">
        <v>4569</v>
      </c>
      <c r="F594" s="711">
        <v>1</v>
      </c>
      <c r="G594" s="711">
        <v>1525</v>
      </c>
      <c r="H594" s="711">
        <v>1</v>
      </c>
      <c r="I594" s="711">
        <v>1525</v>
      </c>
      <c r="J594" s="711"/>
      <c r="K594" s="711"/>
      <c r="L594" s="711"/>
      <c r="M594" s="711"/>
      <c r="N594" s="711"/>
      <c r="O594" s="711"/>
      <c r="P594" s="701"/>
      <c r="Q594" s="712"/>
    </row>
    <row r="595" spans="1:17" ht="14.4" customHeight="1" x14ac:dyDescent="0.3">
      <c r="A595" s="695" t="s">
        <v>556</v>
      </c>
      <c r="B595" s="696" t="s">
        <v>3783</v>
      </c>
      <c r="C595" s="696" t="s">
        <v>3589</v>
      </c>
      <c r="D595" s="696" t="s">
        <v>4570</v>
      </c>
      <c r="E595" s="696" t="s">
        <v>4571</v>
      </c>
      <c r="F595" s="711"/>
      <c r="G595" s="711"/>
      <c r="H595" s="711"/>
      <c r="I595" s="711"/>
      <c r="J595" s="711"/>
      <c r="K595" s="711"/>
      <c r="L595" s="711"/>
      <c r="M595" s="711"/>
      <c r="N595" s="711">
        <v>26</v>
      </c>
      <c r="O595" s="711">
        <v>45994</v>
      </c>
      <c r="P595" s="701"/>
      <c r="Q595" s="712">
        <v>1769</v>
      </c>
    </row>
    <row r="596" spans="1:17" ht="14.4" customHeight="1" x14ac:dyDescent="0.3">
      <c r="A596" s="695" t="s">
        <v>556</v>
      </c>
      <c r="B596" s="696" t="s">
        <v>3783</v>
      </c>
      <c r="C596" s="696" t="s">
        <v>3589</v>
      </c>
      <c r="D596" s="696" t="s">
        <v>4572</v>
      </c>
      <c r="E596" s="696" t="s">
        <v>4573</v>
      </c>
      <c r="F596" s="711">
        <v>2</v>
      </c>
      <c r="G596" s="711">
        <v>216</v>
      </c>
      <c r="H596" s="711">
        <v>1</v>
      </c>
      <c r="I596" s="711">
        <v>108</v>
      </c>
      <c r="J596" s="711"/>
      <c r="K596" s="711"/>
      <c r="L596" s="711"/>
      <c r="M596" s="711"/>
      <c r="N596" s="711">
        <v>1</v>
      </c>
      <c r="O596" s="711">
        <v>109</v>
      </c>
      <c r="P596" s="701">
        <v>0.50462962962962965</v>
      </c>
      <c r="Q596" s="712">
        <v>109</v>
      </c>
    </row>
    <row r="597" spans="1:17" ht="14.4" customHeight="1" x14ac:dyDescent="0.3">
      <c r="A597" s="695" t="s">
        <v>556</v>
      </c>
      <c r="B597" s="696" t="s">
        <v>3783</v>
      </c>
      <c r="C597" s="696" t="s">
        <v>3589</v>
      </c>
      <c r="D597" s="696" t="s">
        <v>4574</v>
      </c>
      <c r="E597" s="696" t="s">
        <v>4575</v>
      </c>
      <c r="F597" s="711"/>
      <c r="G597" s="711"/>
      <c r="H597" s="711"/>
      <c r="I597" s="711"/>
      <c r="J597" s="711"/>
      <c r="K597" s="711"/>
      <c r="L597" s="711"/>
      <c r="M597" s="711"/>
      <c r="N597" s="711">
        <v>1</v>
      </c>
      <c r="O597" s="711">
        <v>1277</v>
      </c>
      <c r="P597" s="701"/>
      <c r="Q597" s="712">
        <v>1277</v>
      </c>
    </row>
    <row r="598" spans="1:17" ht="14.4" customHeight="1" x14ac:dyDescent="0.3">
      <c r="A598" s="695" t="s">
        <v>556</v>
      </c>
      <c r="B598" s="696" t="s">
        <v>3783</v>
      </c>
      <c r="C598" s="696" t="s">
        <v>3589</v>
      </c>
      <c r="D598" s="696" t="s">
        <v>3720</v>
      </c>
      <c r="E598" s="696" t="s">
        <v>3721</v>
      </c>
      <c r="F598" s="711">
        <v>28</v>
      </c>
      <c r="G598" s="711">
        <v>4480</v>
      </c>
      <c r="H598" s="711">
        <v>1</v>
      </c>
      <c r="I598" s="711">
        <v>160</v>
      </c>
      <c r="J598" s="711">
        <v>33</v>
      </c>
      <c r="K598" s="711">
        <v>5313</v>
      </c>
      <c r="L598" s="711">
        <v>1.1859375000000001</v>
      </c>
      <c r="M598" s="711">
        <v>161</v>
      </c>
      <c r="N598" s="711">
        <v>19</v>
      </c>
      <c r="O598" s="711">
        <v>3059</v>
      </c>
      <c r="P598" s="701">
        <v>0.68281250000000004</v>
      </c>
      <c r="Q598" s="712">
        <v>161</v>
      </c>
    </row>
    <row r="599" spans="1:17" ht="14.4" customHeight="1" x14ac:dyDescent="0.3">
      <c r="A599" s="695" t="s">
        <v>556</v>
      </c>
      <c r="B599" s="696" t="s">
        <v>3783</v>
      </c>
      <c r="C599" s="696" t="s">
        <v>3589</v>
      </c>
      <c r="D599" s="696" t="s">
        <v>3722</v>
      </c>
      <c r="E599" s="696" t="s">
        <v>3723</v>
      </c>
      <c r="F599" s="711"/>
      <c r="G599" s="711"/>
      <c r="H599" s="711"/>
      <c r="I599" s="711"/>
      <c r="J599" s="711">
        <v>1</v>
      </c>
      <c r="K599" s="711">
        <v>480</v>
      </c>
      <c r="L599" s="711"/>
      <c r="M599" s="711">
        <v>480</v>
      </c>
      <c r="N599" s="711">
        <v>1</v>
      </c>
      <c r="O599" s="711">
        <v>480</v>
      </c>
      <c r="P599" s="701"/>
      <c r="Q599" s="712">
        <v>480</v>
      </c>
    </row>
    <row r="600" spans="1:17" ht="14.4" customHeight="1" x14ac:dyDescent="0.3">
      <c r="A600" s="695" t="s">
        <v>556</v>
      </c>
      <c r="B600" s="696" t="s">
        <v>3783</v>
      </c>
      <c r="C600" s="696" t="s">
        <v>3589</v>
      </c>
      <c r="D600" s="696" t="s">
        <v>4576</v>
      </c>
      <c r="E600" s="696" t="s">
        <v>4577</v>
      </c>
      <c r="F600" s="711">
        <v>19</v>
      </c>
      <c r="G600" s="711">
        <v>47453</v>
      </c>
      <c r="H600" s="711">
        <v>1</v>
      </c>
      <c r="I600" s="711">
        <v>2497.5263157894738</v>
      </c>
      <c r="J600" s="711">
        <v>25</v>
      </c>
      <c r="K600" s="711">
        <v>62750</v>
      </c>
      <c r="L600" s="711">
        <v>1.3223610730617663</v>
      </c>
      <c r="M600" s="711">
        <v>2510</v>
      </c>
      <c r="N600" s="711">
        <v>16</v>
      </c>
      <c r="O600" s="711">
        <v>40160</v>
      </c>
      <c r="P600" s="701">
        <v>0.84631108675953048</v>
      </c>
      <c r="Q600" s="712">
        <v>2510</v>
      </c>
    </row>
    <row r="601" spans="1:17" ht="14.4" customHeight="1" x14ac:dyDescent="0.3">
      <c r="A601" s="695" t="s">
        <v>556</v>
      </c>
      <c r="B601" s="696" t="s">
        <v>3783</v>
      </c>
      <c r="C601" s="696" t="s">
        <v>3589</v>
      </c>
      <c r="D601" s="696" t="s">
        <v>4578</v>
      </c>
      <c r="E601" s="696" t="s">
        <v>4579</v>
      </c>
      <c r="F601" s="711">
        <v>3</v>
      </c>
      <c r="G601" s="711">
        <v>13608</v>
      </c>
      <c r="H601" s="711">
        <v>1</v>
      </c>
      <c r="I601" s="711">
        <v>4536</v>
      </c>
      <c r="J601" s="711">
        <v>2</v>
      </c>
      <c r="K601" s="711">
        <v>9112</v>
      </c>
      <c r="L601" s="711">
        <v>0.66960611405055848</v>
      </c>
      <c r="M601" s="711">
        <v>4556</v>
      </c>
      <c r="N601" s="711">
        <v>5</v>
      </c>
      <c r="O601" s="711">
        <v>22780</v>
      </c>
      <c r="P601" s="701">
        <v>1.6740152851263963</v>
      </c>
      <c r="Q601" s="712">
        <v>4556</v>
      </c>
    </row>
    <row r="602" spans="1:17" ht="14.4" customHeight="1" x14ac:dyDescent="0.3">
      <c r="A602" s="695" t="s">
        <v>556</v>
      </c>
      <c r="B602" s="696" t="s">
        <v>3783</v>
      </c>
      <c r="C602" s="696" t="s">
        <v>3589</v>
      </c>
      <c r="D602" s="696" t="s">
        <v>4580</v>
      </c>
      <c r="E602" s="696" t="s">
        <v>4581</v>
      </c>
      <c r="F602" s="711">
        <v>5</v>
      </c>
      <c r="G602" s="711">
        <v>19505</v>
      </c>
      <c r="H602" s="711">
        <v>1</v>
      </c>
      <c r="I602" s="711">
        <v>3901</v>
      </c>
      <c r="J602" s="711">
        <v>3</v>
      </c>
      <c r="K602" s="711">
        <v>11751</v>
      </c>
      <c r="L602" s="711">
        <v>0.60246090745962577</v>
      </c>
      <c r="M602" s="711">
        <v>3917</v>
      </c>
      <c r="N602" s="711">
        <v>6</v>
      </c>
      <c r="O602" s="711">
        <v>23502</v>
      </c>
      <c r="P602" s="701">
        <v>1.2049218149192515</v>
      </c>
      <c r="Q602" s="712">
        <v>3917</v>
      </c>
    </row>
    <row r="603" spans="1:17" ht="14.4" customHeight="1" x14ac:dyDescent="0.3">
      <c r="A603" s="695" t="s">
        <v>556</v>
      </c>
      <c r="B603" s="696" t="s">
        <v>3783</v>
      </c>
      <c r="C603" s="696" t="s">
        <v>3589</v>
      </c>
      <c r="D603" s="696" t="s">
        <v>4582</v>
      </c>
      <c r="E603" s="696" t="s">
        <v>4583</v>
      </c>
      <c r="F603" s="711">
        <v>35</v>
      </c>
      <c r="G603" s="711">
        <v>187721</v>
      </c>
      <c r="H603" s="711">
        <v>1</v>
      </c>
      <c r="I603" s="711">
        <v>5363.4571428571426</v>
      </c>
      <c r="J603" s="711">
        <v>16</v>
      </c>
      <c r="K603" s="711">
        <v>86350</v>
      </c>
      <c r="L603" s="711">
        <v>0.45999115708951049</v>
      </c>
      <c r="M603" s="711">
        <v>5396.875</v>
      </c>
      <c r="N603" s="711">
        <v>20</v>
      </c>
      <c r="O603" s="711">
        <v>107980</v>
      </c>
      <c r="P603" s="701">
        <v>0.57521534617863745</v>
      </c>
      <c r="Q603" s="712">
        <v>5399</v>
      </c>
    </row>
    <row r="604" spans="1:17" ht="14.4" customHeight="1" x14ac:dyDescent="0.3">
      <c r="A604" s="695" t="s">
        <v>556</v>
      </c>
      <c r="B604" s="696" t="s">
        <v>3783</v>
      </c>
      <c r="C604" s="696" t="s">
        <v>3589</v>
      </c>
      <c r="D604" s="696" t="s">
        <v>4584</v>
      </c>
      <c r="E604" s="696" t="s">
        <v>4585</v>
      </c>
      <c r="F604" s="711">
        <v>8</v>
      </c>
      <c r="G604" s="711">
        <v>19472</v>
      </c>
      <c r="H604" s="711">
        <v>1</v>
      </c>
      <c r="I604" s="711">
        <v>2434</v>
      </c>
      <c r="J604" s="711">
        <v>1</v>
      </c>
      <c r="K604" s="711">
        <v>2443</v>
      </c>
      <c r="L604" s="711">
        <v>0.125462202136401</v>
      </c>
      <c r="M604" s="711">
        <v>2443</v>
      </c>
      <c r="N604" s="711">
        <v>4</v>
      </c>
      <c r="O604" s="711">
        <v>9772</v>
      </c>
      <c r="P604" s="701">
        <v>0.50184880854560399</v>
      </c>
      <c r="Q604" s="712">
        <v>2443</v>
      </c>
    </row>
    <row r="605" spans="1:17" ht="14.4" customHeight="1" x14ac:dyDescent="0.3">
      <c r="A605" s="695" t="s">
        <v>556</v>
      </c>
      <c r="B605" s="696" t="s">
        <v>3783</v>
      </c>
      <c r="C605" s="696" t="s">
        <v>3589</v>
      </c>
      <c r="D605" s="696" t="s">
        <v>4586</v>
      </c>
      <c r="E605" s="696" t="s">
        <v>4587</v>
      </c>
      <c r="F605" s="711">
        <v>9</v>
      </c>
      <c r="G605" s="711">
        <v>21879</v>
      </c>
      <c r="H605" s="711">
        <v>1</v>
      </c>
      <c r="I605" s="711">
        <v>2431</v>
      </c>
      <c r="J605" s="711">
        <v>14</v>
      </c>
      <c r="K605" s="711">
        <v>34202</v>
      </c>
      <c r="L605" s="711">
        <v>1.5632341514694457</v>
      </c>
      <c r="M605" s="711">
        <v>2443</v>
      </c>
      <c r="N605" s="711">
        <v>3</v>
      </c>
      <c r="O605" s="711">
        <v>7329</v>
      </c>
      <c r="P605" s="701">
        <v>0.33497874674345263</v>
      </c>
      <c r="Q605" s="712">
        <v>2443</v>
      </c>
    </row>
    <row r="606" spans="1:17" ht="14.4" customHeight="1" x14ac:dyDescent="0.3">
      <c r="A606" s="695" t="s">
        <v>556</v>
      </c>
      <c r="B606" s="696" t="s">
        <v>3783</v>
      </c>
      <c r="C606" s="696" t="s">
        <v>3589</v>
      </c>
      <c r="D606" s="696" t="s">
        <v>4588</v>
      </c>
      <c r="E606" s="696" t="s">
        <v>4589</v>
      </c>
      <c r="F606" s="711"/>
      <c r="G606" s="711"/>
      <c r="H606" s="711"/>
      <c r="I606" s="711"/>
      <c r="J606" s="711">
        <v>4</v>
      </c>
      <c r="K606" s="711">
        <v>17360</v>
      </c>
      <c r="L606" s="711"/>
      <c r="M606" s="711">
        <v>4340</v>
      </c>
      <c r="N606" s="711">
        <v>1</v>
      </c>
      <c r="O606" s="711">
        <v>4340</v>
      </c>
      <c r="P606" s="701"/>
      <c r="Q606" s="712">
        <v>4340</v>
      </c>
    </row>
    <row r="607" spans="1:17" ht="14.4" customHeight="1" x14ac:dyDescent="0.3">
      <c r="A607" s="695" t="s">
        <v>556</v>
      </c>
      <c r="B607" s="696" t="s">
        <v>3783</v>
      </c>
      <c r="C607" s="696" t="s">
        <v>3589</v>
      </c>
      <c r="D607" s="696" t="s">
        <v>4590</v>
      </c>
      <c r="E607" s="696" t="s">
        <v>4591</v>
      </c>
      <c r="F607" s="711"/>
      <c r="G607" s="711"/>
      <c r="H607" s="711"/>
      <c r="I607" s="711"/>
      <c r="J607" s="711">
        <v>2</v>
      </c>
      <c r="K607" s="711">
        <v>6998</v>
      </c>
      <c r="L607" s="711"/>
      <c r="M607" s="711">
        <v>3499</v>
      </c>
      <c r="N607" s="711">
        <v>1</v>
      </c>
      <c r="O607" s="711">
        <v>3499</v>
      </c>
      <c r="P607" s="701"/>
      <c r="Q607" s="712">
        <v>3499</v>
      </c>
    </row>
    <row r="608" spans="1:17" ht="14.4" customHeight="1" x14ac:dyDescent="0.3">
      <c r="A608" s="695" t="s">
        <v>556</v>
      </c>
      <c r="B608" s="696" t="s">
        <v>3783</v>
      </c>
      <c r="C608" s="696" t="s">
        <v>3589</v>
      </c>
      <c r="D608" s="696" t="s">
        <v>4592</v>
      </c>
      <c r="E608" s="696" t="s">
        <v>4593</v>
      </c>
      <c r="F608" s="711">
        <v>3</v>
      </c>
      <c r="G608" s="711">
        <v>8868</v>
      </c>
      <c r="H608" s="711">
        <v>1</v>
      </c>
      <c r="I608" s="711">
        <v>2956</v>
      </c>
      <c r="J608" s="711">
        <v>6</v>
      </c>
      <c r="K608" s="711">
        <v>17832</v>
      </c>
      <c r="L608" s="711">
        <v>2.010825439783491</v>
      </c>
      <c r="M608" s="711">
        <v>2972</v>
      </c>
      <c r="N608" s="711">
        <v>1</v>
      </c>
      <c r="O608" s="711">
        <v>2972</v>
      </c>
      <c r="P608" s="701">
        <v>0.33513757329724853</v>
      </c>
      <c r="Q608" s="712">
        <v>2972</v>
      </c>
    </row>
    <row r="609" spans="1:17" ht="14.4" customHeight="1" x14ac:dyDescent="0.3">
      <c r="A609" s="695" t="s">
        <v>556</v>
      </c>
      <c r="B609" s="696" t="s">
        <v>3783</v>
      </c>
      <c r="C609" s="696" t="s">
        <v>3589</v>
      </c>
      <c r="D609" s="696" t="s">
        <v>4594</v>
      </c>
      <c r="E609" s="696" t="s">
        <v>4595</v>
      </c>
      <c r="F609" s="711"/>
      <c r="G609" s="711"/>
      <c r="H609" s="711"/>
      <c r="I609" s="711"/>
      <c r="J609" s="711">
        <v>1</v>
      </c>
      <c r="K609" s="711">
        <v>2125</v>
      </c>
      <c r="L609" s="711"/>
      <c r="M609" s="711">
        <v>2125</v>
      </c>
      <c r="N609" s="711"/>
      <c r="O609" s="711"/>
      <c r="P609" s="701"/>
      <c r="Q609" s="712"/>
    </row>
    <row r="610" spans="1:17" ht="14.4" customHeight="1" x14ac:dyDescent="0.3">
      <c r="A610" s="695" t="s">
        <v>556</v>
      </c>
      <c r="B610" s="696" t="s">
        <v>3783</v>
      </c>
      <c r="C610" s="696" t="s">
        <v>3589</v>
      </c>
      <c r="D610" s="696" t="s">
        <v>4596</v>
      </c>
      <c r="E610" s="696" t="s">
        <v>4597</v>
      </c>
      <c r="F610" s="711">
        <v>11</v>
      </c>
      <c r="G610" s="711">
        <v>30536</v>
      </c>
      <c r="H610" s="711">
        <v>1</v>
      </c>
      <c r="I610" s="711">
        <v>2776</v>
      </c>
      <c r="J610" s="711">
        <v>13</v>
      </c>
      <c r="K610" s="711">
        <v>36280</v>
      </c>
      <c r="L610" s="711">
        <v>1.1881058422845165</v>
      </c>
      <c r="M610" s="711">
        <v>2790.7692307692309</v>
      </c>
      <c r="N610" s="711">
        <v>13</v>
      </c>
      <c r="O610" s="711">
        <v>36296</v>
      </c>
      <c r="P610" s="701">
        <v>1.1886298139900446</v>
      </c>
      <c r="Q610" s="712">
        <v>2792</v>
      </c>
    </row>
    <row r="611" spans="1:17" ht="14.4" customHeight="1" x14ac:dyDescent="0.3">
      <c r="A611" s="695" t="s">
        <v>556</v>
      </c>
      <c r="B611" s="696" t="s">
        <v>3783</v>
      </c>
      <c r="C611" s="696" t="s">
        <v>3589</v>
      </c>
      <c r="D611" s="696" t="s">
        <v>4598</v>
      </c>
      <c r="E611" s="696" t="s">
        <v>4599</v>
      </c>
      <c r="F611" s="711">
        <v>3</v>
      </c>
      <c r="G611" s="711">
        <v>11208</v>
      </c>
      <c r="H611" s="711">
        <v>1</v>
      </c>
      <c r="I611" s="711">
        <v>3736</v>
      </c>
      <c r="J611" s="711">
        <v>3</v>
      </c>
      <c r="K611" s="711">
        <v>11268</v>
      </c>
      <c r="L611" s="711">
        <v>1.0053533190578159</v>
      </c>
      <c r="M611" s="711">
        <v>3756</v>
      </c>
      <c r="N611" s="711">
        <v>3</v>
      </c>
      <c r="O611" s="711">
        <v>11268</v>
      </c>
      <c r="P611" s="701">
        <v>1.0053533190578159</v>
      </c>
      <c r="Q611" s="712">
        <v>3756</v>
      </c>
    </row>
    <row r="612" spans="1:17" ht="14.4" customHeight="1" x14ac:dyDescent="0.3">
      <c r="A612" s="695" t="s">
        <v>556</v>
      </c>
      <c r="B612" s="696" t="s">
        <v>3783</v>
      </c>
      <c r="C612" s="696" t="s">
        <v>3589</v>
      </c>
      <c r="D612" s="696" t="s">
        <v>4600</v>
      </c>
      <c r="E612" s="696" t="s">
        <v>4601</v>
      </c>
      <c r="F612" s="711">
        <v>3</v>
      </c>
      <c r="G612" s="711">
        <v>2868</v>
      </c>
      <c r="H612" s="711">
        <v>1</v>
      </c>
      <c r="I612" s="711">
        <v>956</v>
      </c>
      <c r="J612" s="711">
        <v>4</v>
      </c>
      <c r="K612" s="711">
        <v>3848</v>
      </c>
      <c r="L612" s="711">
        <v>1.3417015341701535</v>
      </c>
      <c r="M612" s="711">
        <v>962</v>
      </c>
      <c r="N612" s="711">
        <v>7</v>
      </c>
      <c r="O612" s="711">
        <v>6734</v>
      </c>
      <c r="P612" s="701">
        <v>2.3479776847977685</v>
      </c>
      <c r="Q612" s="712">
        <v>962</v>
      </c>
    </row>
    <row r="613" spans="1:17" ht="14.4" customHeight="1" x14ac:dyDescent="0.3">
      <c r="A613" s="695" t="s">
        <v>556</v>
      </c>
      <c r="B613" s="696" t="s">
        <v>3783</v>
      </c>
      <c r="C613" s="696" t="s">
        <v>3589</v>
      </c>
      <c r="D613" s="696" t="s">
        <v>3730</v>
      </c>
      <c r="E613" s="696" t="s">
        <v>3731</v>
      </c>
      <c r="F613" s="711"/>
      <c r="G613" s="711"/>
      <c r="H613" s="711"/>
      <c r="I613" s="711"/>
      <c r="J613" s="711">
        <v>4</v>
      </c>
      <c r="K613" s="711">
        <v>1192</v>
      </c>
      <c r="L613" s="711"/>
      <c r="M613" s="711">
        <v>298</v>
      </c>
      <c r="N613" s="711"/>
      <c r="O613" s="711"/>
      <c r="P613" s="701"/>
      <c r="Q613" s="712"/>
    </row>
    <row r="614" spans="1:17" ht="14.4" customHeight="1" x14ac:dyDescent="0.3">
      <c r="A614" s="695" t="s">
        <v>556</v>
      </c>
      <c r="B614" s="696" t="s">
        <v>3783</v>
      </c>
      <c r="C614" s="696" t="s">
        <v>3589</v>
      </c>
      <c r="D614" s="696" t="s">
        <v>3732</v>
      </c>
      <c r="E614" s="696" t="s">
        <v>3733</v>
      </c>
      <c r="F614" s="711">
        <v>1</v>
      </c>
      <c r="G614" s="711">
        <v>925</v>
      </c>
      <c r="H614" s="711">
        <v>1</v>
      </c>
      <c r="I614" s="711">
        <v>925</v>
      </c>
      <c r="J614" s="711"/>
      <c r="K614" s="711"/>
      <c r="L614" s="711"/>
      <c r="M614" s="711"/>
      <c r="N614" s="711"/>
      <c r="O614" s="711"/>
      <c r="P614" s="701"/>
      <c r="Q614" s="712"/>
    </row>
    <row r="615" spans="1:17" ht="14.4" customHeight="1" x14ac:dyDescent="0.3">
      <c r="A615" s="695" t="s">
        <v>556</v>
      </c>
      <c r="B615" s="696" t="s">
        <v>3783</v>
      </c>
      <c r="C615" s="696" t="s">
        <v>3589</v>
      </c>
      <c r="D615" s="696" t="s">
        <v>4602</v>
      </c>
      <c r="E615" s="696" t="s">
        <v>4603</v>
      </c>
      <c r="F615" s="711">
        <v>5</v>
      </c>
      <c r="G615" s="711">
        <v>28850</v>
      </c>
      <c r="H615" s="711">
        <v>1</v>
      </c>
      <c r="I615" s="711">
        <v>5770</v>
      </c>
      <c r="J615" s="711">
        <v>7</v>
      </c>
      <c r="K615" s="711">
        <v>40551</v>
      </c>
      <c r="L615" s="711">
        <v>1.4055805892547659</v>
      </c>
      <c r="M615" s="711">
        <v>5793</v>
      </c>
      <c r="N615" s="711">
        <v>4</v>
      </c>
      <c r="O615" s="711">
        <v>23172</v>
      </c>
      <c r="P615" s="701">
        <v>0.80318890814558064</v>
      </c>
      <c r="Q615" s="712">
        <v>5793</v>
      </c>
    </row>
    <row r="616" spans="1:17" ht="14.4" customHeight="1" x14ac:dyDescent="0.3">
      <c r="A616" s="695" t="s">
        <v>556</v>
      </c>
      <c r="B616" s="696" t="s">
        <v>3783</v>
      </c>
      <c r="C616" s="696" t="s">
        <v>3589</v>
      </c>
      <c r="D616" s="696" t="s">
        <v>663</v>
      </c>
      <c r="E616" s="696" t="s">
        <v>4604</v>
      </c>
      <c r="F616" s="711"/>
      <c r="G616" s="711"/>
      <c r="H616" s="711"/>
      <c r="I616" s="711"/>
      <c r="J616" s="711">
        <v>3</v>
      </c>
      <c r="K616" s="711">
        <v>3558</v>
      </c>
      <c r="L616" s="711"/>
      <c r="M616" s="711">
        <v>1186</v>
      </c>
      <c r="N616" s="711">
        <v>2</v>
      </c>
      <c r="O616" s="711">
        <v>2372</v>
      </c>
      <c r="P616" s="701"/>
      <c r="Q616" s="712">
        <v>1186</v>
      </c>
    </row>
    <row r="617" spans="1:17" ht="14.4" customHeight="1" x14ac:dyDescent="0.3">
      <c r="A617" s="695" t="s">
        <v>556</v>
      </c>
      <c r="B617" s="696" t="s">
        <v>3783</v>
      </c>
      <c r="C617" s="696" t="s">
        <v>3589</v>
      </c>
      <c r="D617" s="696" t="s">
        <v>4605</v>
      </c>
      <c r="E617" s="696" t="s">
        <v>4606</v>
      </c>
      <c r="F617" s="711">
        <v>2</v>
      </c>
      <c r="G617" s="711">
        <v>15814</v>
      </c>
      <c r="H617" s="711">
        <v>1</v>
      </c>
      <c r="I617" s="711">
        <v>7907</v>
      </c>
      <c r="J617" s="711">
        <v>1</v>
      </c>
      <c r="K617" s="711">
        <v>7947</v>
      </c>
      <c r="L617" s="711">
        <v>0.50252940432528137</v>
      </c>
      <c r="M617" s="711">
        <v>7947</v>
      </c>
      <c r="N617" s="711">
        <v>1</v>
      </c>
      <c r="O617" s="711">
        <v>7947</v>
      </c>
      <c r="P617" s="701">
        <v>0.50252940432528137</v>
      </c>
      <c r="Q617" s="712">
        <v>7947</v>
      </c>
    </row>
    <row r="618" spans="1:17" ht="14.4" customHeight="1" x14ac:dyDescent="0.3">
      <c r="A618" s="695" t="s">
        <v>556</v>
      </c>
      <c r="B618" s="696" t="s">
        <v>3783</v>
      </c>
      <c r="C618" s="696" t="s">
        <v>3589</v>
      </c>
      <c r="D618" s="696" t="s">
        <v>4607</v>
      </c>
      <c r="E618" s="696" t="s">
        <v>4608</v>
      </c>
      <c r="F618" s="711">
        <v>3</v>
      </c>
      <c r="G618" s="711">
        <v>0</v>
      </c>
      <c r="H618" s="711"/>
      <c r="I618" s="711">
        <v>0</v>
      </c>
      <c r="J618" s="711">
        <v>2</v>
      </c>
      <c r="K618" s="711">
        <v>0</v>
      </c>
      <c r="L618" s="711"/>
      <c r="M618" s="711">
        <v>0</v>
      </c>
      <c r="N618" s="711">
        <v>2</v>
      </c>
      <c r="O618" s="711">
        <v>0</v>
      </c>
      <c r="P618" s="701"/>
      <c r="Q618" s="712">
        <v>0</v>
      </c>
    </row>
    <row r="619" spans="1:17" ht="14.4" customHeight="1" x14ac:dyDescent="0.3">
      <c r="A619" s="695" t="s">
        <v>556</v>
      </c>
      <c r="B619" s="696" t="s">
        <v>3783</v>
      </c>
      <c r="C619" s="696" t="s">
        <v>3589</v>
      </c>
      <c r="D619" s="696" t="s">
        <v>3736</v>
      </c>
      <c r="E619" s="696" t="s">
        <v>3737</v>
      </c>
      <c r="F619" s="711">
        <v>3</v>
      </c>
      <c r="G619" s="711">
        <v>2541</v>
      </c>
      <c r="H619" s="711">
        <v>1</v>
      </c>
      <c r="I619" s="711">
        <v>847</v>
      </c>
      <c r="J619" s="711">
        <v>1</v>
      </c>
      <c r="K619" s="711">
        <v>851</v>
      </c>
      <c r="L619" s="711">
        <v>0.33490751672569852</v>
      </c>
      <c r="M619" s="711">
        <v>851</v>
      </c>
      <c r="N619" s="711">
        <v>3</v>
      </c>
      <c r="O619" s="711">
        <v>2553</v>
      </c>
      <c r="P619" s="701">
        <v>1.0047225501770956</v>
      </c>
      <c r="Q619" s="712">
        <v>851</v>
      </c>
    </row>
    <row r="620" spans="1:17" ht="14.4" customHeight="1" x14ac:dyDescent="0.3">
      <c r="A620" s="695" t="s">
        <v>556</v>
      </c>
      <c r="B620" s="696" t="s">
        <v>3783</v>
      </c>
      <c r="C620" s="696" t="s">
        <v>3589</v>
      </c>
      <c r="D620" s="696" t="s">
        <v>4609</v>
      </c>
      <c r="E620" s="696" t="s">
        <v>4610</v>
      </c>
      <c r="F620" s="711">
        <v>2</v>
      </c>
      <c r="G620" s="711">
        <v>1368</v>
      </c>
      <c r="H620" s="711">
        <v>1</v>
      </c>
      <c r="I620" s="711">
        <v>684</v>
      </c>
      <c r="J620" s="711">
        <v>2</v>
      </c>
      <c r="K620" s="711">
        <v>1372</v>
      </c>
      <c r="L620" s="711">
        <v>1.0029239766081872</v>
      </c>
      <c r="M620" s="711">
        <v>686</v>
      </c>
      <c r="N620" s="711">
        <v>6</v>
      </c>
      <c r="O620" s="711">
        <v>4116</v>
      </c>
      <c r="P620" s="701">
        <v>3.0087719298245612</v>
      </c>
      <c r="Q620" s="712">
        <v>686</v>
      </c>
    </row>
    <row r="621" spans="1:17" ht="14.4" customHeight="1" x14ac:dyDescent="0.3">
      <c r="A621" s="695" t="s">
        <v>556</v>
      </c>
      <c r="B621" s="696" t="s">
        <v>3783</v>
      </c>
      <c r="C621" s="696" t="s">
        <v>3589</v>
      </c>
      <c r="D621" s="696" t="s">
        <v>4611</v>
      </c>
      <c r="E621" s="696" t="s">
        <v>4612</v>
      </c>
      <c r="F621" s="711">
        <v>1</v>
      </c>
      <c r="G621" s="711">
        <v>2166</v>
      </c>
      <c r="H621" s="711">
        <v>1</v>
      </c>
      <c r="I621" s="711">
        <v>2166</v>
      </c>
      <c r="J621" s="711"/>
      <c r="K621" s="711"/>
      <c r="L621" s="711"/>
      <c r="M621" s="711"/>
      <c r="N621" s="711">
        <v>1</v>
      </c>
      <c r="O621" s="711">
        <v>2173</v>
      </c>
      <c r="P621" s="701">
        <v>1.0032317636195753</v>
      </c>
      <c r="Q621" s="712">
        <v>2173</v>
      </c>
    </row>
    <row r="622" spans="1:17" ht="14.4" customHeight="1" x14ac:dyDescent="0.3">
      <c r="A622" s="695" t="s">
        <v>556</v>
      </c>
      <c r="B622" s="696" t="s">
        <v>3783</v>
      </c>
      <c r="C622" s="696" t="s">
        <v>3589</v>
      </c>
      <c r="D622" s="696" t="s">
        <v>4613</v>
      </c>
      <c r="E622" s="696" t="s">
        <v>3584</v>
      </c>
      <c r="F622" s="711">
        <v>120</v>
      </c>
      <c r="G622" s="711">
        <v>29640</v>
      </c>
      <c r="H622" s="711">
        <v>1</v>
      </c>
      <c r="I622" s="711">
        <v>247</v>
      </c>
      <c r="J622" s="711">
        <v>0</v>
      </c>
      <c r="K622" s="711">
        <v>0</v>
      </c>
      <c r="L622" s="711">
        <v>0</v>
      </c>
      <c r="M622" s="711"/>
      <c r="N622" s="711"/>
      <c r="O622" s="711"/>
      <c r="P622" s="701"/>
      <c r="Q622" s="712"/>
    </row>
    <row r="623" spans="1:17" ht="14.4" customHeight="1" x14ac:dyDescent="0.3">
      <c r="A623" s="695" t="s">
        <v>556</v>
      </c>
      <c r="B623" s="696" t="s">
        <v>3783</v>
      </c>
      <c r="C623" s="696" t="s">
        <v>3589</v>
      </c>
      <c r="D623" s="696" t="s">
        <v>3740</v>
      </c>
      <c r="E623" s="696" t="s">
        <v>3741</v>
      </c>
      <c r="F623" s="711">
        <v>2</v>
      </c>
      <c r="G623" s="711">
        <v>394</v>
      </c>
      <c r="H623" s="711">
        <v>1</v>
      </c>
      <c r="I623" s="711">
        <v>197</v>
      </c>
      <c r="J623" s="711">
        <v>3</v>
      </c>
      <c r="K623" s="711">
        <v>594</v>
      </c>
      <c r="L623" s="711">
        <v>1.5076142131979695</v>
      </c>
      <c r="M623" s="711">
        <v>198</v>
      </c>
      <c r="N623" s="711">
        <v>4</v>
      </c>
      <c r="O623" s="711">
        <v>792</v>
      </c>
      <c r="P623" s="701">
        <v>2.0101522842639592</v>
      </c>
      <c r="Q623" s="712">
        <v>198</v>
      </c>
    </row>
    <row r="624" spans="1:17" ht="14.4" customHeight="1" x14ac:dyDescent="0.3">
      <c r="A624" s="695" t="s">
        <v>556</v>
      </c>
      <c r="B624" s="696" t="s">
        <v>3783</v>
      </c>
      <c r="C624" s="696" t="s">
        <v>3589</v>
      </c>
      <c r="D624" s="696" t="s">
        <v>3742</v>
      </c>
      <c r="E624" s="696" t="s">
        <v>3743</v>
      </c>
      <c r="F624" s="711">
        <v>29</v>
      </c>
      <c r="G624" s="711">
        <v>8932</v>
      </c>
      <c r="H624" s="711">
        <v>1</v>
      </c>
      <c r="I624" s="711">
        <v>308</v>
      </c>
      <c r="J624" s="711">
        <v>36</v>
      </c>
      <c r="K624" s="711">
        <v>11196</v>
      </c>
      <c r="L624" s="711">
        <v>1.2534706672637708</v>
      </c>
      <c r="M624" s="711">
        <v>311</v>
      </c>
      <c r="N624" s="711">
        <v>26</v>
      </c>
      <c r="O624" s="711">
        <v>8086</v>
      </c>
      <c r="P624" s="701">
        <v>0.90528437080161217</v>
      </c>
      <c r="Q624" s="712">
        <v>311</v>
      </c>
    </row>
    <row r="625" spans="1:17" ht="14.4" customHeight="1" x14ac:dyDescent="0.3">
      <c r="A625" s="695" t="s">
        <v>556</v>
      </c>
      <c r="B625" s="696" t="s">
        <v>3783</v>
      </c>
      <c r="C625" s="696" t="s">
        <v>3589</v>
      </c>
      <c r="D625" s="696" t="s">
        <v>3744</v>
      </c>
      <c r="E625" s="696" t="s">
        <v>3745</v>
      </c>
      <c r="F625" s="711"/>
      <c r="G625" s="711"/>
      <c r="H625" s="711"/>
      <c r="I625" s="711"/>
      <c r="J625" s="711">
        <v>1</v>
      </c>
      <c r="K625" s="711">
        <v>994</v>
      </c>
      <c r="L625" s="711"/>
      <c r="M625" s="711">
        <v>994</v>
      </c>
      <c r="N625" s="711">
        <v>1</v>
      </c>
      <c r="O625" s="711">
        <v>994</v>
      </c>
      <c r="P625" s="701"/>
      <c r="Q625" s="712">
        <v>994</v>
      </c>
    </row>
    <row r="626" spans="1:17" ht="14.4" customHeight="1" x14ac:dyDescent="0.3">
      <c r="A626" s="695" t="s">
        <v>556</v>
      </c>
      <c r="B626" s="696" t="s">
        <v>3783</v>
      </c>
      <c r="C626" s="696" t="s">
        <v>3589</v>
      </c>
      <c r="D626" s="696" t="s">
        <v>3746</v>
      </c>
      <c r="E626" s="696" t="s">
        <v>3747</v>
      </c>
      <c r="F626" s="711">
        <v>3</v>
      </c>
      <c r="G626" s="711">
        <v>333</v>
      </c>
      <c r="H626" s="711">
        <v>1</v>
      </c>
      <c r="I626" s="711">
        <v>111</v>
      </c>
      <c r="J626" s="711"/>
      <c r="K626" s="711"/>
      <c r="L626" s="711"/>
      <c r="M626" s="711"/>
      <c r="N626" s="711">
        <v>2</v>
      </c>
      <c r="O626" s="711">
        <v>224</v>
      </c>
      <c r="P626" s="701">
        <v>0.67267267267267272</v>
      </c>
      <c r="Q626" s="712">
        <v>112</v>
      </c>
    </row>
    <row r="627" spans="1:17" ht="14.4" customHeight="1" x14ac:dyDescent="0.3">
      <c r="A627" s="695" t="s">
        <v>556</v>
      </c>
      <c r="B627" s="696" t="s">
        <v>3783</v>
      </c>
      <c r="C627" s="696" t="s">
        <v>3589</v>
      </c>
      <c r="D627" s="696" t="s">
        <v>4614</v>
      </c>
      <c r="E627" s="696" t="s">
        <v>4615</v>
      </c>
      <c r="F627" s="711"/>
      <c r="G627" s="711"/>
      <c r="H627" s="711"/>
      <c r="I627" s="711"/>
      <c r="J627" s="711">
        <v>1</v>
      </c>
      <c r="K627" s="711">
        <v>808</v>
      </c>
      <c r="L627" s="711"/>
      <c r="M627" s="711">
        <v>808</v>
      </c>
      <c r="N627" s="711">
        <v>1</v>
      </c>
      <c r="O627" s="711">
        <v>808</v>
      </c>
      <c r="P627" s="701"/>
      <c r="Q627" s="712">
        <v>808</v>
      </c>
    </row>
    <row r="628" spans="1:17" ht="14.4" customHeight="1" x14ac:dyDescent="0.3">
      <c r="A628" s="695" t="s">
        <v>556</v>
      </c>
      <c r="B628" s="696" t="s">
        <v>3783</v>
      </c>
      <c r="C628" s="696" t="s">
        <v>3589</v>
      </c>
      <c r="D628" s="696" t="s">
        <v>3848</v>
      </c>
      <c r="E628" s="696" t="s">
        <v>3849</v>
      </c>
      <c r="F628" s="711"/>
      <c r="G628" s="711"/>
      <c r="H628" s="711"/>
      <c r="I628" s="711"/>
      <c r="J628" s="711"/>
      <c r="K628" s="711"/>
      <c r="L628" s="711"/>
      <c r="M628" s="711"/>
      <c r="N628" s="711">
        <v>1</v>
      </c>
      <c r="O628" s="711">
        <v>5546</v>
      </c>
      <c r="P628" s="701"/>
      <c r="Q628" s="712">
        <v>5546</v>
      </c>
    </row>
    <row r="629" spans="1:17" ht="14.4" customHeight="1" x14ac:dyDescent="0.3">
      <c r="A629" s="695" t="s">
        <v>556</v>
      </c>
      <c r="B629" s="696" t="s">
        <v>3783</v>
      </c>
      <c r="C629" s="696" t="s">
        <v>3589</v>
      </c>
      <c r="D629" s="696" t="s">
        <v>4616</v>
      </c>
      <c r="E629" s="696" t="s">
        <v>4617</v>
      </c>
      <c r="F629" s="711"/>
      <c r="G629" s="711"/>
      <c r="H629" s="711"/>
      <c r="I629" s="711"/>
      <c r="J629" s="711">
        <v>4</v>
      </c>
      <c r="K629" s="711">
        <v>6584</v>
      </c>
      <c r="L629" s="711"/>
      <c r="M629" s="711">
        <v>1646</v>
      </c>
      <c r="N629" s="711"/>
      <c r="O629" s="711"/>
      <c r="P629" s="701"/>
      <c r="Q629" s="712"/>
    </row>
    <row r="630" spans="1:17" ht="14.4" customHeight="1" x14ac:dyDescent="0.3">
      <c r="A630" s="695" t="s">
        <v>556</v>
      </c>
      <c r="B630" s="696" t="s">
        <v>3783</v>
      </c>
      <c r="C630" s="696" t="s">
        <v>3589</v>
      </c>
      <c r="D630" s="696" t="s">
        <v>4618</v>
      </c>
      <c r="E630" s="696" t="s">
        <v>4619</v>
      </c>
      <c r="F630" s="711">
        <v>1</v>
      </c>
      <c r="G630" s="711">
        <v>320</v>
      </c>
      <c r="H630" s="711">
        <v>1</v>
      </c>
      <c r="I630" s="711">
        <v>320</v>
      </c>
      <c r="J630" s="711"/>
      <c r="K630" s="711"/>
      <c r="L630" s="711"/>
      <c r="M630" s="711"/>
      <c r="N630" s="711"/>
      <c r="O630" s="711"/>
      <c r="P630" s="701"/>
      <c r="Q630" s="712"/>
    </row>
    <row r="631" spans="1:17" ht="14.4" customHeight="1" x14ac:dyDescent="0.3">
      <c r="A631" s="695" t="s">
        <v>556</v>
      </c>
      <c r="B631" s="696" t="s">
        <v>3783</v>
      </c>
      <c r="C631" s="696" t="s">
        <v>3589</v>
      </c>
      <c r="D631" s="696" t="s">
        <v>4620</v>
      </c>
      <c r="E631" s="696" t="s">
        <v>4621</v>
      </c>
      <c r="F631" s="711">
        <v>2</v>
      </c>
      <c r="G631" s="711">
        <v>2954</v>
      </c>
      <c r="H631" s="711">
        <v>1</v>
      </c>
      <c r="I631" s="711">
        <v>1477</v>
      </c>
      <c r="J631" s="711">
        <v>1</v>
      </c>
      <c r="K631" s="711">
        <v>1481</v>
      </c>
      <c r="L631" s="711">
        <v>0.50135409614082604</v>
      </c>
      <c r="M631" s="711">
        <v>1481</v>
      </c>
      <c r="N631" s="711"/>
      <c r="O631" s="711"/>
      <c r="P631" s="701"/>
      <c r="Q631" s="712"/>
    </row>
    <row r="632" spans="1:17" ht="14.4" customHeight="1" x14ac:dyDescent="0.3">
      <c r="A632" s="695" t="s">
        <v>556</v>
      </c>
      <c r="B632" s="696" t="s">
        <v>3783</v>
      </c>
      <c r="C632" s="696" t="s">
        <v>3589</v>
      </c>
      <c r="D632" s="696" t="s">
        <v>4622</v>
      </c>
      <c r="E632" s="696" t="s">
        <v>4623</v>
      </c>
      <c r="F632" s="711"/>
      <c r="G632" s="711"/>
      <c r="H632" s="711"/>
      <c r="I632" s="711"/>
      <c r="J632" s="711">
        <v>1</v>
      </c>
      <c r="K632" s="711">
        <v>810</v>
      </c>
      <c r="L632" s="711"/>
      <c r="M632" s="711">
        <v>810</v>
      </c>
      <c r="N632" s="711"/>
      <c r="O632" s="711"/>
      <c r="P632" s="701"/>
      <c r="Q632" s="712"/>
    </row>
    <row r="633" spans="1:17" ht="14.4" customHeight="1" x14ac:dyDescent="0.3">
      <c r="A633" s="695" t="s">
        <v>556</v>
      </c>
      <c r="B633" s="696" t="s">
        <v>3783</v>
      </c>
      <c r="C633" s="696" t="s">
        <v>3589</v>
      </c>
      <c r="D633" s="696" t="s">
        <v>4624</v>
      </c>
      <c r="E633" s="696" t="s">
        <v>4625</v>
      </c>
      <c r="F633" s="711">
        <v>2</v>
      </c>
      <c r="G633" s="711">
        <v>3864</v>
      </c>
      <c r="H633" s="711">
        <v>1</v>
      </c>
      <c r="I633" s="711">
        <v>1932</v>
      </c>
      <c r="J633" s="711"/>
      <c r="K633" s="711"/>
      <c r="L633" s="711"/>
      <c r="M633" s="711"/>
      <c r="N633" s="711">
        <v>1</v>
      </c>
      <c r="O633" s="711">
        <v>1942</v>
      </c>
      <c r="P633" s="701">
        <v>0.5025879917184265</v>
      </c>
      <c r="Q633" s="712">
        <v>1942</v>
      </c>
    </row>
    <row r="634" spans="1:17" ht="14.4" customHeight="1" x14ac:dyDescent="0.3">
      <c r="A634" s="695" t="s">
        <v>556</v>
      </c>
      <c r="B634" s="696" t="s">
        <v>3783</v>
      </c>
      <c r="C634" s="696" t="s">
        <v>3589</v>
      </c>
      <c r="D634" s="696" t="s">
        <v>4626</v>
      </c>
      <c r="E634" s="696" t="s">
        <v>4627</v>
      </c>
      <c r="F634" s="711"/>
      <c r="G634" s="711"/>
      <c r="H634" s="711"/>
      <c r="I634" s="711"/>
      <c r="J634" s="711">
        <v>4</v>
      </c>
      <c r="K634" s="711">
        <v>15572</v>
      </c>
      <c r="L634" s="711"/>
      <c r="M634" s="711">
        <v>3893</v>
      </c>
      <c r="N634" s="711"/>
      <c r="O634" s="711"/>
      <c r="P634" s="701"/>
      <c r="Q634" s="712"/>
    </row>
    <row r="635" spans="1:17" ht="14.4" customHeight="1" x14ac:dyDescent="0.3">
      <c r="A635" s="695" t="s">
        <v>556</v>
      </c>
      <c r="B635" s="696" t="s">
        <v>3783</v>
      </c>
      <c r="C635" s="696" t="s">
        <v>3589</v>
      </c>
      <c r="D635" s="696" t="s">
        <v>4628</v>
      </c>
      <c r="E635" s="696" t="s">
        <v>4629</v>
      </c>
      <c r="F635" s="711">
        <v>13</v>
      </c>
      <c r="G635" s="711">
        <v>16939</v>
      </c>
      <c r="H635" s="711">
        <v>1</v>
      </c>
      <c r="I635" s="711">
        <v>1303</v>
      </c>
      <c r="J635" s="711">
        <v>12</v>
      </c>
      <c r="K635" s="711">
        <v>15720</v>
      </c>
      <c r="L635" s="711">
        <v>0.92803589350020665</v>
      </c>
      <c r="M635" s="711">
        <v>1310</v>
      </c>
      <c r="N635" s="711">
        <v>9</v>
      </c>
      <c r="O635" s="711">
        <v>11790</v>
      </c>
      <c r="P635" s="701">
        <v>0.69602692012515499</v>
      </c>
      <c r="Q635" s="712">
        <v>1310</v>
      </c>
    </row>
    <row r="636" spans="1:17" ht="14.4" customHeight="1" x14ac:dyDescent="0.3">
      <c r="A636" s="695" t="s">
        <v>556</v>
      </c>
      <c r="B636" s="696" t="s">
        <v>3783</v>
      </c>
      <c r="C636" s="696" t="s">
        <v>3589</v>
      </c>
      <c r="D636" s="696" t="s">
        <v>4630</v>
      </c>
      <c r="E636" s="696" t="s">
        <v>4631</v>
      </c>
      <c r="F636" s="711">
        <v>9</v>
      </c>
      <c r="G636" s="711">
        <v>12744</v>
      </c>
      <c r="H636" s="711">
        <v>1</v>
      </c>
      <c r="I636" s="711">
        <v>1416</v>
      </c>
      <c r="J636" s="711">
        <v>3</v>
      </c>
      <c r="K636" s="711">
        <v>4269</v>
      </c>
      <c r="L636" s="711">
        <v>0.33498116760828628</v>
      </c>
      <c r="M636" s="711">
        <v>1423</v>
      </c>
      <c r="N636" s="711">
        <v>7</v>
      </c>
      <c r="O636" s="711">
        <v>9961</v>
      </c>
      <c r="P636" s="701">
        <v>0.78162272441933456</v>
      </c>
      <c r="Q636" s="712">
        <v>1423</v>
      </c>
    </row>
    <row r="637" spans="1:17" ht="14.4" customHeight="1" x14ac:dyDescent="0.3">
      <c r="A637" s="695" t="s">
        <v>556</v>
      </c>
      <c r="B637" s="696" t="s">
        <v>3783</v>
      </c>
      <c r="C637" s="696" t="s">
        <v>3589</v>
      </c>
      <c r="D637" s="696" t="s">
        <v>4632</v>
      </c>
      <c r="E637" s="696" t="s">
        <v>4633</v>
      </c>
      <c r="F637" s="711"/>
      <c r="G637" s="711"/>
      <c r="H637" s="711"/>
      <c r="I637" s="711"/>
      <c r="J637" s="711">
        <v>5</v>
      </c>
      <c r="K637" s="711">
        <v>5245</v>
      </c>
      <c r="L637" s="711"/>
      <c r="M637" s="711">
        <v>1049</v>
      </c>
      <c r="N637" s="711">
        <v>4</v>
      </c>
      <c r="O637" s="711">
        <v>4196</v>
      </c>
      <c r="P637" s="701"/>
      <c r="Q637" s="712">
        <v>1049</v>
      </c>
    </row>
    <row r="638" spans="1:17" ht="14.4" customHeight="1" x14ac:dyDescent="0.3">
      <c r="A638" s="695" t="s">
        <v>556</v>
      </c>
      <c r="B638" s="696" t="s">
        <v>3783</v>
      </c>
      <c r="C638" s="696" t="s">
        <v>3589</v>
      </c>
      <c r="D638" s="696" t="s">
        <v>4634</v>
      </c>
      <c r="E638" s="696" t="s">
        <v>4635</v>
      </c>
      <c r="F638" s="711">
        <v>3</v>
      </c>
      <c r="G638" s="711">
        <v>3579</v>
      </c>
      <c r="H638" s="711">
        <v>1</v>
      </c>
      <c r="I638" s="711">
        <v>1193</v>
      </c>
      <c r="J638" s="711">
        <v>4</v>
      </c>
      <c r="K638" s="711">
        <v>4796</v>
      </c>
      <c r="L638" s="711">
        <v>1.3400391170718078</v>
      </c>
      <c r="M638" s="711">
        <v>1199</v>
      </c>
      <c r="N638" s="711">
        <v>3</v>
      </c>
      <c r="O638" s="711">
        <v>3597</v>
      </c>
      <c r="P638" s="701">
        <v>1.0050293378038557</v>
      </c>
      <c r="Q638" s="712">
        <v>1199</v>
      </c>
    </row>
    <row r="639" spans="1:17" ht="14.4" customHeight="1" x14ac:dyDescent="0.3">
      <c r="A639" s="695" t="s">
        <v>556</v>
      </c>
      <c r="B639" s="696" t="s">
        <v>3783</v>
      </c>
      <c r="C639" s="696" t="s">
        <v>3589</v>
      </c>
      <c r="D639" s="696" t="s">
        <v>4636</v>
      </c>
      <c r="E639" s="696" t="s">
        <v>4637</v>
      </c>
      <c r="F639" s="711"/>
      <c r="G639" s="711"/>
      <c r="H639" s="711"/>
      <c r="I639" s="711"/>
      <c r="J639" s="711">
        <v>2</v>
      </c>
      <c r="K639" s="711">
        <v>2614</v>
      </c>
      <c r="L639" s="711"/>
      <c r="M639" s="711">
        <v>1307</v>
      </c>
      <c r="N639" s="711"/>
      <c r="O639" s="711"/>
      <c r="P639" s="701"/>
      <c r="Q639" s="712"/>
    </row>
    <row r="640" spans="1:17" ht="14.4" customHeight="1" x14ac:dyDescent="0.3">
      <c r="A640" s="695" t="s">
        <v>556</v>
      </c>
      <c r="B640" s="696" t="s">
        <v>3783</v>
      </c>
      <c r="C640" s="696" t="s">
        <v>3589</v>
      </c>
      <c r="D640" s="696" t="s">
        <v>4638</v>
      </c>
      <c r="E640" s="696" t="s">
        <v>4639</v>
      </c>
      <c r="F640" s="711">
        <v>1</v>
      </c>
      <c r="G640" s="711">
        <v>2480</v>
      </c>
      <c r="H640" s="711">
        <v>1</v>
      </c>
      <c r="I640" s="711">
        <v>2480</v>
      </c>
      <c r="J640" s="711"/>
      <c r="K640" s="711"/>
      <c r="L640" s="711"/>
      <c r="M640" s="711"/>
      <c r="N640" s="711"/>
      <c r="O640" s="711"/>
      <c r="P640" s="701"/>
      <c r="Q640" s="712"/>
    </row>
    <row r="641" spans="1:17" ht="14.4" customHeight="1" x14ac:dyDescent="0.3">
      <c r="A641" s="695" t="s">
        <v>556</v>
      </c>
      <c r="B641" s="696" t="s">
        <v>3783</v>
      </c>
      <c r="C641" s="696" t="s">
        <v>3589</v>
      </c>
      <c r="D641" s="696" t="s">
        <v>4640</v>
      </c>
      <c r="E641" s="696" t="s">
        <v>4641</v>
      </c>
      <c r="F641" s="711"/>
      <c r="G641" s="711"/>
      <c r="H641" s="711"/>
      <c r="I641" s="711"/>
      <c r="J641" s="711">
        <v>2</v>
      </c>
      <c r="K641" s="711">
        <v>3592</v>
      </c>
      <c r="L641" s="711"/>
      <c r="M641" s="711">
        <v>1796</v>
      </c>
      <c r="N641" s="711">
        <v>2</v>
      </c>
      <c r="O641" s="711">
        <v>3592</v>
      </c>
      <c r="P641" s="701"/>
      <c r="Q641" s="712">
        <v>1796</v>
      </c>
    </row>
    <row r="642" spans="1:17" ht="14.4" customHeight="1" x14ac:dyDescent="0.3">
      <c r="A642" s="695" t="s">
        <v>556</v>
      </c>
      <c r="B642" s="696" t="s">
        <v>3783</v>
      </c>
      <c r="C642" s="696" t="s">
        <v>3589</v>
      </c>
      <c r="D642" s="696" t="s">
        <v>4642</v>
      </c>
      <c r="E642" s="696" t="s">
        <v>4643</v>
      </c>
      <c r="F642" s="711">
        <v>8</v>
      </c>
      <c r="G642" s="711">
        <v>39272</v>
      </c>
      <c r="H642" s="711">
        <v>1</v>
      </c>
      <c r="I642" s="711">
        <v>4909</v>
      </c>
      <c r="J642" s="711">
        <v>7</v>
      </c>
      <c r="K642" s="711">
        <v>34524</v>
      </c>
      <c r="L642" s="711">
        <v>0.87909961295579553</v>
      </c>
      <c r="M642" s="711">
        <v>4932</v>
      </c>
      <c r="N642" s="711">
        <v>8</v>
      </c>
      <c r="O642" s="711">
        <v>39456</v>
      </c>
      <c r="P642" s="701">
        <v>1.0046852719494805</v>
      </c>
      <c r="Q642" s="712">
        <v>4932</v>
      </c>
    </row>
    <row r="643" spans="1:17" ht="14.4" customHeight="1" x14ac:dyDescent="0.3">
      <c r="A643" s="695" t="s">
        <v>556</v>
      </c>
      <c r="B643" s="696" t="s">
        <v>3783</v>
      </c>
      <c r="C643" s="696" t="s">
        <v>3589</v>
      </c>
      <c r="D643" s="696" t="s">
        <v>4644</v>
      </c>
      <c r="E643" s="696" t="s">
        <v>4645</v>
      </c>
      <c r="F643" s="711"/>
      <c r="G643" s="711"/>
      <c r="H643" s="711"/>
      <c r="I643" s="711"/>
      <c r="J643" s="711"/>
      <c r="K643" s="711"/>
      <c r="L643" s="711"/>
      <c r="M643" s="711"/>
      <c r="N643" s="711">
        <v>1</v>
      </c>
      <c r="O643" s="711">
        <v>440</v>
      </c>
      <c r="P643" s="701"/>
      <c r="Q643" s="712">
        <v>440</v>
      </c>
    </row>
    <row r="644" spans="1:17" ht="14.4" customHeight="1" x14ac:dyDescent="0.3">
      <c r="A644" s="695" t="s">
        <v>556</v>
      </c>
      <c r="B644" s="696" t="s">
        <v>3783</v>
      </c>
      <c r="C644" s="696" t="s">
        <v>3589</v>
      </c>
      <c r="D644" s="696" t="s">
        <v>4646</v>
      </c>
      <c r="E644" s="696" t="s">
        <v>4647</v>
      </c>
      <c r="F644" s="711">
        <v>1</v>
      </c>
      <c r="G644" s="711">
        <v>2689</v>
      </c>
      <c r="H644" s="711">
        <v>1</v>
      </c>
      <c r="I644" s="711">
        <v>2689</v>
      </c>
      <c r="J644" s="711">
        <v>1</v>
      </c>
      <c r="K644" s="711">
        <v>2702</v>
      </c>
      <c r="L644" s="711">
        <v>1.0048345109706212</v>
      </c>
      <c r="M644" s="711">
        <v>2702</v>
      </c>
      <c r="N644" s="711">
        <v>2</v>
      </c>
      <c r="O644" s="711">
        <v>5404</v>
      </c>
      <c r="P644" s="701">
        <v>2.0096690219412423</v>
      </c>
      <c r="Q644" s="712">
        <v>2702</v>
      </c>
    </row>
    <row r="645" spans="1:17" ht="14.4" customHeight="1" x14ac:dyDescent="0.3">
      <c r="A645" s="695" t="s">
        <v>556</v>
      </c>
      <c r="B645" s="696" t="s">
        <v>3783</v>
      </c>
      <c r="C645" s="696" t="s">
        <v>3589</v>
      </c>
      <c r="D645" s="696" t="s">
        <v>4648</v>
      </c>
      <c r="E645" s="696" t="s">
        <v>4649</v>
      </c>
      <c r="F645" s="711">
        <v>2</v>
      </c>
      <c r="G645" s="711">
        <v>4544</v>
      </c>
      <c r="H645" s="711">
        <v>1</v>
      </c>
      <c r="I645" s="711">
        <v>2272</v>
      </c>
      <c r="J645" s="711">
        <v>5</v>
      </c>
      <c r="K645" s="711">
        <v>11420</v>
      </c>
      <c r="L645" s="711">
        <v>2.5132042253521125</v>
      </c>
      <c r="M645" s="711">
        <v>2284</v>
      </c>
      <c r="N645" s="711">
        <v>5</v>
      </c>
      <c r="O645" s="711">
        <v>11420</v>
      </c>
      <c r="P645" s="701">
        <v>2.5132042253521125</v>
      </c>
      <c r="Q645" s="712">
        <v>2284</v>
      </c>
    </row>
    <row r="646" spans="1:17" ht="14.4" customHeight="1" x14ac:dyDescent="0.3">
      <c r="A646" s="695" t="s">
        <v>556</v>
      </c>
      <c r="B646" s="696" t="s">
        <v>3783</v>
      </c>
      <c r="C646" s="696" t="s">
        <v>3589</v>
      </c>
      <c r="D646" s="696" t="s">
        <v>3748</v>
      </c>
      <c r="E646" s="696" t="s">
        <v>3749</v>
      </c>
      <c r="F646" s="711"/>
      <c r="G646" s="711"/>
      <c r="H646" s="711"/>
      <c r="I646" s="711"/>
      <c r="J646" s="711"/>
      <c r="K646" s="711"/>
      <c r="L646" s="711"/>
      <c r="M646" s="711"/>
      <c r="N646" s="711">
        <v>1</v>
      </c>
      <c r="O646" s="711">
        <v>823</v>
      </c>
      <c r="P646" s="701"/>
      <c r="Q646" s="712">
        <v>823</v>
      </c>
    </row>
    <row r="647" spans="1:17" ht="14.4" customHeight="1" x14ac:dyDescent="0.3">
      <c r="A647" s="695" t="s">
        <v>556</v>
      </c>
      <c r="B647" s="696" t="s">
        <v>3783</v>
      </c>
      <c r="C647" s="696" t="s">
        <v>3589</v>
      </c>
      <c r="D647" s="696" t="s">
        <v>4650</v>
      </c>
      <c r="E647" s="696" t="s">
        <v>4651</v>
      </c>
      <c r="F647" s="711">
        <v>1</v>
      </c>
      <c r="G647" s="711">
        <v>2164</v>
      </c>
      <c r="H647" s="711">
        <v>1</v>
      </c>
      <c r="I647" s="711">
        <v>2164</v>
      </c>
      <c r="J647" s="711">
        <v>2</v>
      </c>
      <c r="K647" s="711">
        <v>4342</v>
      </c>
      <c r="L647" s="711">
        <v>2.0064695009242146</v>
      </c>
      <c r="M647" s="711">
        <v>2171</v>
      </c>
      <c r="N647" s="711">
        <v>1</v>
      </c>
      <c r="O647" s="711">
        <v>2171</v>
      </c>
      <c r="P647" s="701">
        <v>1.0032347504621073</v>
      </c>
      <c r="Q647" s="712">
        <v>2171</v>
      </c>
    </row>
    <row r="648" spans="1:17" ht="14.4" customHeight="1" x14ac:dyDescent="0.3">
      <c r="A648" s="695" t="s">
        <v>556</v>
      </c>
      <c r="B648" s="696" t="s">
        <v>3783</v>
      </c>
      <c r="C648" s="696" t="s">
        <v>3589</v>
      </c>
      <c r="D648" s="696" t="s">
        <v>4652</v>
      </c>
      <c r="E648" s="696" t="s">
        <v>4653</v>
      </c>
      <c r="F648" s="711"/>
      <c r="G648" s="711"/>
      <c r="H648" s="711"/>
      <c r="I648" s="711"/>
      <c r="J648" s="711"/>
      <c r="K648" s="711"/>
      <c r="L648" s="711"/>
      <c r="M648" s="711"/>
      <c r="N648" s="711">
        <v>7</v>
      </c>
      <c r="O648" s="711">
        <v>0</v>
      </c>
      <c r="P648" s="701"/>
      <c r="Q648" s="712">
        <v>0</v>
      </c>
    </row>
    <row r="649" spans="1:17" ht="14.4" customHeight="1" x14ac:dyDescent="0.3">
      <c r="A649" s="695" t="s">
        <v>556</v>
      </c>
      <c r="B649" s="696" t="s">
        <v>3783</v>
      </c>
      <c r="C649" s="696" t="s">
        <v>3589</v>
      </c>
      <c r="D649" s="696" t="s">
        <v>4654</v>
      </c>
      <c r="E649" s="696" t="s">
        <v>4655</v>
      </c>
      <c r="F649" s="711"/>
      <c r="G649" s="711"/>
      <c r="H649" s="711"/>
      <c r="I649" s="711"/>
      <c r="J649" s="711">
        <v>1</v>
      </c>
      <c r="K649" s="711">
        <v>112</v>
      </c>
      <c r="L649" s="711"/>
      <c r="M649" s="711">
        <v>112</v>
      </c>
      <c r="N649" s="711">
        <v>1</v>
      </c>
      <c r="O649" s="711">
        <v>112</v>
      </c>
      <c r="P649" s="701"/>
      <c r="Q649" s="712">
        <v>112</v>
      </c>
    </row>
    <row r="650" spans="1:17" ht="14.4" customHeight="1" x14ac:dyDescent="0.3">
      <c r="A650" s="695" t="s">
        <v>556</v>
      </c>
      <c r="B650" s="696" t="s">
        <v>3783</v>
      </c>
      <c r="C650" s="696" t="s">
        <v>3589</v>
      </c>
      <c r="D650" s="696" t="s">
        <v>3752</v>
      </c>
      <c r="E650" s="696" t="s">
        <v>3753</v>
      </c>
      <c r="F650" s="711">
        <v>4</v>
      </c>
      <c r="G650" s="711">
        <v>296</v>
      </c>
      <c r="H650" s="711">
        <v>1</v>
      </c>
      <c r="I650" s="711">
        <v>74</v>
      </c>
      <c r="J650" s="711"/>
      <c r="K650" s="711"/>
      <c r="L650" s="711"/>
      <c r="M650" s="711"/>
      <c r="N650" s="711"/>
      <c r="O650" s="711"/>
      <c r="P650" s="701"/>
      <c r="Q650" s="712"/>
    </row>
    <row r="651" spans="1:17" ht="14.4" customHeight="1" x14ac:dyDescent="0.3">
      <c r="A651" s="695" t="s">
        <v>556</v>
      </c>
      <c r="B651" s="696" t="s">
        <v>3783</v>
      </c>
      <c r="C651" s="696" t="s">
        <v>3589</v>
      </c>
      <c r="D651" s="696" t="s">
        <v>4656</v>
      </c>
      <c r="E651" s="696" t="s">
        <v>4657</v>
      </c>
      <c r="F651" s="711">
        <v>1</v>
      </c>
      <c r="G651" s="711">
        <v>529</v>
      </c>
      <c r="H651" s="711">
        <v>1</v>
      </c>
      <c r="I651" s="711">
        <v>529</v>
      </c>
      <c r="J651" s="711">
        <v>2</v>
      </c>
      <c r="K651" s="711">
        <v>1066</v>
      </c>
      <c r="L651" s="711">
        <v>2.0151228733459359</v>
      </c>
      <c r="M651" s="711">
        <v>533</v>
      </c>
      <c r="N651" s="711"/>
      <c r="O651" s="711"/>
      <c r="P651" s="701"/>
      <c r="Q651" s="712"/>
    </row>
    <row r="652" spans="1:17" ht="14.4" customHeight="1" x14ac:dyDescent="0.3">
      <c r="A652" s="695" t="s">
        <v>556</v>
      </c>
      <c r="B652" s="696" t="s">
        <v>3783</v>
      </c>
      <c r="C652" s="696" t="s">
        <v>3589</v>
      </c>
      <c r="D652" s="696" t="s">
        <v>4658</v>
      </c>
      <c r="E652" s="696" t="s">
        <v>4659</v>
      </c>
      <c r="F652" s="711">
        <v>1</v>
      </c>
      <c r="G652" s="711">
        <v>3504</v>
      </c>
      <c r="H652" s="711">
        <v>1</v>
      </c>
      <c r="I652" s="711">
        <v>3504</v>
      </c>
      <c r="J652" s="711"/>
      <c r="K652" s="711"/>
      <c r="L652" s="711"/>
      <c r="M652" s="711"/>
      <c r="N652" s="711"/>
      <c r="O652" s="711"/>
      <c r="P652" s="701"/>
      <c r="Q652" s="712"/>
    </row>
    <row r="653" spans="1:17" ht="14.4" customHeight="1" x14ac:dyDescent="0.3">
      <c r="A653" s="695" t="s">
        <v>556</v>
      </c>
      <c r="B653" s="696" t="s">
        <v>3783</v>
      </c>
      <c r="C653" s="696" t="s">
        <v>3589</v>
      </c>
      <c r="D653" s="696" t="s">
        <v>4660</v>
      </c>
      <c r="E653" s="696" t="s">
        <v>4431</v>
      </c>
      <c r="F653" s="711"/>
      <c r="G653" s="711"/>
      <c r="H653" s="711"/>
      <c r="I653" s="711"/>
      <c r="J653" s="711">
        <v>0</v>
      </c>
      <c r="K653" s="711">
        <v>0</v>
      </c>
      <c r="L653" s="711"/>
      <c r="M653" s="711"/>
      <c r="N653" s="711"/>
      <c r="O653" s="711"/>
      <c r="P653" s="701"/>
      <c r="Q653" s="712"/>
    </row>
    <row r="654" spans="1:17" ht="14.4" customHeight="1" x14ac:dyDescent="0.3">
      <c r="A654" s="695" t="s">
        <v>556</v>
      </c>
      <c r="B654" s="696" t="s">
        <v>3783</v>
      </c>
      <c r="C654" s="696" t="s">
        <v>3589</v>
      </c>
      <c r="D654" s="696" t="s">
        <v>4661</v>
      </c>
      <c r="E654" s="696" t="s">
        <v>4662</v>
      </c>
      <c r="F654" s="711">
        <v>3</v>
      </c>
      <c r="G654" s="711">
        <v>7629</v>
      </c>
      <c r="H654" s="711">
        <v>1</v>
      </c>
      <c r="I654" s="711">
        <v>2543</v>
      </c>
      <c r="J654" s="711"/>
      <c r="K654" s="711"/>
      <c r="L654" s="711"/>
      <c r="M654" s="711"/>
      <c r="N654" s="711"/>
      <c r="O654" s="711"/>
      <c r="P654" s="701"/>
      <c r="Q654" s="712"/>
    </row>
    <row r="655" spans="1:17" ht="14.4" customHeight="1" x14ac:dyDescent="0.3">
      <c r="A655" s="695" t="s">
        <v>556</v>
      </c>
      <c r="B655" s="696" t="s">
        <v>3783</v>
      </c>
      <c r="C655" s="696" t="s">
        <v>3589</v>
      </c>
      <c r="D655" s="696" t="s">
        <v>4663</v>
      </c>
      <c r="E655" s="696" t="s">
        <v>4664</v>
      </c>
      <c r="F655" s="711">
        <v>1</v>
      </c>
      <c r="G655" s="711">
        <v>3888</v>
      </c>
      <c r="H655" s="711">
        <v>1</v>
      </c>
      <c r="I655" s="711">
        <v>3888</v>
      </c>
      <c r="J655" s="711"/>
      <c r="K655" s="711"/>
      <c r="L655" s="711"/>
      <c r="M655" s="711"/>
      <c r="N655" s="711"/>
      <c r="O655" s="711"/>
      <c r="P655" s="701"/>
      <c r="Q655" s="712"/>
    </row>
    <row r="656" spans="1:17" ht="14.4" customHeight="1" x14ac:dyDescent="0.3">
      <c r="A656" s="695" t="s">
        <v>556</v>
      </c>
      <c r="B656" s="696" t="s">
        <v>3783</v>
      </c>
      <c r="C656" s="696" t="s">
        <v>3589</v>
      </c>
      <c r="D656" s="696" t="s">
        <v>4665</v>
      </c>
      <c r="E656" s="696" t="s">
        <v>4666</v>
      </c>
      <c r="F656" s="711">
        <v>6</v>
      </c>
      <c r="G656" s="711">
        <v>13296</v>
      </c>
      <c r="H656" s="711">
        <v>1</v>
      </c>
      <c r="I656" s="711">
        <v>2216</v>
      </c>
      <c r="J656" s="711">
        <v>3</v>
      </c>
      <c r="K656" s="711">
        <v>6696</v>
      </c>
      <c r="L656" s="711">
        <v>0.50361010830324915</v>
      </c>
      <c r="M656" s="711">
        <v>2232</v>
      </c>
      <c r="N656" s="711">
        <v>4</v>
      </c>
      <c r="O656" s="711">
        <v>8928</v>
      </c>
      <c r="P656" s="701">
        <v>0.67148014440433212</v>
      </c>
      <c r="Q656" s="712">
        <v>2232</v>
      </c>
    </row>
    <row r="657" spans="1:17" ht="14.4" customHeight="1" x14ac:dyDescent="0.3">
      <c r="A657" s="695" t="s">
        <v>556</v>
      </c>
      <c r="B657" s="696" t="s">
        <v>3783</v>
      </c>
      <c r="C657" s="696" t="s">
        <v>3589</v>
      </c>
      <c r="D657" s="696" t="s">
        <v>4667</v>
      </c>
      <c r="E657" s="696" t="s">
        <v>4668</v>
      </c>
      <c r="F657" s="711">
        <v>4</v>
      </c>
      <c r="G657" s="711">
        <v>12492</v>
      </c>
      <c r="H657" s="711">
        <v>1</v>
      </c>
      <c r="I657" s="711">
        <v>3123</v>
      </c>
      <c r="J657" s="711"/>
      <c r="K657" s="711"/>
      <c r="L657" s="711"/>
      <c r="M657" s="711"/>
      <c r="N657" s="711"/>
      <c r="O657" s="711"/>
      <c r="P657" s="701"/>
      <c r="Q657" s="712"/>
    </row>
    <row r="658" spans="1:17" ht="14.4" customHeight="1" x14ac:dyDescent="0.3">
      <c r="A658" s="695" t="s">
        <v>556</v>
      </c>
      <c r="B658" s="696" t="s">
        <v>3783</v>
      </c>
      <c r="C658" s="696" t="s">
        <v>3589</v>
      </c>
      <c r="D658" s="696" t="s">
        <v>4669</v>
      </c>
      <c r="E658" s="696" t="s">
        <v>4670</v>
      </c>
      <c r="F658" s="711">
        <v>1</v>
      </c>
      <c r="G658" s="711">
        <v>2487</v>
      </c>
      <c r="H658" s="711">
        <v>1</v>
      </c>
      <c r="I658" s="711">
        <v>2487</v>
      </c>
      <c r="J658" s="711"/>
      <c r="K658" s="711"/>
      <c r="L658" s="711"/>
      <c r="M658" s="711"/>
      <c r="N658" s="711">
        <v>1</v>
      </c>
      <c r="O658" s="711">
        <v>2494</v>
      </c>
      <c r="P658" s="701">
        <v>1.0028146361077603</v>
      </c>
      <c r="Q658" s="712">
        <v>2494</v>
      </c>
    </row>
    <row r="659" spans="1:17" ht="14.4" customHeight="1" x14ac:dyDescent="0.3">
      <c r="A659" s="695" t="s">
        <v>556</v>
      </c>
      <c r="B659" s="696" t="s">
        <v>3783</v>
      </c>
      <c r="C659" s="696" t="s">
        <v>3589</v>
      </c>
      <c r="D659" s="696" t="s">
        <v>4671</v>
      </c>
      <c r="E659" s="696" t="s">
        <v>4672</v>
      </c>
      <c r="F659" s="711">
        <v>1</v>
      </c>
      <c r="G659" s="711">
        <v>1913</v>
      </c>
      <c r="H659" s="711">
        <v>1</v>
      </c>
      <c r="I659" s="711">
        <v>1913</v>
      </c>
      <c r="J659" s="711">
        <v>1</v>
      </c>
      <c r="K659" s="711">
        <v>1920</v>
      </c>
      <c r="L659" s="711">
        <v>1.0036591740721379</v>
      </c>
      <c r="M659" s="711">
        <v>1920</v>
      </c>
      <c r="N659" s="711"/>
      <c r="O659" s="711"/>
      <c r="P659" s="701"/>
      <c r="Q659" s="712"/>
    </row>
    <row r="660" spans="1:17" ht="14.4" customHeight="1" x14ac:dyDescent="0.3">
      <c r="A660" s="695" t="s">
        <v>556</v>
      </c>
      <c r="B660" s="696" t="s">
        <v>3783</v>
      </c>
      <c r="C660" s="696" t="s">
        <v>3589</v>
      </c>
      <c r="D660" s="696" t="s">
        <v>4673</v>
      </c>
      <c r="E660" s="696" t="s">
        <v>4674</v>
      </c>
      <c r="F660" s="711">
        <v>4</v>
      </c>
      <c r="G660" s="711">
        <v>8772</v>
      </c>
      <c r="H660" s="711">
        <v>1</v>
      </c>
      <c r="I660" s="711">
        <v>2193</v>
      </c>
      <c r="J660" s="711">
        <v>1</v>
      </c>
      <c r="K660" s="711">
        <v>2197</v>
      </c>
      <c r="L660" s="711">
        <v>0.2504559963520292</v>
      </c>
      <c r="M660" s="711">
        <v>2197</v>
      </c>
      <c r="N660" s="711"/>
      <c r="O660" s="711"/>
      <c r="P660" s="701"/>
      <c r="Q660" s="712"/>
    </row>
    <row r="661" spans="1:17" ht="14.4" customHeight="1" x14ac:dyDescent="0.3">
      <c r="A661" s="695" t="s">
        <v>556</v>
      </c>
      <c r="B661" s="696" t="s">
        <v>3783</v>
      </c>
      <c r="C661" s="696" t="s">
        <v>3589</v>
      </c>
      <c r="D661" s="696" t="s">
        <v>4675</v>
      </c>
      <c r="E661" s="696" t="s">
        <v>4676</v>
      </c>
      <c r="F661" s="711">
        <v>1</v>
      </c>
      <c r="G661" s="711">
        <v>3559</v>
      </c>
      <c r="H661" s="711">
        <v>1</v>
      </c>
      <c r="I661" s="711">
        <v>3559</v>
      </c>
      <c r="J661" s="711">
        <v>1</v>
      </c>
      <c r="K661" s="711">
        <v>3571</v>
      </c>
      <c r="L661" s="711">
        <v>1.003371733633043</v>
      </c>
      <c r="M661" s="711">
        <v>3571</v>
      </c>
      <c r="N661" s="711">
        <v>1</v>
      </c>
      <c r="O661" s="711">
        <v>3571</v>
      </c>
      <c r="P661" s="701">
        <v>1.003371733633043</v>
      </c>
      <c r="Q661" s="712">
        <v>3571</v>
      </c>
    </row>
    <row r="662" spans="1:17" ht="14.4" customHeight="1" x14ac:dyDescent="0.3">
      <c r="A662" s="695" t="s">
        <v>556</v>
      </c>
      <c r="B662" s="696" t="s">
        <v>3783</v>
      </c>
      <c r="C662" s="696" t="s">
        <v>3589</v>
      </c>
      <c r="D662" s="696" t="s">
        <v>4677</v>
      </c>
      <c r="E662" s="696" t="s">
        <v>4678</v>
      </c>
      <c r="F662" s="711"/>
      <c r="G662" s="711"/>
      <c r="H662" s="711"/>
      <c r="I662" s="711"/>
      <c r="J662" s="711">
        <v>3</v>
      </c>
      <c r="K662" s="711">
        <v>14847</v>
      </c>
      <c r="L662" s="711"/>
      <c r="M662" s="711">
        <v>4949</v>
      </c>
      <c r="N662" s="711"/>
      <c r="O662" s="711"/>
      <c r="P662" s="701"/>
      <c r="Q662" s="712"/>
    </row>
    <row r="663" spans="1:17" ht="14.4" customHeight="1" x14ac:dyDescent="0.3">
      <c r="A663" s="695" t="s">
        <v>556</v>
      </c>
      <c r="B663" s="696" t="s">
        <v>3783</v>
      </c>
      <c r="C663" s="696" t="s">
        <v>3589</v>
      </c>
      <c r="D663" s="696" t="s">
        <v>4679</v>
      </c>
      <c r="E663" s="696" t="s">
        <v>4680</v>
      </c>
      <c r="F663" s="711">
        <v>9</v>
      </c>
      <c r="G663" s="711">
        <v>31617</v>
      </c>
      <c r="H663" s="711">
        <v>1</v>
      </c>
      <c r="I663" s="711">
        <v>3513</v>
      </c>
      <c r="J663" s="711">
        <v>3</v>
      </c>
      <c r="K663" s="711">
        <v>10587</v>
      </c>
      <c r="L663" s="711">
        <v>0.33485150393775498</v>
      </c>
      <c r="M663" s="711">
        <v>3529</v>
      </c>
      <c r="N663" s="711">
        <v>4</v>
      </c>
      <c r="O663" s="711">
        <v>14116</v>
      </c>
      <c r="P663" s="701">
        <v>0.44646867191700668</v>
      </c>
      <c r="Q663" s="712">
        <v>3529</v>
      </c>
    </row>
    <row r="664" spans="1:17" ht="14.4" customHeight="1" x14ac:dyDescent="0.3">
      <c r="A664" s="695" t="s">
        <v>556</v>
      </c>
      <c r="B664" s="696" t="s">
        <v>3783</v>
      </c>
      <c r="C664" s="696" t="s">
        <v>3589</v>
      </c>
      <c r="D664" s="696" t="s">
        <v>4681</v>
      </c>
      <c r="E664" s="696" t="s">
        <v>4682</v>
      </c>
      <c r="F664" s="711"/>
      <c r="G664" s="711"/>
      <c r="H664" s="711"/>
      <c r="I664" s="711"/>
      <c r="J664" s="711">
        <v>2</v>
      </c>
      <c r="K664" s="711">
        <v>5692</v>
      </c>
      <c r="L664" s="711"/>
      <c r="M664" s="711">
        <v>2846</v>
      </c>
      <c r="N664" s="711">
        <v>1</v>
      </c>
      <c r="O664" s="711">
        <v>2846</v>
      </c>
      <c r="P664" s="701"/>
      <c r="Q664" s="712">
        <v>2846</v>
      </c>
    </row>
    <row r="665" spans="1:17" ht="14.4" customHeight="1" x14ac:dyDescent="0.3">
      <c r="A665" s="695" t="s">
        <v>556</v>
      </c>
      <c r="B665" s="696" t="s">
        <v>3783</v>
      </c>
      <c r="C665" s="696" t="s">
        <v>3589</v>
      </c>
      <c r="D665" s="696" t="s">
        <v>4683</v>
      </c>
      <c r="E665" s="696" t="s">
        <v>4684</v>
      </c>
      <c r="F665" s="711">
        <v>1</v>
      </c>
      <c r="G665" s="711">
        <v>1549</v>
      </c>
      <c r="H665" s="711">
        <v>1</v>
      </c>
      <c r="I665" s="711">
        <v>1549</v>
      </c>
      <c r="J665" s="711"/>
      <c r="K665" s="711"/>
      <c r="L665" s="711"/>
      <c r="M665" s="711"/>
      <c r="N665" s="711"/>
      <c r="O665" s="711"/>
      <c r="P665" s="701"/>
      <c r="Q665" s="712"/>
    </row>
    <row r="666" spans="1:17" ht="14.4" customHeight="1" x14ac:dyDescent="0.3">
      <c r="A666" s="695" t="s">
        <v>556</v>
      </c>
      <c r="B666" s="696" t="s">
        <v>3783</v>
      </c>
      <c r="C666" s="696" t="s">
        <v>3589</v>
      </c>
      <c r="D666" s="696" t="s">
        <v>4685</v>
      </c>
      <c r="E666" s="696" t="s">
        <v>4686</v>
      </c>
      <c r="F666" s="711">
        <v>1</v>
      </c>
      <c r="G666" s="711">
        <v>3493</v>
      </c>
      <c r="H666" s="711">
        <v>1</v>
      </c>
      <c r="I666" s="711">
        <v>3493</v>
      </c>
      <c r="J666" s="711"/>
      <c r="K666" s="711"/>
      <c r="L666" s="711"/>
      <c r="M666" s="711"/>
      <c r="N666" s="711">
        <v>1</v>
      </c>
      <c r="O666" s="711">
        <v>3509</v>
      </c>
      <c r="P666" s="701">
        <v>1.0045805897509303</v>
      </c>
      <c r="Q666" s="712">
        <v>3509</v>
      </c>
    </row>
    <row r="667" spans="1:17" ht="14.4" customHeight="1" x14ac:dyDescent="0.3">
      <c r="A667" s="695" t="s">
        <v>556</v>
      </c>
      <c r="B667" s="696" t="s">
        <v>3783</v>
      </c>
      <c r="C667" s="696" t="s">
        <v>3589</v>
      </c>
      <c r="D667" s="696" t="s">
        <v>4687</v>
      </c>
      <c r="E667" s="696" t="s">
        <v>4688</v>
      </c>
      <c r="F667" s="711">
        <v>2</v>
      </c>
      <c r="G667" s="711">
        <v>6856</v>
      </c>
      <c r="H667" s="711">
        <v>1</v>
      </c>
      <c r="I667" s="711">
        <v>3428</v>
      </c>
      <c r="J667" s="711"/>
      <c r="K667" s="711"/>
      <c r="L667" s="711"/>
      <c r="M667" s="711"/>
      <c r="N667" s="711">
        <v>1</v>
      </c>
      <c r="O667" s="711">
        <v>3444</v>
      </c>
      <c r="P667" s="701">
        <v>0.50233372228704787</v>
      </c>
      <c r="Q667" s="712">
        <v>3444</v>
      </c>
    </row>
    <row r="668" spans="1:17" ht="14.4" customHeight="1" x14ac:dyDescent="0.3">
      <c r="A668" s="695" t="s">
        <v>556</v>
      </c>
      <c r="B668" s="696" t="s">
        <v>3783</v>
      </c>
      <c r="C668" s="696" t="s">
        <v>3589</v>
      </c>
      <c r="D668" s="696" t="s">
        <v>4689</v>
      </c>
      <c r="E668" s="696" t="s">
        <v>4690</v>
      </c>
      <c r="F668" s="711"/>
      <c r="G668" s="711"/>
      <c r="H668" s="711"/>
      <c r="I668" s="711"/>
      <c r="J668" s="711"/>
      <c r="K668" s="711"/>
      <c r="L668" s="711"/>
      <c r="M668" s="711"/>
      <c r="N668" s="711">
        <v>1</v>
      </c>
      <c r="O668" s="711">
        <v>1808</v>
      </c>
      <c r="P668" s="701"/>
      <c r="Q668" s="712">
        <v>1808</v>
      </c>
    </row>
    <row r="669" spans="1:17" ht="14.4" customHeight="1" x14ac:dyDescent="0.3">
      <c r="A669" s="695" t="s">
        <v>556</v>
      </c>
      <c r="B669" s="696" t="s">
        <v>3783</v>
      </c>
      <c r="C669" s="696" t="s">
        <v>3589</v>
      </c>
      <c r="D669" s="696" t="s">
        <v>4691</v>
      </c>
      <c r="E669" s="696" t="s">
        <v>4692</v>
      </c>
      <c r="F669" s="711">
        <v>2</v>
      </c>
      <c r="G669" s="711">
        <v>2828</v>
      </c>
      <c r="H669" s="711">
        <v>1</v>
      </c>
      <c r="I669" s="711">
        <v>1414</v>
      </c>
      <c r="J669" s="711"/>
      <c r="K669" s="711"/>
      <c r="L669" s="711"/>
      <c r="M669" s="711"/>
      <c r="N669" s="711">
        <v>1</v>
      </c>
      <c r="O669" s="711">
        <v>1420</v>
      </c>
      <c r="P669" s="701">
        <v>0.50212164073550214</v>
      </c>
      <c r="Q669" s="712">
        <v>1420</v>
      </c>
    </row>
    <row r="670" spans="1:17" ht="14.4" customHeight="1" x14ac:dyDescent="0.3">
      <c r="A670" s="695" t="s">
        <v>556</v>
      </c>
      <c r="B670" s="696" t="s">
        <v>3783</v>
      </c>
      <c r="C670" s="696" t="s">
        <v>3589</v>
      </c>
      <c r="D670" s="696" t="s">
        <v>4693</v>
      </c>
      <c r="E670" s="696" t="s">
        <v>4694</v>
      </c>
      <c r="F670" s="711">
        <v>1</v>
      </c>
      <c r="G670" s="711">
        <v>3973</v>
      </c>
      <c r="H670" s="711">
        <v>1</v>
      </c>
      <c r="I670" s="711">
        <v>3973</v>
      </c>
      <c r="J670" s="711">
        <v>1</v>
      </c>
      <c r="K670" s="711">
        <v>3993</v>
      </c>
      <c r="L670" s="711">
        <v>1.0050339793606846</v>
      </c>
      <c r="M670" s="711">
        <v>3993</v>
      </c>
      <c r="N670" s="711">
        <v>1</v>
      </c>
      <c r="O670" s="711">
        <v>3993</v>
      </c>
      <c r="P670" s="701">
        <v>1.0050339793606846</v>
      </c>
      <c r="Q670" s="712">
        <v>3993</v>
      </c>
    </row>
    <row r="671" spans="1:17" ht="14.4" customHeight="1" x14ac:dyDescent="0.3">
      <c r="A671" s="695" t="s">
        <v>556</v>
      </c>
      <c r="B671" s="696" t="s">
        <v>3783</v>
      </c>
      <c r="C671" s="696" t="s">
        <v>3589</v>
      </c>
      <c r="D671" s="696" t="s">
        <v>4695</v>
      </c>
      <c r="E671" s="696" t="s">
        <v>4696</v>
      </c>
      <c r="F671" s="711"/>
      <c r="G671" s="711"/>
      <c r="H671" s="711"/>
      <c r="I671" s="711"/>
      <c r="J671" s="711"/>
      <c r="K671" s="711"/>
      <c r="L671" s="711"/>
      <c r="M671" s="711"/>
      <c r="N671" s="711">
        <v>0</v>
      </c>
      <c r="O671" s="711">
        <v>0</v>
      </c>
      <c r="P671" s="701"/>
      <c r="Q671" s="712"/>
    </row>
    <row r="672" spans="1:17" ht="14.4" customHeight="1" x14ac:dyDescent="0.3">
      <c r="A672" s="695" t="s">
        <v>556</v>
      </c>
      <c r="B672" s="696" t="s">
        <v>3783</v>
      </c>
      <c r="C672" s="696" t="s">
        <v>3589</v>
      </c>
      <c r="D672" s="696" t="s">
        <v>4697</v>
      </c>
      <c r="E672" s="696" t="s">
        <v>4698</v>
      </c>
      <c r="F672" s="711"/>
      <c r="G672" s="711"/>
      <c r="H672" s="711"/>
      <c r="I672" s="711"/>
      <c r="J672" s="711"/>
      <c r="K672" s="711"/>
      <c r="L672" s="711"/>
      <c r="M672" s="711"/>
      <c r="N672" s="711">
        <v>4</v>
      </c>
      <c r="O672" s="711">
        <v>7924</v>
      </c>
      <c r="P672" s="701"/>
      <c r="Q672" s="712">
        <v>1981</v>
      </c>
    </row>
    <row r="673" spans="1:17" ht="14.4" customHeight="1" x14ac:dyDescent="0.3">
      <c r="A673" s="695" t="s">
        <v>556</v>
      </c>
      <c r="B673" s="696" t="s">
        <v>3783</v>
      </c>
      <c r="C673" s="696" t="s">
        <v>3589</v>
      </c>
      <c r="D673" s="696" t="s">
        <v>4699</v>
      </c>
      <c r="E673" s="696" t="s">
        <v>4700</v>
      </c>
      <c r="F673" s="711">
        <v>1</v>
      </c>
      <c r="G673" s="711">
        <v>2630</v>
      </c>
      <c r="H673" s="711">
        <v>1</v>
      </c>
      <c r="I673" s="711">
        <v>2630</v>
      </c>
      <c r="J673" s="711"/>
      <c r="K673" s="711"/>
      <c r="L673" s="711"/>
      <c r="M673" s="711"/>
      <c r="N673" s="711"/>
      <c r="O673" s="711"/>
      <c r="P673" s="701"/>
      <c r="Q673" s="712"/>
    </row>
    <row r="674" spans="1:17" ht="14.4" customHeight="1" x14ac:dyDescent="0.3">
      <c r="A674" s="695" t="s">
        <v>556</v>
      </c>
      <c r="B674" s="696" t="s">
        <v>3783</v>
      </c>
      <c r="C674" s="696" t="s">
        <v>3589</v>
      </c>
      <c r="D674" s="696" t="s">
        <v>4701</v>
      </c>
      <c r="E674" s="696" t="s">
        <v>4702</v>
      </c>
      <c r="F674" s="711">
        <v>1</v>
      </c>
      <c r="G674" s="711">
        <v>2846</v>
      </c>
      <c r="H674" s="711">
        <v>1</v>
      </c>
      <c r="I674" s="711">
        <v>2846</v>
      </c>
      <c r="J674" s="711"/>
      <c r="K674" s="711"/>
      <c r="L674" s="711"/>
      <c r="M674" s="711"/>
      <c r="N674" s="711"/>
      <c r="O674" s="711"/>
      <c r="P674" s="701"/>
      <c r="Q674" s="712"/>
    </row>
    <row r="675" spans="1:17" ht="14.4" customHeight="1" x14ac:dyDescent="0.3">
      <c r="A675" s="695" t="s">
        <v>556</v>
      </c>
      <c r="B675" s="696" t="s">
        <v>3783</v>
      </c>
      <c r="C675" s="696" t="s">
        <v>3589</v>
      </c>
      <c r="D675" s="696" t="s">
        <v>4703</v>
      </c>
      <c r="E675" s="696" t="s">
        <v>4704</v>
      </c>
      <c r="F675" s="711"/>
      <c r="G675" s="711"/>
      <c r="H675" s="711"/>
      <c r="I675" s="711"/>
      <c r="J675" s="711"/>
      <c r="K675" s="711"/>
      <c r="L675" s="711"/>
      <c r="M675" s="711"/>
      <c r="N675" s="711">
        <v>1</v>
      </c>
      <c r="O675" s="711">
        <v>1518</v>
      </c>
      <c r="P675" s="701"/>
      <c r="Q675" s="712">
        <v>1518</v>
      </c>
    </row>
    <row r="676" spans="1:17" ht="14.4" customHeight="1" x14ac:dyDescent="0.3">
      <c r="A676" s="695" t="s">
        <v>556</v>
      </c>
      <c r="B676" s="696" t="s">
        <v>3783</v>
      </c>
      <c r="C676" s="696" t="s">
        <v>3589</v>
      </c>
      <c r="D676" s="696" t="s">
        <v>4705</v>
      </c>
      <c r="E676" s="696" t="s">
        <v>4706</v>
      </c>
      <c r="F676" s="711"/>
      <c r="G676" s="711"/>
      <c r="H676" s="711"/>
      <c r="I676" s="711"/>
      <c r="J676" s="711"/>
      <c r="K676" s="711"/>
      <c r="L676" s="711"/>
      <c r="M676" s="711"/>
      <c r="N676" s="711">
        <v>1</v>
      </c>
      <c r="O676" s="711">
        <v>2252</v>
      </c>
      <c r="P676" s="701"/>
      <c r="Q676" s="712">
        <v>2252</v>
      </c>
    </row>
    <row r="677" spans="1:17" ht="14.4" customHeight="1" x14ac:dyDescent="0.3">
      <c r="A677" s="695" t="s">
        <v>556</v>
      </c>
      <c r="B677" s="696" t="s">
        <v>4707</v>
      </c>
      <c r="C677" s="696" t="s">
        <v>3598</v>
      </c>
      <c r="D677" s="696" t="s">
        <v>4708</v>
      </c>
      <c r="E677" s="696" t="s">
        <v>4709</v>
      </c>
      <c r="F677" s="711">
        <v>7.5</v>
      </c>
      <c r="G677" s="711">
        <v>1221.8499999999999</v>
      </c>
      <c r="H677" s="711">
        <v>1</v>
      </c>
      <c r="I677" s="711">
        <v>162.91333333333333</v>
      </c>
      <c r="J677" s="711"/>
      <c r="K677" s="711"/>
      <c r="L677" s="711"/>
      <c r="M677" s="711"/>
      <c r="N677" s="711"/>
      <c r="O677" s="711"/>
      <c r="P677" s="701"/>
      <c r="Q677" s="712"/>
    </row>
    <row r="678" spans="1:17" ht="14.4" customHeight="1" x14ac:dyDescent="0.3">
      <c r="A678" s="695" t="s">
        <v>556</v>
      </c>
      <c r="B678" s="696" t="s">
        <v>4707</v>
      </c>
      <c r="C678" s="696" t="s">
        <v>3598</v>
      </c>
      <c r="D678" s="696" t="s">
        <v>4710</v>
      </c>
      <c r="E678" s="696" t="s">
        <v>4711</v>
      </c>
      <c r="F678" s="711"/>
      <c r="G678" s="711"/>
      <c r="H678" s="711"/>
      <c r="I678" s="711"/>
      <c r="J678" s="711"/>
      <c r="K678" s="711"/>
      <c r="L678" s="711"/>
      <c r="M678" s="711"/>
      <c r="N678" s="711">
        <v>3</v>
      </c>
      <c r="O678" s="711">
        <v>15644.46</v>
      </c>
      <c r="P678" s="701"/>
      <c r="Q678" s="712">
        <v>5214.82</v>
      </c>
    </row>
    <row r="679" spans="1:17" ht="14.4" customHeight="1" x14ac:dyDescent="0.3">
      <c r="A679" s="695" t="s">
        <v>556</v>
      </c>
      <c r="B679" s="696" t="s">
        <v>4707</v>
      </c>
      <c r="C679" s="696" t="s">
        <v>3598</v>
      </c>
      <c r="D679" s="696" t="s">
        <v>3854</v>
      </c>
      <c r="E679" s="696" t="s">
        <v>1534</v>
      </c>
      <c r="F679" s="711">
        <v>31</v>
      </c>
      <c r="G679" s="711">
        <v>4276.1399999999994</v>
      </c>
      <c r="H679" s="711">
        <v>1</v>
      </c>
      <c r="I679" s="711">
        <v>137.93999999999997</v>
      </c>
      <c r="J679" s="711">
        <v>31</v>
      </c>
      <c r="K679" s="711">
        <v>4016.9900000000002</v>
      </c>
      <c r="L679" s="711">
        <v>0.93939627795161074</v>
      </c>
      <c r="M679" s="711">
        <v>129.58032258064517</v>
      </c>
      <c r="N679" s="711">
        <v>21</v>
      </c>
      <c r="O679" s="711">
        <v>2477.16</v>
      </c>
      <c r="P679" s="701">
        <v>0.5792981520717283</v>
      </c>
      <c r="Q679" s="712">
        <v>117.96</v>
      </c>
    </row>
    <row r="680" spans="1:17" ht="14.4" customHeight="1" x14ac:dyDescent="0.3">
      <c r="A680" s="695" t="s">
        <v>556</v>
      </c>
      <c r="B680" s="696" t="s">
        <v>4707</v>
      </c>
      <c r="C680" s="696" t="s">
        <v>3598</v>
      </c>
      <c r="D680" s="696" t="s">
        <v>4712</v>
      </c>
      <c r="E680" s="696" t="s">
        <v>4713</v>
      </c>
      <c r="F680" s="711"/>
      <c r="G680" s="711"/>
      <c r="H680" s="711"/>
      <c r="I680" s="711"/>
      <c r="J680" s="711"/>
      <c r="K680" s="711"/>
      <c r="L680" s="711"/>
      <c r="M680" s="711"/>
      <c r="N680" s="711">
        <v>11</v>
      </c>
      <c r="O680" s="711">
        <v>924.88</v>
      </c>
      <c r="P680" s="701"/>
      <c r="Q680" s="712">
        <v>84.08</v>
      </c>
    </row>
    <row r="681" spans="1:17" ht="14.4" customHeight="1" x14ac:dyDescent="0.3">
      <c r="A681" s="695" t="s">
        <v>556</v>
      </c>
      <c r="B681" s="696" t="s">
        <v>4707</v>
      </c>
      <c r="C681" s="696" t="s">
        <v>3598</v>
      </c>
      <c r="D681" s="696" t="s">
        <v>3855</v>
      </c>
      <c r="E681" s="696" t="s">
        <v>3856</v>
      </c>
      <c r="F681" s="711"/>
      <c r="G681" s="711"/>
      <c r="H681" s="711"/>
      <c r="I681" s="711"/>
      <c r="J681" s="711">
        <v>9</v>
      </c>
      <c r="K681" s="711">
        <v>9713.8799999999992</v>
      </c>
      <c r="L681" s="711"/>
      <c r="M681" s="711">
        <v>1079.32</v>
      </c>
      <c r="N681" s="711">
        <v>7</v>
      </c>
      <c r="O681" s="711">
        <v>7555.19</v>
      </c>
      <c r="P681" s="701"/>
      <c r="Q681" s="712">
        <v>1079.3128571428572</v>
      </c>
    </row>
    <row r="682" spans="1:17" ht="14.4" customHeight="1" x14ac:dyDescent="0.3">
      <c r="A682" s="695" t="s">
        <v>556</v>
      </c>
      <c r="B682" s="696" t="s">
        <v>4707</v>
      </c>
      <c r="C682" s="696" t="s">
        <v>3598</v>
      </c>
      <c r="D682" s="696" t="s">
        <v>3859</v>
      </c>
      <c r="E682" s="696" t="s">
        <v>989</v>
      </c>
      <c r="F682" s="711">
        <v>278</v>
      </c>
      <c r="G682" s="711">
        <v>24663.619999999995</v>
      </c>
      <c r="H682" s="711">
        <v>1</v>
      </c>
      <c r="I682" s="711">
        <v>88.718057553956811</v>
      </c>
      <c r="J682" s="711">
        <v>304</v>
      </c>
      <c r="K682" s="711">
        <v>20887.690000000002</v>
      </c>
      <c r="L682" s="711">
        <v>0.84690284718950448</v>
      </c>
      <c r="M682" s="711">
        <v>68.709506578947369</v>
      </c>
      <c r="N682" s="711">
        <v>359</v>
      </c>
      <c r="O682" s="711">
        <v>21916.95</v>
      </c>
      <c r="P682" s="701">
        <v>0.88863475840124062</v>
      </c>
      <c r="Q682" s="712">
        <v>61.050000000000004</v>
      </c>
    </row>
    <row r="683" spans="1:17" ht="14.4" customHeight="1" x14ac:dyDescent="0.3">
      <c r="A683" s="695" t="s">
        <v>556</v>
      </c>
      <c r="B683" s="696" t="s">
        <v>4707</v>
      </c>
      <c r="C683" s="696" t="s">
        <v>3598</v>
      </c>
      <c r="D683" s="696" t="s">
        <v>4714</v>
      </c>
      <c r="E683" s="696" t="s">
        <v>1407</v>
      </c>
      <c r="F683" s="711"/>
      <c r="G683" s="711"/>
      <c r="H683" s="711"/>
      <c r="I683" s="711"/>
      <c r="J683" s="711"/>
      <c r="K683" s="711"/>
      <c r="L683" s="711"/>
      <c r="M683" s="711"/>
      <c r="N683" s="711">
        <v>2</v>
      </c>
      <c r="O683" s="711">
        <v>1619.25</v>
      </c>
      <c r="P683" s="701"/>
      <c r="Q683" s="712">
        <v>809.625</v>
      </c>
    </row>
    <row r="684" spans="1:17" ht="14.4" customHeight="1" x14ac:dyDescent="0.3">
      <c r="A684" s="695" t="s">
        <v>556</v>
      </c>
      <c r="B684" s="696" t="s">
        <v>4707</v>
      </c>
      <c r="C684" s="696" t="s">
        <v>3598</v>
      </c>
      <c r="D684" s="696" t="s">
        <v>3603</v>
      </c>
      <c r="E684" s="696" t="s">
        <v>1016</v>
      </c>
      <c r="F684" s="711"/>
      <c r="G684" s="711"/>
      <c r="H684" s="711"/>
      <c r="I684" s="711"/>
      <c r="J684" s="711"/>
      <c r="K684" s="711"/>
      <c r="L684" s="711"/>
      <c r="M684" s="711"/>
      <c r="N684" s="711">
        <v>9</v>
      </c>
      <c r="O684" s="711">
        <v>10413.99</v>
      </c>
      <c r="P684" s="701"/>
      <c r="Q684" s="712">
        <v>1157.1099999999999</v>
      </c>
    </row>
    <row r="685" spans="1:17" ht="14.4" customHeight="1" x14ac:dyDescent="0.3">
      <c r="A685" s="695" t="s">
        <v>556</v>
      </c>
      <c r="B685" s="696" t="s">
        <v>4707</v>
      </c>
      <c r="C685" s="696" t="s">
        <v>3598</v>
      </c>
      <c r="D685" s="696" t="s">
        <v>4715</v>
      </c>
      <c r="E685" s="696" t="s">
        <v>4716</v>
      </c>
      <c r="F685" s="711"/>
      <c r="G685" s="711"/>
      <c r="H685" s="711"/>
      <c r="I685" s="711"/>
      <c r="J685" s="711">
        <v>0.1</v>
      </c>
      <c r="K685" s="711">
        <v>531.07000000000005</v>
      </c>
      <c r="L685" s="711"/>
      <c r="M685" s="711">
        <v>5310.7</v>
      </c>
      <c r="N685" s="711"/>
      <c r="O685" s="711"/>
      <c r="P685" s="701"/>
      <c r="Q685" s="712"/>
    </row>
    <row r="686" spans="1:17" ht="14.4" customHeight="1" x14ac:dyDescent="0.3">
      <c r="A686" s="695" t="s">
        <v>556</v>
      </c>
      <c r="B686" s="696" t="s">
        <v>4707</v>
      </c>
      <c r="C686" s="696" t="s">
        <v>3598</v>
      </c>
      <c r="D686" s="696" t="s">
        <v>3860</v>
      </c>
      <c r="E686" s="696" t="s">
        <v>3861</v>
      </c>
      <c r="F686" s="711"/>
      <c r="G686" s="711"/>
      <c r="H686" s="711"/>
      <c r="I686" s="711"/>
      <c r="J686" s="711">
        <v>9</v>
      </c>
      <c r="K686" s="711">
        <v>522.09</v>
      </c>
      <c r="L686" s="711"/>
      <c r="M686" s="711">
        <v>58.010000000000005</v>
      </c>
      <c r="N686" s="711"/>
      <c r="O686" s="711"/>
      <c r="P686" s="701"/>
      <c r="Q686" s="712"/>
    </row>
    <row r="687" spans="1:17" ht="14.4" customHeight="1" x14ac:dyDescent="0.3">
      <c r="A687" s="695" t="s">
        <v>556</v>
      </c>
      <c r="B687" s="696" t="s">
        <v>4707</v>
      </c>
      <c r="C687" s="696" t="s">
        <v>3598</v>
      </c>
      <c r="D687" s="696" t="s">
        <v>3863</v>
      </c>
      <c r="E687" s="696" t="s">
        <v>1035</v>
      </c>
      <c r="F687" s="711">
        <v>10</v>
      </c>
      <c r="G687" s="711">
        <v>3758.5799999999995</v>
      </c>
      <c r="H687" s="711">
        <v>1</v>
      </c>
      <c r="I687" s="711">
        <v>375.85799999999995</v>
      </c>
      <c r="J687" s="711">
        <v>9.6000000000000014</v>
      </c>
      <c r="K687" s="711">
        <v>3875.42</v>
      </c>
      <c r="L687" s="711">
        <v>1.0310862080892254</v>
      </c>
      <c r="M687" s="711">
        <v>403.6895833333333</v>
      </c>
      <c r="N687" s="711">
        <v>4.4000000000000004</v>
      </c>
      <c r="O687" s="711">
        <v>1778.48</v>
      </c>
      <c r="P687" s="701">
        <v>0.47317870046666566</v>
      </c>
      <c r="Q687" s="712">
        <v>404.2</v>
      </c>
    </row>
    <row r="688" spans="1:17" ht="14.4" customHeight="1" x14ac:dyDescent="0.3">
      <c r="A688" s="695" t="s">
        <v>556</v>
      </c>
      <c r="B688" s="696" t="s">
        <v>4707</v>
      </c>
      <c r="C688" s="696" t="s">
        <v>3598</v>
      </c>
      <c r="D688" s="696" t="s">
        <v>3866</v>
      </c>
      <c r="E688" s="696" t="s">
        <v>1566</v>
      </c>
      <c r="F688" s="711">
        <v>10</v>
      </c>
      <c r="G688" s="711">
        <v>2042.96</v>
      </c>
      <c r="H688" s="711">
        <v>1</v>
      </c>
      <c r="I688" s="711">
        <v>204.29599999999999</v>
      </c>
      <c r="J688" s="711"/>
      <c r="K688" s="711"/>
      <c r="L688" s="711"/>
      <c r="M688" s="711"/>
      <c r="N688" s="711">
        <v>19</v>
      </c>
      <c r="O688" s="711">
        <v>902.5</v>
      </c>
      <c r="P688" s="701">
        <v>0.44176097427262401</v>
      </c>
      <c r="Q688" s="712">
        <v>47.5</v>
      </c>
    </row>
    <row r="689" spans="1:17" ht="14.4" customHeight="1" x14ac:dyDescent="0.3">
      <c r="A689" s="695" t="s">
        <v>556</v>
      </c>
      <c r="B689" s="696" t="s">
        <v>4707</v>
      </c>
      <c r="C689" s="696" t="s">
        <v>3598</v>
      </c>
      <c r="D689" s="696" t="s">
        <v>3868</v>
      </c>
      <c r="E689" s="696" t="s">
        <v>1527</v>
      </c>
      <c r="F689" s="711">
        <v>4.6000000000000005</v>
      </c>
      <c r="G689" s="711">
        <v>2733.39</v>
      </c>
      <c r="H689" s="711">
        <v>1</v>
      </c>
      <c r="I689" s="711">
        <v>594.21521739130424</v>
      </c>
      <c r="J689" s="711">
        <v>10.8</v>
      </c>
      <c r="K689" s="711">
        <v>4101.3</v>
      </c>
      <c r="L689" s="711">
        <v>1.5004445029798164</v>
      </c>
      <c r="M689" s="711">
        <v>379.75</v>
      </c>
      <c r="N689" s="711">
        <v>11.8</v>
      </c>
      <c r="O689" s="711">
        <v>4481.05</v>
      </c>
      <c r="P689" s="701">
        <v>1.6393745495520216</v>
      </c>
      <c r="Q689" s="712">
        <v>379.75</v>
      </c>
    </row>
    <row r="690" spans="1:17" ht="14.4" customHeight="1" x14ac:dyDescent="0.3">
      <c r="A690" s="695" t="s">
        <v>556</v>
      </c>
      <c r="B690" s="696" t="s">
        <v>4707</v>
      </c>
      <c r="C690" s="696" t="s">
        <v>3598</v>
      </c>
      <c r="D690" s="696" t="s">
        <v>3869</v>
      </c>
      <c r="E690" s="696" t="s">
        <v>1559</v>
      </c>
      <c r="F690" s="711">
        <v>33</v>
      </c>
      <c r="G690" s="711">
        <v>1982.1499999999999</v>
      </c>
      <c r="H690" s="711">
        <v>1</v>
      </c>
      <c r="I690" s="711">
        <v>60.065151515151513</v>
      </c>
      <c r="J690" s="711">
        <v>8</v>
      </c>
      <c r="K690" s="711">
        <v>327.60000000000002</v>
      </c>
      <c r="L690" s="711">
        <v>0.16527508008980149</v>
      </c>
      <c r="M690" s="711">
        <v>40.950000000000003</v>
      </c>
      <c r="N690" s="711">
        <v>10</v>
      </c>
      <c r="O690" s="711">
        <v>712.2</v>
      </c>
      <c r="P690" s="701">
        <v>0.35930681330878089</v>
      </c>
      <c r="Q690" s="712">
        <v>71.22</v>
      </c>
    </row>
    <row r="691" spans="1:17" ht="14.4" customHeight="1" x14ac:dyDescent="0.3">
      <c r="A691" s="695" t="s">
        <v>556</v>
      </c>
      <c r="B691" s="696" t="s">
        <v>4707</v>
      </c>
      <c r="C691" s="696" t="s">
        <v>3598</v>
      </c>
      <c r="D691" s="696" t="s">
        <v>4717</v>
      </c>
      <c r="E691" s="696" t="s">
        <v>4718</v>
      </c>
      <c r="F691" s="711">
        <v>6</v>
      </c>
      <c r="G691" s="711">
        <v>30128.28</v>
      </c>
      <c r="H691" s="711">
        <v>1</v>
      </c>
      <c r="I691" s="711">
        <v>5021.38</v>
      </c>
      <c r="J691" s="711"/>
      <c r="K691" s="711"/>
      <c r="L691" s="711"/>
      <c r="M691" s="711"/>
      <c r="N691" s="711"/>
      <c r="O691" s="711"/>
      <c r="P691" s="701"/>
      <c r="Q691" s="712"/>
    </row>
    <row r="692" spans="1:17" ht="14.4" customHeight="1" x14ac:dyDescent="0.3">
      <c r="A692" s="695" t="s">
        <v>556</v>
      </c>
      <c r="B692" s="696" t="s">
        <v>4707</v>
      </c>
      <c r="C692" s="696" t="s">
        <v>3598</v>
      </c>
      <c r="D692" s="696" t="s">
        <v>4719</v>
      </c>
      <c r="E692" s="696" t="s">
        <v>4720</v>
      </c>
      <c r="F692" s="711">
        <v>22</v>
      </c>
      <c r="G692" s="711">
        <v>220940.72</v>
      </c>
      <c r="H692" s="711">
        <v>1</v>
      </c>
      <c r="I692" s="711">
        <v>10042.76</v>
      </c>
      <c r="J692" s="711"/>
      <c r="K692" s="711"/>
      <c r="L692" s="711"/>
      <c r="M692" s="711"/>
      <c r="N692" s="711"/>
      <c r="O692" s="711"/>
      <c r="P692" s="701"/>
      <c r="Q692" s="712"/>
    </row>
    <row r="693" spans="1:17" ht="14.4" customHeight="1" x14ac:dyDescent="0.3">
      <c r="A693" s="695" t="s">
        <v>556</v>
      </c>
      <c r="B693" s="696" t="s">
        <v>4707</v>
      </c>
      <c r="C693" s="696" t="s">
        <v>3598</v>
      </c>
      <c r="D693" s="696" t="s">
        <v>4721</v>
      </c>
      <c r="E693" s="696" t="s">
        <v>4722</v>
      </c>
      <c r="F693" s="711">
        <v>1.2</v>
      </c>
      <c r="G693" s="711">
        <v>713.05</v>
      </c>
      <c r="H693" s="711">
        <v>1</v>
      </c>
      <c r="I693" s="711">
        <v>594.20833333333337</v>
      </c>
      <c r="J693" s="711"/>
      <c r="K693" s="711"/>
      <c r="L693" s="711"/>
      <c r="M693" s="711"/>
      <c r="N693" s="711"/>
      <c r="O693" s="711"/>
      <c r="P693" s="701"/>
      <c r="Q693" s="712"/>
    </row>
    <row r="694" spans="1:17" ht="14.4" customHeight="1" x14ac:dyDescent="0.3">
      <c r="A694" s="695" t="s">
        <v>556</v>
      </c>
      <c r="B694" s="696" t="s">
        <v>4707</v>
      </c>
      <c r="C694" s="696" t="s">
        <v>3598</v>
      </c>
      <c r="D694" s="696" t="s">
        <v>4723</v>
      </c>
      <c r="E694" s="696" t="s">
        <v>4724</v>
      </c>
      <c r="F694" s="711"/>
      <c r="G694" s="711"/>
      <c r="H694" s="711"/>
      <c r="I694" s="711"/>
      <c r="J694" s="711">
        <v>0.1</v>
      </c>
      <c r="K694" s="711">
        <v>21.7</v>
      </c>
      <c r="L694" s="711"/>
      <c r="M694" s="711">
        <v>216.99999999999997</v>
      </c>
      <c r="N694" s="711"/>
      <c r="O694" s="711"/>
      <c r="P694" s="701"/>
      <c r="Q694" s="712"/>
    </row>
    <row r="695" spans="1:17" ht="14.4" customHeight="1" x14ac:dyDescent="0.3">
      <c r="A695" s="695" t="s">
        <v>556</v>
      </c>
      <c r="B695" s="696" t="s">
        <v>4707</v>
      </c>
      <c r="C695" s="696" t="s">
        <v>3598</v>
      </c>
      <c r="D695" s="696" t="s">
        <v>3871</v>
      </c>
      <c r="E695" s="696" t="s">
        <v>1403</v>
      </c>
      <c r="F695" s="711">
        <v>0.4</v>
      </c>
      <c r="G695" s="711">
        <v>35.56</v>
      </c>
      <c r="H695" s="711">
        <v>1</v>
      </c>
      <c r="I695" s="711">
        <v>88.9</v>
      </c>
      <c r="J695" s="711">
        <v>1.1000000000000001</v>
      </c>
      <c r="K695" s="711">
        <v>106.19</v>
      </c>
      <c r="L695" s="711">
        <v>2.9862204724409445</v>
      </c>
      <c r="M695" s="711">
        <v>96.536363636363632</v>
      </c>
      <c r="N695" s="711">
        <v>0.5</v>
      </c>
      <c r="O695" s="711">
        <v>48.45</v>
      </c>
      <c r="P695" s="701">
        <v>1.3624859392575928</v>
      </c>
      <c r="Q695" s="712">
        <v>96.9</v>
      </c>
    </row>
    <row r="696" spans="1:17" ht="14.4" customHeight="1" x14ac:dyDescent="0.3">
      <c r="A696" s="695" t="s">
        <v>556</v>
      </c>
      <c r="B696" s="696" t="s">
        <v>4707</v>
      </c>
      <c r="C696" s="696" t="s">
        <v>3598</v>
      </c>
      <c r="D696" s="696" t="s">
        <v>3877</v>
      </c>
      <c r="E696" s="696" t="s">
        <v>1009</v>
      </c>
      <c r="F696" s="711">
        <v>1.7</v>
      </c>
      <c r="G696" s="711">
        <v>2933.86</v>
      </c>
      <c r="H696" s="711">
        <v>1</v>
      </c>
      <c r="I696" s="711">
        <v>1725.8000000000002</v>
      </c>
      <c r="J696" s="711"/>
      <c r="K696" s="711"/>
      <c r="L696" s="711"/>
      <c r="M696" s="711"/>
      <c r="N696" s="711"/>
      <c r="O696" s="711"/>
      <c r="P696" s="701"/>
      <c r="Q696" s="712"/>
    </row>
    <row r="697" spans="1:17" ht="14.4" customHeight="1" x14ac:dyDescent="0.3">
      <c r="A697" s="695" t="s">
        <v>556</v>
      </c>
      <c r="B697" s="696" t="s">
        <v>4707</v>
      </c>
      <c r="C697" s="696" t="s">
        <v>3598</v>
      </c>
      <c r="D697" s="696" t="s">
        <v>4725</v>
      </c>
      <c r="E697" s="696" t="s">
        <v>1421</v>
      </c>
      <c r="F697" s="711"/>
      <c r="G697" s="711"/>
      <c r="H697" s="711"/>
      <c r="I697" s="711"/>
      <c r="J697" s="711"/>
      <c r="K697" s="711"/>
      <c r="L697" s="711"/>
      <c r="M697" s="711"/>
      <c r="N697" s="711">
        <v>13</v>
      </c>
      <c r="O697" s="711">
        <v>1256.97</v>
      </c>
      <c r="P697" s="701"/>
      <c r="Q697" s="712">
        <v>96.69</v>
      </c>
    </row>
    <row r="698" spans="1:17" ht="14.4" customHeight="1" x14ac:dyDescent="0.3">
      <c r="A698" s="695" t="s">
        <v>556</v>
      </c>
      <c r="B698" s="696" t="s">
        <v>4707</v>
      </c>
      <c r="C698" s="696" t="s">
        <v>3598</v>
      </c>
      <c r="D698" s="696" t="s">
        <v>4726</v>
      </c>
      <c r="E698" s="696" t="s">
        <v>4727</v>
      </c>
      <c r="F698" s="711"/>
      <c r="G698" s="711"/>
      <c r="H698" s="711"/>
      <c r="I698" s="711"/>
      <c r="J698" s="711"/>
      <c r="K698" s="711"/>
      <c r="L698" s="711"/>
      <c r="M698" s="711"/>
      <c r="N698" s="711">
        <v>0.6</v>
      </c>
      <c r="O698" s="711">
        <v>647.58000000000004</v>
      </c>
      <c r="P698" s="701"/>
      <c r="Q698" s="712">
        <v>1079.3000000000002</v>
      </c>
    </row>
    <row r="699" spans="1:17" ht="14.4" customHeight="1" x14ac:dyDescent="0.3">
      <c r="A699" s="695" t="s">
        <v>556</v>
      </c>
      <c r="B699" s="696" t="s">
        <v>4707</v>
      </c>
      <c r="C699" s="696" t="s">
        <v>3598</v>
      </c>
      <c r="D699" s="696" t="s">
        <v>3883</v>
      </c>
      <c r="E699" s="696" t="s">
        <v>3884</v>
      </c>
      <c r="F699" s="711"/>
      <c r="G699" s="711"/>
      <c r="H699" s="711"/>
      <c r="I699" s="711"/>
      <c r="J699" s="711">
        <v>1.44</v>
      </c>
      <c r="K699" s="711">
        <v>5224.3999999999996</v>
      </c>
      <c r="L699" s="711"/>
      <c r="M699" s="711">
        <v>3628.0555555555557</v>
      </c>
      <c r="N699" s="711">
        <v>6</v>
      </c>
      <c r="O699" s="711">
        <v>21768</v>
      </c>
      <c r="P699" s="701"/>
      <c r="Q699" s="712">
        <v>3628</v>
      </c>
    </row>
    <row r="700" spans="1:17" ht="14.4" customHeight="1" x14ac:dyDescent="0.3">
      <c r="A700" s="695" t="s">
        <v>556</v>
      </c>
      <c r="B700" s="696" t="s">
        <v>4707</v>
      </c>
      <c r="C700" s="696" t="s">
        <v>3889</v>
      </c>
      <c r="D700" s="696" t="s">
        <v>4728</v>
      </c>
      <c r="E700" s="696" t="s">
        <v>3584</v>
      </c>
      <c r="F700" s="711"/>
      <c r="G700" s="711"/>
      <c r="H700" s="711"/>
      <c r="I700" s="711"/>
      <c r="J700" s="711"/>
      <c r="K700" s="711"/>
      <c r="L700" s="711"/>
      <c r="M700" s="711"/>
      <c r="N700" s="711">
        <v>1</v>
      </c>
      <c r="O700" s="711">
        <v>1215.8499999999999</v>
      </c>
      <c r="P700" s="701"/>
      <c r="Q700" s="712">
        <v>1215.8499999999999</v>
      </c>
    </row>
    <row r="701" spans="1:17" ht="14.4" customHeight="1" x14ac:dyDescent="0.3">
      <c r="A701" s="695" t="s">
        <v>556</v>
      </c>
      <c r="B701" s="696" t="s">
        <v>4707</v>
      </c>
      <c r="C701" s="696" t="s">
        <v>3889</v>
      </c>
      <c r="D701" s="696" t="s">
        <v>3890</v>
      </c>
      <c r="E701" s="696" t="s">
        <v>3584</v>
      </c>
      <c r="F701" s="711">
        <v>101</v>
      </c>
      <c r="G701" s="711">
        <v>179998.16000000006</v>
      </c>
      <c r="H701" s="711">
        <v>1</v>
      </c>
      <c r="I701" s="711">
        <v>1782.1600000000005</v>
      </c>
      <c r="J701" s="711">
        <v>89</v>
      </c>
      <c r="K701" s="711">
        <v>162251.58000000002</v>
      </c>
      <c r="L701" s="711">
        <v>0.90140688104811717</v>
      </c>
      <c r="M701" s="711">
        <v>1823.0514606741574</v>
      </c>
      <c r="N701" s="711">
        <v>90</v>
      </c>
      <c r="O701" s="711">
        <v>167902.2</v>
      </c>
      <c r="P701" s="701">
        <v>0.93279953528413817</v>
      </c>
      <c r="Q701" s="712">
        <v>1865.5800000000002</v>
      </c>
    </row>
    <row r="702" spans="1:17" ht="14.4" customHeight="1" x14ac:dyDescent="0.3">
      <c r="A702" s="695" t="s">
        <v>556</v>
      </c>
      <c r="B702" s="696" t="s">
        <v>4707</v>
      </c>
      <c r="C702" s="696" t="s">
        <v>3889</v>
      </c>
      <c r="D702" s="696" t="s">
        <v>3891</v>
      </c>
      <c r="E702" s="696" t="s">
        <v>3584</v>
      </c>
      <c r="F702" s="711">
        <v>2</v>
      </c>
      <c r="G702" s="711">
        <v>5159.6400000000003</v>
      </c>
      <c r="H702" s="711">
        <v>1</v>
      </c>
      <c r="I702" s="711">
        <v>2579.8200000000002</v>
      </c>
      <c r="J702" s="711"/>
      <c r="K702" s="711"/>
      <c r="L702" s="711"/>
      <c r="M702" s="711"/>
      <c r="N702" s="711"/>
      <c r="O702" s="711"/>
      <c r="P702" s="701"/>
      <c r="Q702" s="712"/>
    </row>
    <row r="703" spans="1:17" ht="14.4" customHeight="1" x14ac:dyDescent="0.3">
      <c r="A703" s="695" t="s">
        <v>556</v>
      </c>
      <c r="B703" s="696" t="s">
        <v>4707</v>
      </c>
      <c r="C703" s="696" t="s">
        <v>3889</v>
      </c>
      <c r="D703" s="696" t="s">
        <v>3892</v>
      </c>
      <c r="E703" s="696" t="s">
        <v>3584</v>
      </c>
      <c r="F703" s="711">
        <v>2</v>
      </c>
      <c r="G703" s="711">
        <v>3564.32</v>
      </c>
      <c r="H703" s="711">
        <v>1</v>
      </c>
      <c r="I703" s="711">
        <v>1782.16</v>
      </c>
      <c r="J703" s="711"/>
      <c r="K703" s="711"/>
      <c r="L703" s="711"/>
      <c r="M703" s="711"/>
      <c r="N703" s="711">
        <v>1</v>
      </c>
      <c r="O703" s="711">
        <v>1865.58</v>
      </c>
      <c r="P703" s="701">
        <v>0.52340418368721098</v>
      </c>
      <c r="Q703" s="712">
        <v>1865.58</v>
      </c>
    </row>
    <row r="704" spans="1:17" ht="14.4" customHeight="1" x14ac:dyDescent="0.3">
      <c r="A704" s="695" t="s">
        <v>556</v>
      </c>
      <c r="B704" s="696" t="s">
        <v>4707</v>
      </c>
      <c r="C704" s="696" t="s">
        <v>3889</v>
      </c>
      <c r="D704" s="696" t="s">
        <v>4729</v>
      </c>
      <c r="E704" s="696" t="s">
        <v>3584</v>
      </c>
      <c r="F704" s="711">
        <v>1</v>
      </c>
      <c r="G704" s="711">
        <v>9039.01</v>
      </c>
      <c r="H704" s="711">
        <v>1</v>
      </c>
      <c r="I704" s="711">
        <v>9039.01</v>
      </c>
      <c r="J704" s="711"/>
      <c r="K704" s="711"/>
      <c r="L704" s="711"/>
      <c r="M704" s="711"/>
      <c r="N704" s="711"/>
      <c r="O704" s="711"/>
      <c r="P704" s="701"/>
      <c r="Q704" s="712"/>
    </row>
    <row r="705" spans="1:17" ht="14.4" customHeight="1" x14ac:dyDescent="0.3">
      <c r="A705" s="695" t="s">
        <v>556</v>
      </c>
      <c r="B705" s="696" t="s">
        <v>4707</v>
      </c>
      <c r="C705" s="696" t="s">
        <v>3889</v>
      </c>
      <c r="D705" s="696" t="s">
        <v>3893</v>
      </c>
      <c r="E705" s="696" t="s">
        <v>3584</v>
      </c>
      <c r="F705" s="711">
        <v>12</v>
      </c>
      <c r="G705" s="711">
        <v>10316.64</v>
      </c>
      <c r="H705" s="711">
        <v>1</v>
      </c>
      <c r="I705" s="711">
        <v>859.71999999999991</v>
      </c>
      <c r="J705" s="711">
        <v>16</v>
      </c>
      <c r="K705" s="711">
        <v>14295.88</v>
      </c>
      <c r="L705" s="711">
        <v>1.3857108515950929</v>
      </c>
      <c r="M705" s="711">
        <v>893.49249999999995</v>
      </c>
      <c r="N705" s="711">
        <v>15</v>
      </c>
      <c r="O705" s="711">
        <v>13883.55</v>
      </c>
      <c r="P705" s="701">
        <v>1.3457433815660913</v>
      </c>
      <c r="Q705" s="712">
        <v>925.56999999999994</v>
      </c>
    </row>
    <row r="706" spans="1:17" ht="14.4" customHeight="1" x14ac:dyDescent="0.3">
      <c r="A706" s="695" t="s">
        <v>556</v>
      </c>
      <c r="B706" s="696" t="s">
        <v>4707</v>
      </c>
      <c r="C706" s="696" t="s">
        <v>3620</v>
      </c>
      <c r="D706" s="696" t="s">
        <v>3895</v>
      </c>
      <c r="E706" s="696" t="s">
        <v>3896</v>
      </c>
      <c r="F706" s="711">
        <v>16</v>
      </c>
      <c r="G706" s="711">
        <v>5279.68</v>
      </c>
      <c r="H706" s="711">
        <v>1</v>
      </c>
      <c r="I706" s="711">
        <v>329.98</v>
      </c>
      <c r="J706" s="711">
        <v>60</v>
      </c>
      <c r="K706" s="711">
        <v>19798.8</v>
      </c>
      <c r="L706" s="711">
        <v>3.7499999999999996</v>
      </c>
      <c r="M706" s="711">
        <v>329.97999999999996</v>
      </c>
      <c r="N706" s="711">
        <v>33</v>
      </c>
      <c r="O706" s="711">
        <v>10889.34</v>
      </c>
      <c r="P706" s="701">
        <v>2.0625</v>
      </c>
      <c r="Q706" s="712">
        <v>329.98</v>
      </c>
    </row>
    <row r="707" spans="1:17" ht="14.4" customHeight="1" x14ac:dyDescent="0.3">
      <c r="A707" s="695" t="s">
        <v>556</v>
      </c>
      <c r="B707" s="696" t="s">
        <v>4707</v>
      </c>
      <c r="C707" s="696" t="s">
        <v>3620</v>
      </c>
      <c r="D707" s="696" t="s">
        <v>3897</v>
      </c>
      <c r="E707" s="696" t="s">
        <v>3896</v>
      </c>
      <c r="F707" s="711">
        <v>7</v>
      </c>
      <c r="G707" s="711">
        <v>3033.8700000000003</v>
      </c>
      <c r="H707" s="711">
        <v>1</v>
      </c>
      <c r="I707" s="711">
        <v>433.41</v>
      </c>
      <c r="J707" s="711">
        <v>11</v>
      </c>
      <c r="K707" s="711">
        <v>4767.51</v>
      </c>
      <c r="L707" s="711">
        <v>1.5714285714285714</v>
      </c>
      <c r="M707" s="711">
        <v>433.41</v>
      </c>
      <c r="N707" s="711">
        <v>1</v>
      </c>
      <c r="O707" s="711">
        <v>433.41</v>
      </c>
      <c r="P707" s="701">
        <v>0.14285714285714285</v>
      </c>
      <c r="Q707" s="712">
        <v>433.41</v>
      </c>
    </row>
    <row r="708" spans="1:17" ht="14.4" customHeight="1" x14ac:dyDescent="0.3">
      <c r="A708" s="695" t="s">
        <v>556</v>
      </c>
      <c r="B708" s="696" t="s">
        <v>4707</v>
      </c>
      <c r="C708" s="696" t="s">
        <v>3620</v>
      </c>
      <c r="D708" s="696" t="s">
        <v>3898</v>
      </c>
      <c r="E708" s="696" t="s">
        <v>3899</v>
      </c>
      <c r="F708" s="711"/>
      <c r="G708" s="711"/>
      <c r="H708" s="711"/>
      <c r="I708" s="711"/>
      <c r="J708" s="711">
        <v>3</v>
      </c>
      <c r="K708" s="711">
        <v>4306.08</v>
      </c>
      <c r="L708" s="711"/>
      <c r="M708" s="711">
        <v>1435.36</v>
      </c>
      <c r="N708" s="711">
        <v>4</v>
      </c>
      <c r="O708" s="711">
        <v>5741.44</v>
      </c>
      <c r="P708" s="701"/>
      <c r="Q708" s="712">
        <v>1435.36</v>
      </c>
    </row>
    <row r="709" spans="1:17" ht="14.4" customHeight="1" x14ac:dyDescent="0.3">
      <c r="A709" s="695" t="s">
        <v>556</v>
      </c>
      <c r="B709" s="696" t="s">
        <v>4707</v>
      </c>
      <c r="C709" s="696" t="s">
        <v>3620</v>
      </c>
      <c r="D709" s="696" t="s">
        <v>3900</v>
      </c>
      <c r="E709" s="696" t="s">
        <v>3899</v>
      </c>
      <c r="F709" s="711">
        <v>1</v>
      </c>
      <c r="G709" s="711">
        <v>1697.77</v>
      </c>
      <c r="H709" s="711">
        <v>1</v>
      </c>
      <c r="I709" s="711">
        <v>1697.77</v>
      </c>
      <c r="J709" s="711">
        <v>1</v>
      </c>
      <c r="K709" s="711">
        <v>1697.77</v>
      </c>
      <c r="L709" s="711">
        <v>1</v>
      </c>
      <c r="M709" s="711">
        <v>1697.77</v>
      </c>
      <c r="N709" s="711"/>
      <c r="O709" s="711"/>
      <c r="P709" s="701"/>
      <c r="Q709" s="712"/>
    </row>
    <row r="710" spans="1:17" ht="14.4" customHeight="1" x14ac:dyDescent="0.3">
      <c r="A710" s="695" t="s">
        <v>556</v>
      </c>
      <c r="B710" s="696" t="s">
        <v>4707</v>
      </c>
      <c r="C710" s="696" t="s">
        <v>3620</v>
      </c>
      <c r="D710" s="696" t="s">
        <v>3901</v>
      </c>
      <c r="E710" s="696" t="s">
        <v>3902</v>
      </c>
      <c r="F710" s="711">
        <v>2</v>
      </c>
      <c r="G710" s="711">
        <v>1445.94</v>
      </c>
      <c r="H710" s="711">
        <v>1</v>
      </c>
      <c r="I710" s="711">
        <v>722.97</v>
      </c>
      <c r="J710" s="711"/>
      <c r="K710" s="711"/>
      <c r="L710" s="711"/>
      <c r="M710" s="711"/>
      <c r="N710" s="711"/>
      <c r="O710" s="711"/>
      <c r="P710" s="701"/>
      <c r="Q710" s="712"/>
    </row>
    <row r="711" spans="1:17" ht="14.4" customHeight="1" x14ac:dyDescent="0.3">
      <c r="A711" s="695" t="s">
        <v>556</v>
      </c>
      <c r="B711" s="696" t="s">
        <v>4707</v>
      </c>
      <c r="C711" s="696" t="s">
        <v>3620</v>
      </c>
      <c r="D711" s="696" t="s">
        <v>3904</v>
      </c>
      <c r="E711" s="696" t="s">
        <v>3902</v>
      </c>
      <c r="F711" s="711">
        <v>14</v>
      </c>
      <c r="G711" s="711">
        <v>6530.58</v>
      </c>
      <c r="H711" s="711">
        <v>1</v>
      </c>
      <c r="I711" s="711">
        <v>466.46999999999997</v>
      </c>
      <c r="J711" s="711"/>
      <c r="K711" s="711"/>
      <c r="L711" s="711"/>
      <c r="M711" s="711"/>
      <c r="N711" s="711"/>
      <c r="O711" s="711"/>
      <c r="P711" s="701"/>
      <c r="Q711" s="712"/>
    </row>
    <row r="712" spans="1:17" ht="14.4" customHeight="1" x14ac:dyDescent="0.3">
      <c r="A712" s="695" t="s">
        <v>556</v>
      </c>
      <c r="B712" s="696" t="s">
        <v>4707</v>
      </c>
      <c r="C712" s="696" t="s">
        <v>3620</v>
      </c>
      <c r="D712" s="696" t="s">
        <v>3905</v>
      </c>
      <c r="E712" s="696" t="s">
        <v>3906</v>
      </c>
      <c r="F712" s="711">
        <v>1</v>
      </c>
      <c r="G712" s="711">
        <v>4312</v>
      </c>
      <c r="H712" s="711">
        <v>1</v>
      </c>
      <c r="I712" s="711">
        <v>4312</v>
      </c>
      <c r="J712" s="711"/>
      <c r="K712" s="711"/>
      <c r="L712" s="711"/>
      <c r="M712" s="711"/>
      <c r="N712" s="711"/>
      <c r="O712" s="711"/>
      <c r="P712" s="701"/>
      <c r="Q712" s="712"/>
    </row>
    <row r="713" spans="1:17" ht="14.4" customHeight="1" x14ac:dyDescent="0.3">
      <c r="A713" s="695" t="s">
        <v>556</v>
      </c>
      <c r="B713" s="696" t="s">
        <v>4707</v>
      </c>
      <c r="C713" s="696" t="s">
        <v>3620</v>
      </c>
      <c r="D713" s="696" t="s">
        <v>3907</v>
      </c>
      <c r="E713" s="696" t="s">
        <v>3908</v>
      </c>
      <c r="F713" s="711">
        <v>1</v>
      </c>
      <c r="G713" s="711">
        <v>4436.47</v>
      </c>
      <c r="H713" s="711">
        <v>1</v>
      </c>
      <c r="I713" s="711">
        <v>4436.47</v>
      </c>
      <c r="J713" s="711"/>
      <c r="K713" s="711"/>
      <c r="L713" s="711"/>
      <c r="M713" s="711"/>
      <c r="N713" s="711"/>
      <c r="O713" s="711"/>
      <c r="P713" s="701"/>
      <c r="Q713" s="712"/>
    </row>
    <row r="714" spans="1:17" ht="14.4" customHeight="1" x14ac:dyDescent="0.3">
      <c r="A714" s="695" t="s">
        <v>556</v>
      </c>
      <c r="B714" s="696" t="s">
        <v>4707</v>
      </c>
      <c r="C714" s="696" t="s">
        <v>3620</v>
      </c>
      <c r="D714" s="696" t="s">
        <v>3911</v>
      </c>
      <c r="E714" s="696" t="s">
        <v>3912</v>
      </c>
      <c r="F714" s="711">
        <v>3</v>
      </c>
      <c r="G714" s="711">
        <v>1786.17</v>
      </c>
      <c r="H714" s="711">
        <v>1</v>
      </c>
      <c r="I714" s="711">
        <v>595.39</v>
      </c>
      <c r="J714" s="711">
        <v>2</v>
      </c>
      <c r="K714" s="711">
        <v>1190.78</v>
      </c>
      <c r="L714" s="711">
        <v>0.66666666666666663</v>
      </c>
      <c r="M714" s="711">
        <v>595.39</v>
      </c>
      <c r="N714" s="711"/>
      <c r="O714" s="711"/>
      <c r="P714" s="701"/>
      <c r="Q714" s="712"/>
    </row>
    <row r="715" spans="1:17" ht="14.4" customHeight="1" x14ac:dyDescent="0.3">
      <c r="A715" s="695" t="s">
        <v>556</v>
      </c>
      <c r="B715" s="696" t="s">
        <v>4707</v>
      </c>
      <c r="C715" s="696" t="s">
        <v>3620</v>
      </c>
      <c r="D715" s="696" t="s">
        <v>3913</v>
      </c>
      <c r="E715" s="696" t="s">
        <v>3914</v>
      </c>
      <c r="F715" s="711">
        <v>1</v>
      </c>
      <c r="G715" s="711">
        <v>607.41</v>
      </c>
      <c r="H715" s="711">
        <v>1</v>
      </c>
      <c r="I715" s="711">
        <v>607.41</v>
      </c>
      <c r="J715" s="711"/>
      <c r="K715" s="711"/>
      <c r="L715" s="711"/>
      <c r="M715" s="711"/>
      <c r="N715" s="711"/>
      <c r="O715" s="711"/>
      <c r="P715" s="701"/>
      <c r="Q715" s="712"/>
    </row>
    <row r="716" spans="1:17" ht="14.4" customHeight="1" x14ac:dyDescent="0.3">
      <c r="A716" s="695" t="s">
        <v>556</v>
      </c>
      <c r="B716" s="696" t="s">
        <v>4707</v>
      </c>
      <c r="C716" s="696" t="s">
        <v>3620</v>
      </c>
      <c r="D716" s="696" t="s">
        <v>3915</v>
      </c>
      <c r="E716" s="696" t="s">
        <v>3916</v>
      </c>
      <c r="F716" s="711"/>
      <c r="G716" s="711"/>
      <c r="H716" s="711"/>
      <c r="I716" s="711"/>
      <c r="J716" s="711">
        <v>0.4</v>
      </c>
      <c r="K716" s="711">
        <v>506.32</v>
      </c>
      <c r="L716" s="711"/>
      <c r="M716" s="711">
        <v>1265.8</v>
      </c>
      <c r="N716" s="711"/>
      <c r="O716" s="711"/>
      <c r="P716" s="701"/>
      <c r="Q716" s="712"/>
    </row>
    <row r="717" spans="1:17" ht="14.4" customHeight="1" x14ac:dyDescent="0.3">
      <c r="A717" s="695" t="s">
        <v>556</v>
      </c>
      <c r="B717" s="696" t="s">
        <v>4707</v>
      </c>
      <c r="C717" s="696" t="s">
        <v>3620</v>
      </c>
      <c r="D717" s="696" t="s">
        <v>3919</v>
      </c>
      <c r="E717" s="696" t="s">
        <v>3918</v>
      </c>
      <c r="F717" s="711"/>
      <c r="G717" s="711"/>
      <c r="H717" s="711"/>
      <c r="I717" s="711"/>
      <c r="J717" s="711">
        <v>6</v>
      </c>
      <c r="K717" s="711">
        <v>522.29999999999995</v>
      </c>
      <c r="L717" s="711"/>
      <c r="M717" s="711">
        <v>87.05</v>
      </c>
      <c r="N717" s="711">
        <v>2</v>
      </c>
      <c r="O717" s="711">
        <v>174.1</v>
      </c>
      <c r="P717" s="701"/>
      <c r="Q717" s="712">
        <v>87.05</v>
      </c>
    </row>
    <row r="718" spans="1:17" ht="14.4" customHeight="1" x14ac:dyDescent="0.3">
      <c r="A718" s="695" t="s">
        <v>556</v>
      </c>
      <c r="B718" s="696" t="s">
        <v>4707</v>
      </c>
      <c r="C718" s="696" t="s">
        <v>3620</v>
      </c>
      <c r="D718" s="696" t="s">
        <v>3920</v>
      </c>
      <c r="E718" s="696" t="s">
        <v>3918</v>
      </c>
      <c r="F718" s="711">
        <v>6</v>
      </c>
      <c r="G718" s="711">
        <v>774.18</v>
      </c>
      <c r="H718" s="711">
        <v>1</v>
      </c>
      <c r="I718" s="711">
        <v>129.03</v>
      </c>
      <c r="J718" s="711"/>
      <c r="K718" s="711"/>
      <c r="L718" s="711"/>
      <c r="M718" s="711"/>
      <c r="N718" s="711">
        <v>1</v>
      </c>
      <c r="O718" s="711">
        <v>129.03</v>
      </c>
      <c r="P718" s="701">
        <v>0.16666666666666669</v>
      </c>
      <c r="Q718" s="712">
        <v>129.03</v>
      </c>
    </row>
    <row r="719" spans="1:17" ht="14.4" customHeight="1" x14ac:dyDescent="0.3">
      <c r="A719" s="695" t="s">
        <v>556</v>
      </c>
      <c r="B719" s="696" t="s">
        <v>4707</v>
      </c>
      <c r="C719" s="696" t="s">
        <v>3620</v>
      </c>
      <c r="D719" s="696" t="s">
        <v>3922</v>
      </c>
      <c r="E719" s="696" t="s">
        <v>3923</v>
      </c>
      <c r="F719" s="711"/>
      <c r="G719" s="711"/>
      <c r="H719" s="711"/>
      <c r="I719" s="711"/>
      <c r="J719" s="711">
        <v>3</v>
      </c>
      <c r="K719" s="711">
        <v>2627.79</v>
      </c>
      <c r="L719" s="711"/>
      <c r="M719" s="711">
        <v>875.93</v>
      </c>
      <c r="N719" s="711"/>
      <c r="O719" s="711"/>
      <c r="P719" s="701"/>
      <c r="Q719" s="712"/>
    </row>
    <row r="720" spans="1:17" ht="14.4" customHeight="1" x14ac:dyDescent="0.3">
      <c r="A720" s="695" t="s">
        <v>556</v>
      </c>
      <c r="B720" s="696" t="s">
        <v>4707</v>
      </c>
      <c r="C720" s="696" t="s">
        <v>3620</v>
      </c>
      <c r="D720" s="696" t="s">
        <v>4730</v>
      </c>
      <c r="E720" s="696" t="s">
        <v>3912</v>
      </c>
      <c r="F720" s="711"/>
      <c r="G720" s="711"/>
      <c r="H720" s="711"/>
      <c r="I720" s="711"/>
      <c r="J720" s="711"/>
      <c r="K720" s="711"/>
      <c r="L720" s="711"/>
      <c r="M720" s="711"/>
      <c r="N720" s="711">
        <v>1</v>
      </c>
      <c r="O720" s="711">
        <v>1094.0999999999999</v>
      </c>
      <c r="P720" s="701"/>
      <c r="Q720" s="712">
        <v>1094.0999999999999</v>
      </c>
    </row>
    <row r="721" spans="1:17" ht="14.4" customHeight="1" x14ac:dyDescent="0.3">
      <c r="A721" s="695" t="s">
        <v>556</v>
      </c>
      <c r="B721" s="696" t="s">
        <v>4707</v>
      </c>
      <c r="C721" s="696" t="s">
        <v>3620</v>
      </c>
      <c r="D721" s="696" t="s">
        <v>3924</v>
      </c>
      <c r="E721" s="696" t="s">
        <v>3925</v>
      </c>
      <c r="F721" s="711">
        <v>1</v>
      </c>
      <c r="G721" s="711">
        <v>511.45</v>
      </c>
      <c r="H721" s="711">
        <v>1</v>
      </c>
      <c r="I721" s="711">
        <v>511.45</v>
      </c>
      <c r="J721" s="711"/>
      <c r="K721" s="711"/>
      <c r="L721" s="711"/>
      <c r="M721" s="711"/>
      <c r="N721" s="711">
        <v>1</v>
      </c>
      <c r="O721" s="711">
        <v>511.45</v>
      </c>
      <c r="P721" s="701">
        <v>1</v>
      </c>
      <c r="Q721" s="712">
        <v>511.45</v>
      </c>
    </row>
    <row r="722" spans="1:17" ht="14.4" customHeight="1" x14ac:dyDescent="0.3">
      <c r="A722" s="695" t="s">
        <v>556</v>
      </c>
      <c r="B722" s="696" t="s">
        <v>4707</v>
      </c>
      <c r="C722" s="696" t="s">
        <v>3620</v>
      </c>
      <c r="D722" s="696" t="s">
        <v>3926</v>
      </c>
      <c r="E722" s="696" t="s">
        <v>3927</v>
      </c>
      <c r="F722" s="711"/>
      <c r="G722" s="711"/>
      <c r="H722" s="711"/>
      <c r="I722" s="711"/>
      <c r="J722" s="711">
        <v>0.3</v>
      </c>
      <c r="K722" s="711">
        <v>288.83</v>
      </c>
      <c r="L722" s="711"/>
      <c r="M722" s="711">
        <v>962.76666666666665</v>
      </c>
      <c r="N722" s="711">
        <v>2</v>
      </c>
      <c r="O722" s="711">
        <v>1925.55</v>
      </c>
      <c r="P722" s="701"/>
      <c r="Q722" s="712">
        <v>962.77499999999998</v>
      </c>
    </row>
    <row r="723" spans="1:17" ht="14.4" customHeight="1" x14ac:dyDescent="0.3">
      <c r="A723" s="695" t="s">
        <v>556</v>
      </c>
      <c r="B723" s="696" t="s">
        <v>4707</v>
      </c>
      <c r="C723" s="696" t="s">
        <v>3620</v>
      </c>
      <c r="D723" s="696" t="s">
        <v>3928</v>
      </c>
      <c r="E723" s="696" t="s">
        <v>3927</v>
      </c>
      <c r="F723" s="711"/>
      <c r="G723" s="711"/>
      <c r="H723" s="711"/>
      <c r="I723" s="711"/>
      <c r="J723" s="711">
        <v>0.1</v>
      </c>
      <c r="K723" s="711">
        <v>11.46</v>
      </c>
      <c r="L723" s="711"/>
      <c r="M723" s="711">
        <v>114.60000000000001</v>
      </c>
      <c r="N723" s="711">
        <v>0.2</v>
      </c>
      <c r="O723" s="711">
        <v>22.92</v>
      </c>
      <c r="P723" s="701"/>
      <c r="Q723" s="712">
        <v>114.60000000000001</v>
      </c>
    </row>
    <row r="724" spans="1:17" ht="14.4" customHeight="1" x14ac:dyDescent="0.3">
      <c r="A724" s="695" t="s">
        <v>556</v>
      </c>
      <c r="B724" s="696" t="s">
        <v>4707</v>
      </c>
      <c r="C724" s="696" t="s">
        <v>3620</v>
      </c>
      <c r="D724" s="696" t="s">
        <v>3929</v>
      </c>
      <c r="E724" s="696" t="s">
        <v>3927</v>
      </c>
      <c r="F724" s="711"/>
      <c r="G724" s="711"/>
      <c r="H724" s="711"/>
      <c r="I724" s="711"/>
      <c r="J724" s="711">
        <v>0.2</v>
      </c>
      <c r="K724" s="711">
        <v>27.58</v>
      </c>
      <c r="L724" s="711"/>
      <c r="M724" s="711">
        <v>137.89999999999998</v>
      </c>
      <c r="N724" s="711">
        <v>0.4</v>
      </c>
      <c r="O724" s="711">
        <v>55.17</v>
      </c>
      <c r="P724" s="701"/>
      <c r="Q724" s="712">
        <v>137.92499999999998</v>
      </c>
    </row>
    <row r="725" spans="1:17" ht="14.4" customHeight="1" x14ac:dyDescent="0.3">
      <c r="A725" s="695" t="s">
        <v>556</v>
      </c>
      <c r="B725" s="696" t="s">
        <v>4707</v>
      </c>
      <c r="C725" s="696" t="s">
        <v>3620</v>
      </c>
      <c r="D725" s="696" t="s">
        <v>3930</v>
      </c>
      <c r="E725" s="696" t="s">
        <v>3927</v>
      </c>
      <c r="F725" s="711">
        <v>0.8</v>
      </c>
      <c r="G725" s="711">
        <v>503.67</v>
      </c>
      <c r="H725" s="711">
        <v>1</v>
      </c>
      <c r="I725" s="711">
        <v>629.58749999999998</v>
      </c>
      <c r="J725" s="711">
        <v>3.3</v>
      </c>
      <c r="K725" s="711">
        <v>2077.6200000000003</v>
      </c>
      <c r="L725" s="711">
        <v>4.1249627732443868</v>
      </c>
      <c r="M725" s="711">
        <v>629.58181818181833</v>
      </c>
      <c r="N725" s="711">
        <v>12.1</v>
      </c>
      <c r="O725" s="711">
        <v>7618.02</v>
      </c>
      <c r="P725" s="701">
        <v>15.12502233605337</v>
      </c>
      <c r="Q725" s="712">
        <v>629.58842975206619</v>
      </c>
    </row>
    <row r="726" spans="1:17" ht="14.4" customHeight="1" x14ac:dyDescent="0.3">
      <c r="A726" s="695" t="s">
        <v>556</v>
      </c>
      <c r="B726" s="696" t="s">
        <v>4707</v>
      </c>
      <c r="C726" s="696" t="s">
        <v>3620</v>
      </c>
      <c r="D726" s="696" t="s">
        <v>3931</v>
      </c>
      <c r="E726" s="696" t="s">
        <v>3932</v>
      </c>
      <c r="F726" s="711">
        <v>1</v>
      </c>
      <c r="G726" s="711">
        <v>1169.8499999999999</v>
      </c>
      <c r="H726" s="711">
        <v>1</v>
      </c>
      <c r="I726" s="711">
        <v>1169.8499999999999</v>
      </c>
      <c r="J726" s="711">
        <v>3</v>
      </c>
      <c r="K726" s="711">
        <v>3509.55</v>
      </c>
      <c r="L726" s="711">
        <v>3.0000000000000004</v>
      </c>
      <c r="M726" s="711">
        <v>1169.8500000000001</v>
      </c>
      <c r="N726" s="711"/>
      <c r="O726" s="711"/>
      <c r="P726" s="701"/>
      <c r="Q726" s="712"/>
    </row>
    <row r="727" spans="1:17" ht="14.4" customHeight="1" x14ac:dyDescent="0.3">
      <c r="A727" s="695" t="s">
        <v>556</v>
      </c>
      <c r="B727" s="696" t="s">
        <v>4707</v>
      </c>
      <c r="C727" s="696" t="s">
        <v>3620</v>
      </c>
      <c r="D727" s="696" t="s">
        <v>3933</v>
      </c>
      <c r="E727" s="696" t="s">
        <v>3934</v>
      </c>
      <c r="F727" s="711">
        <v>1</v>
      </c>
      <c r="G727" s="711">
        <v>3680.54</v>
      </c>
      <c r="H727" s="711">
        <v>1</v>
      </c>
      <c r="I727" s="711">
        <v>3680.54</v>
      </c>
      <c r="J727" s="711"/>
      <c r="K727" s="711"/>
      <c r="L727" s="711"/>
      <c r="M727" s="711"/>
      <c r="N727" s="711"/>
      <c r="O727" s="711"/>
      <c r="P727" s="701"/>
      <c r="Q727" s="712"/>
    </row>
    <row r="728" spans="1:17" ht="14.4" customHeight="1" x14ac:dyDescent="0.3">
      <c r="A728" s="695" t="s">
        <v>556</v>
      </c>
      <c r="B728" s="696" t="s">
        <v>4707</v>
      </c>
      <c r="C728" s="696" t="s">
        <v>3620</v>
      </c>
      <c r="D728" s="696" t="s">
        <v>3935</v>
      </c>
      <c r="E728" s="696" t="s">
        <v>3934</v>
      </c>
      <c r="F728" s="711"/>
      <c r="G728" s="711"/>
      <c r="H728" s="711"/>
      <c r="I728" s="711"/>
      <c r="J728" s="711">
        <v>2</v>
      </c>
      <c r="K728" s="711">
        <v>4223.6000000000004</v>
      </c>
      <c r="L728" s="711"/>
      <c r="M728" s="711">
        <v>2111.8000000000002</v>
      </c>
      <c r="N728" s="711"/>
      <c r="O728" s="711"/>
      <c r="P728" s="701"/>
      <c r="Q728" s="712"/>
    </row>
    <row r="729" spans="1:17" ht="14.4" customHeight="1" x14ac:dyDescent="0.3">
      <c r="A729" s="695" t="s">
        <v>556</v>
      </c>
      <c r="B729" s="696" t="s">
        <v>4707</v>
      </c>
      <c r="C729" s="696" t="s">
        <v>3620</v>
      </c>
      <c r="D729" s="696" t="s">
        <v>4731</v>
      </c>
      <c r="E729" s="696" t="s">
        <v>4732</v>
      </c>
      <c r="F729" s="711"/>
      <c r="G729" s="711"/>
      <c r="H729" s="711"/>
      <c r="I729" s="711"/>
      <c r="J729" s="711">
        <v>1</v>
      </c>
      <c r="K729" s="711">
        <v>4644.9799999999996</v>
      </c>
      <c r="L729" s="711"/>
      <c r="M729" s="711">
        <v>4644.9799999999996</v>
      </c>
      <c r="N729" s="711"/>
      <c r="O729" s="711"/>
      <c r="P729" s="701"/>
      <c r="Q729" s="712"/>
    </row>
    <row r="730" spans="1:17" ht="14.4" customHeight="1" x14ac:dyDescent="0.3">
      <c r="A730" s="695" t="s">
        <v>556</v>
      </c>
      <c r="B730" s="696" t="s">
        <v>4707</v>
      </c>
      <c r="C730" s="696" t="s">
        <v>3620</v>
      </c>
      <c r="D730" s="696" t="s">
        <v>3936</v>
      </c>
      <c r="E730" s="696" t="s">
        <v>3937</v>
      </c>
      <c r="F730" s="711"/>
      <c r="G730" s="711"/>
      <c r="H730" s="711"/>
      <c r="I730" s="711"/>
      <c r="J730" s="711">
        <v>2</v>
      </c>
      <c r="K730" s="711">
        <v>2068.58</v>
      </c>
      <c r="L730" s="711"/>
      <c r="M730" s="711">
        <v>1034.29</v>
      </c>
      <c r="N730" s="711">
        <v>6</v>
      </c>
      <c r="O730" s="711">
        <v>6205.74</v>
      </c>
      <c r="P730" s="701"/>
      <c r="Q730" s="712">
        <v>1034.29</v>
      </c>
    </row>
    <row r="731" spans="1:17" ht="14.4" customHeight="1" x14ac:dyDescent="0.3">
      <c r="A731" s="695" t="s">
        <v>556</v>
      </c>
      <c r="B731" s="696" t="s">
        <v>4707</v>
      </c>
      <c r="C731" s="696" t="s">
        <v>3620</v>
      </c>
      <c r="D731" s="696" t="s">
        <v>3938</v>
      </c>
      <c r="E731" s="696" t="s">
        <v>3937</v>
      </c>
      <c r="F731" s="711"/>
      <c r="G731" s="711"/>
      <c r="H731" s="711"/>
      <c r="I731" s="711"/>
      <c r="J731" s="711">
        <v>6</v>
      </c>
      <c r="K731" s="711">
        <v>6597.48</v>
      </c>
      <c r="L731" s="711"/>
      <c r="M731" s="711">
        <v>1099.58</v>
      </c>
      <c r="N731" s="711">
        <v>1</v>
      </c>
      <c r="O731" s="711">
        <v>1099.58</v>
      </c>
      <c r="P731" s="701"/>
      <c r="Q731" s="712">
        <v>1099.58</v>
      </c>
    </row>
    <row r="732" spans="1:17" ht="14.4" customHeight="1" x14ac:dyDescent="0.3">
      <c r="A732" s="695" t="s">
        <v>556</v>
      </c>
      <c r="B732" s="696" t="s">
        <v>4707</v>
      </c>
      <c r="C732" s="696" t="s">
        <v>3620</v>
      </c>
      <c r="D732" s="696" t="s">
        <v>3939</v>
      </c>
      <c r="E732" s="696" t="s">
        <v>3937</v>
      </c>
      <c r="F732" s="711">
        <v>5</v>
      </c>
      <c r="G732" s="711">
        <v>5902.1</v>
      </c>
      <c r="H732" s="711">
        <v>1</v>
      </c>
      <c r="I732" s="711">
        <v>1180.42</v>
      </c>
      <c r="J732" s="711">
        <v>3</v>
      </c>
      <c r="K732" s="711">
        <v>3541.26</v>
      </c>
      <c r="L732" s="711">
        <v>0.6</v>
      </c>
      <c r="M732" s="711">
        <v>1180.42</v>
      </c>
      <c r="N732" s="711">
        <v>2</v>
      </c>
      <c r="O732" s="711">
        <v>2360.84</v>
      </c>
      <c r="P732" s="701">
        <v>0.4</v>
      </c>
      <c r="Q732" s="712">
        <v>1180.42</v>
      </c>
    </row>
    <row r="733" spans="1:17" ht="14.4" customHeight="1" x14ac:dyDescent="0.3">
      <c r="A733" s="695" t="s">
        <v>556</v>
      </c>
      <c r="B733" s="696" t="s">
        <v>4707</v>
      </c>
      <c r="C733" s="696" t="s">
        <v>3620</v>
      </c>
      <c r="D733" s="696" t="s">
        <v>3940</v>
      </c>
      <c r="E733" s="696" t="s">
        <v>3937</v>
      </c>
      <c r="F733" s="711"/>
      <c r="G733" s="711"/>
      <c r="H733" s="711"/>
      <c r="I733" s="711"/>
      <c r="J733" s="711">
        <v>3</v>
      </c>
      <c r="K733" s="711">
        <v>3743.34</v>
      </c>
      <c r="L733" s="711"/>
      <c r="M733" s="711">
        <v>1247.78</v>
      </c>
      <c r="N733" s="711">
        <v>1</v>
      </c>
      <c r="O733" s="711">
        <v>1247.78</v>
      </c>
      <c r="P733" s="701"/>
      <c r="Q733" s="712">
        <v>1247.78</v>
      </c>
    </row>
    <row r="734" spans="1:17" ht="14.4" customHeight="1" x14ac:dyDescent="0.3">
      <c r="A734" s="695" t="s">
        <v>556</v>
      </c>
      <c r="B734" s="696" t="s">
        <v>4707</v>
      </c>
      <c r="C734" s="696" t="s">
        <v>3620</v>
      </c>
      <c r="D734" s="696" t="s">
        <v>3941</v>
      </c>
      <c r="E734" s="696" t="s">
        <v>3937</v>
      </c>
      <c r="F734" s="711"/>
      <c r="G734" s="711"/>
      <c r="H734" s="711"/>
      <c r="I734" s="711"/>
      <c r="J734" s="711">
        <v>1</v>
      </c>
      <c r="K734" s="711">
        <v>1376.29</v>
      </c>
      <c r="L734" s="711"/>
      <c r="M734" s="711">
        <v>1376.29</v>
      </c>
      <c r="N734" s="711"/>
      <c r="O734" s="711"/>
      <c r="P734" s="701"/>
      <c r="Q734" s="712"/>
    </row>
    <row r="735" spans="1:17" ht="14.4" customHeight="1" x14ac:dyDescent="0.3">
      <c r="A735" s="695" t="s">
        <v>556</v>
      </c>
      <c r="B735" s="696" t="s">
        <v>4707</v>
      </c>
      <c r="C735" s="696" t="s">
        <v>3620</v>
      </c>
      <c r="D735" s="696" t="s">
        <v>3944</v>
      </c>
      <c r="E735" s="696" t="s">
        <v>3945</v>
      </c>
      <c r="F735" s="711"/>
      <c r="G735" s="711"/>
      <c r="H735" s="711"/>
      <c r="I735" s="711"/>
      <c r="J735" s="711"/>
      <c r="K735" s="711"/>
      <c r="L735" s="711"/>
      <c r="M735" s="711"/>
      <c r="N735" s="711">
        <v>4</v>
      </c>
      <c r="O735" s="711">
        <v>10258</v>
      </c>
      <c r="P735" s="701"/>
      <c r="Q735" s="712">
        <v>2564.5</v>
      </c>
    </row>
    <row r="736" spans="1:17" ht="14.4" customHeight="1" x14ac:dyDescent="0.3">
      <c r="A736" s="695" t="s">
        <v>556</v>
      </c>
      <c r="B736" s="696" t="s">
        <v>4707</v>
      </c>
      <c r="C736" s="696" t="s">
        <v>3620</v>
      </c>
      <c r="D736" s="696" t="s">
        <v>3946</v>
      </c>
      <c r="E736" s="696" t="s">
        <v>3947</v>
      </c>
      <c r="F736" s="711"/>
      <c r="G736" s="711"/>
      <c r="H736" s="711"/>
      <c r="I736" s="711"/>
      <c r="J736" s="711"/>
      <c r="K736" s="711"/>
      <c r="L736" s="711"/>
      <c r="M736" s="711"/>
      <c r="N736" s="711">
        <v>2</v>
      </c>
      <c r="O736" s="711">
        <v>3887.8</v>
      </c>
      <c r="P736" s="701"/>
      <c r="Q736" s="712">
        <v>1943.9</v>
      </c>
    </row>
    <row r="737" spans="1:17" ht="14.4" customHeight="1" x14ac:dyDescent="0.3">
      <c r="A737" s="695" t="s">
        <v>556</v>
      </c>
      <c r="B737" s="696" t="s">
        <v>4707</v>
      </c>
      <c r="C737" s="696" t="s">
        <v>3620</v>
      </c>
      <c r="D737" s="696" t="s">
        <v>3948</v>
      </c>
      <c r="E737" s="696" t="s">
        <v>3949</v>
      </c>
      <c r="F737" s="711"/>
      <c r="G737" s="711"/>
      <c r="H737" s="711"/>
      <c r="I737" s="711"/>
      <c r="J737" s="711"/>
      <c r="K737" s="711"/>
      <c r="L737" s="711"/>
      <c r="M737" s="711"/>
      <c r="N737" s="711">
        <v>2</v>
      </c>
      <c r="O737" s="711">
        <v>3887.8</v>
      </c>
      <c r="P737" s="701"/>
      <c r="Q737" s="712">
        <v>1943.9</v>
      </c>
    </row>
    <row r="738" spans="1:17" ht="14.4" customHeight="1" x14ac:dyDescent="0.3">
      <c r="A738" s="695" t="s">
        <v>556</v>
      </c>
      <c r="B738" s="696" t="s">
        <v>4707</v>
      </c>
      <c r="C738" s="696" t="s">
        <v>3620</v>
      </c>
      <c r="D738" s="696" t="s">
        <v>3954</v>
      </c>
      <c r="E738" s="696" t="s">
        <v>3955</v>
      </c>
      <c r="F738" s="711">
        <v>4</v>
      </c>
      <c r="G738" s="711">
        <v>1998.12</v>
      </c>
      <c r="H738" s="711">
        <v>1</v>
      </c>
      <c r="I738" s="711">
        <v>499.53</v>
      </c>
      <c r="J738" s="711">
        <v>4</v>
      </c>
      <c r="K738" s="711">
        <v>1998.12</v>
      </c>
      <c r="L738" s="711">
        <v>1</v>
      </c>
      <c r="M738" s="711">
        <v>499.53</v>
      </c>
      <c r="N738" s="711">
        <v>4</v>
      </c>
      <c r="O738" s="711">
        <v>1998.12</v>
      </c>
      <c r="P738" s="701">
        <v>1</v>
      </c>
      <c r="Q738" s="712">
        <v>499.53</v>
      </c>
    </row>
    <row r="739" spans="1:17" ht="14.4" customHeight="1" x14ac:dyDescent="0.3">
      <c r="A739" s="695" t="s">
        <v>556</v>
      </c>
      <c r="B739" s="696" t="s">
        <v>4707</v>
      </c>
      <c r="C739" s="696" t="s">
        <v>3620</v>
      </c>
      <c r="D739" s="696" t="s">
        <v>3956</v>
      </c>
      <c r="E739" s="696" t="s">
        <v>3955</v>
      </c>
      <c r="F739" s="711">
        <v>10</v>
      </c>
      <c r="G739" s="711">
        <v>4269.8</v>
      </c>
      <c r="H739" s="711">
        <v>1</v>
      </c>
      <c r="I739" s="711">
        <v>426.98</v>
      </c>
      <c r="J739" s="711">
        <v>2</v>
      </c>
      <c r="K739" s="711">
        <v>853.96</v>
      </c>
      <c r="L739" s="711">
        <v>0.2</v>
      </c>
      <c r="M739" s="711">
        <v>426.98</v>
      </c>
      <c r="N739" s="711">
        <v>1</v>
      </c>
      <c r="O739" s="711">
        <v>426.98</v>
      </c>
      <c r="P739" s="701">
        <v>0.1</v>
      </c>
      <c r="Q739" s="712">
        <v>426.98</v>
      </c>
    </row>
    <row r="740" spans="1:17" ht="14.4" customHeight="1" x14ac:dyDescent="0.3">
      <c r="A740" s="695" t="s">
        <v>556</v>
      </c>
      <c r="B740" s="696" t="s">
        <v>4707</v>
      </c>
      <c r="C740" s="696" t="s">
        <v>3620</v>
      </c>
      <c r="D740" s="696" t="s">
        <v>4733</v>
      </c>
      <c r="E740" s="696" t="s">
        <v>4734</v>
      </c>
      <c r="F740" s="711">
        <v>1</v>
      </c>
      <c r="G740" s="711">
        <v>5250.22</v>
      </c>
      <c r="H740" s="711">
        <v>1</v>
      </c>
      <c r="I740" s="711">
        <v>5250.22</v>
      </c>
      <c r="J740" s="711"/>
      <c r="K740" s="711"/>
      <c r="L740" s="711"/>
      <c r="M740" s="711"/>
      <c r="N740" s="711"/>
      <c r="O740" s="711"/>
      <c r="P740" s="701"/>
      <c r="Q740" s="712"/>
    </row>
    <row r="741" spans="1:17" ht="14.4" customHeight="1" x14ac:dyDescent="0.3">
      <c r="A741" s="695" t="s">
        <v>556</v>
      </c>
      <c r="B741" s="696" t="s">
        <v>4707</v>
      </c>
      <c r="C741" s="696" t="s">
        <v>3620</v>
      </c>
      <c r="D741" s="696" t="s">
        <v>3957</v>
      </c>
      <c r="E741" s="696" t="s">
        <v>3958</v>
      </c>
      <c r="F741" s="711">
        <v>1</v>
      </c>
      <c r="G741" s="711">
        <v>9657.8700000000008</v>
      </c>
      <c r="H741" s="711">
        <v>1</v>
      </c>
      <c r="I741" s="711">
        <v>9657.8700000000008</v>
      </c>
      <c r="J741" s="711">
        <v>1</v>
      </c>
      <c r="K741" s="711">
        <v>9657.8700000000008</v>
      </c>
      <c r="L741" s="711">
        <v>1</v>
      </c>
      <c r="M741" s="711">
        <v>9657.8700000000008</v>
      </c>
      <c r="N741" s="711">
        <v>1</v>
      </c>
      <c r="O741" s="711">
        <v>9657.8700000000008</v>
      </c>
      <c r="P741" s="701">
        <v>1</v>
      </c>
      <c r="Q741" s="712">
        <v>9657.8700000000008</v>
      </c>
    </row>
    <row r="742" spans="1:17" ht="14.4" customHeight="1" x14ac:dyDescent="0.3">
      <c r="A742" s="695" t="s">
        <v>556</v>
      </c>
      <c r="B742" s="696" t="s">
        <v>4707</v>
      </c>
      <c r="C742" s="696" t="s">
        <v>3620</v>
      </c>
      <c r="D742" s="696" t="s">
        <v>3959</v>
      </c>
      <c r="E742" s="696" t="s">
        <v>3918</v>
      </c>
      <c r="F742" s="711"/>
      <c r="G742" s="711"/>
      <c r="H742" s="711"/>
      <c r="I742" s="711"/>
      <c r="J742" s="711">
        <v>7</v>
      </c>
      <c r="K742" s="711">
        <v>483.14</v>
      </c>
      <c r="L742" s="711"/>
      <c r="M742" s="711">
        <v>69.02</v>
      </c>
      <c r="N742" s="711">
        <v>2</v>
      </c>
      <c r="O742" s="711">
        <v>138.04</v>
      </c>
      <c r="P742" s="701"/>
      <c r="Q742" s="712">
        <v>69.02</v>
      </c>
    </row>
    <row r="743" spans="1:17" ht="14.4" customHeight="1" x14ac:dyDescent="0.3">
      <c r="A743" s="695" t="s">
        <v>556</v>
      </c>
      <c r="B743" s="696" t="s">
        <v>4707</v>
      </c>
      <c r="C743" s="696" t="s">
        <v>3620</v>
      </c>
      <c r="D743" s="696" t="s">
        <v>3965</v>
      </c>
      <c r="E743" s="696" t="s">
        <v>3964</v>
      </c>
      <c r="F743" s="711"/>
      <c r="G743" s="711"/>
      <c r="H743" s="711"/>
      <c r="I743" s="711"/>
      <c r="J743" s="711">
        <v>1</v>
      </c>
      <c r="K743" s="711">
        <v>713.02</v>
      </c>
      <c r="L743" s="711"/>
      <c r="M743" s="711">
        <v>713.02</v>
      </c>
      <c r="N743" s="711">
        <v>2</v>
      </c>
      <c r="O743" s="711">
        <v>1426.04</v>
      </c>
      <c r="P743" s="701"/>
      <c r="Q743" s="712">
        <v>713.02</v>
      </c>
    </row>
    <row r="744" spans="1:17" ht="14.4" customHeight="1" x14ac:dyDescent="0.3">
      <c r="A744" s="695" t="s">
        <v>556</v>
      </c>
      <c r="B744" s="696" t="s">
        <v>4707</v>
      </c>
      <c r="C744" s="696" t="s">
        <v>3620</v>
      </c>
      <c r="D744" s="696" t="s">
        <v>3966</v>
      </c>
      <c r="E744" s="696" t="s">
        <v>3967</v>
      </c>
      <c r="F744" s="711">
        <v>1</v>
      </c>
      <c r="G744" s="711">
        <v>230.07</v>
      </c>
      <c r="H744" s="711">
        <v>1</v>
      </c>
      <c r="I744" s="711">
        <v>230.07</v>
      </c>
      <c r="J744" s="711">
        <v>13</v>
      </c>
      <c r="K744" s="711">
        <v>2990.91</v>
      </c>
      <c r="L744" s="711">
        <v>13</v>
      </c>
      <c r="M744" s="711">
        <v>230.07</v>
      </c>
      <c r="N744" s="711">
        <v>2</v>
      </c>
      <c r="O744" s="711">
        <v>460.14</v>
      </c>
      <c r="P744" s="701">
        <v>2</v>
      </c>
      <c r="Q744" s="712">
        <v>230.07</v>
      </c>
    </row>
    <row r="745" spans="1:17" ht="14.4" customHeight="1" x14ac:dyDescent="0.3">
      <c r="A745" s="695" t="s">
        <v>556</v>
      </c>
      <c r="B745" s="696" t="s">
        <v>4707</v>
      </c>
      <c r="C745" s="696" t="s">
        <v>3620</v>
      </c>
      <c r="D745" s="696" t="s">
        <v>3970</v>
      </c>
      <c r="E745" s="696" t="s">
        <v>3969</v>
      </c>
      <c r="F745" s="711"/>
      <c r="G745" s="711"/>
      <c r="H745" s="711"/>
      <c r="I745" s="711"/>
      <c r="J745" s="711">
        <v>2</v>
      </c>
      <c r="K745" s="711">
        <v>182.4</v>
      </c>
      <c r="L745" s="711"/>
      <c r="M745" s="711">
        <v>91.2</v>
      </c>
      <c r="N745" s="711"/>
      <c r="O745" s="711"/>
      <c r="P745" s="701"/>
      <c r="Q745" s="712"/>
    </row>
    <row r="746" spans="1:17" ht="14.4" customHeight="1" x14ac:dyDescent="0.3">
      <c r="A746" s="695" t="s">
        <v>556</v>
      </c>
      <c r="B746" s="696" t="s">
        <v>4707</v>
      </c>
      <c r="C746" s="696" t="s">
        <v>3620</v>
      </c>
      <c r="D746" s="696" t="s">
        <v>3971</v>
      </c>
      <c r="E746" s="696" t="s">
        <v>3972</v>
      </c>
      <c r="F746" s="711">
        <v>5</v>
      </c>
      <c r="G746" s="711">
        <v>1088.1999999999998</v>
      </c>
      <c r="H746" s="711">
        <v>1</v>
      </c>
      <c r="I746" s="711">
        <v>217.63999999999996</v>
      </c>
      <c r="J746" s="711">
        <v>5</v>
      </c>
      <c r="K746" s="711">
        <v>1088.1999999999998</v>
      </c>
      <c r="L746" s="711">
        <v>1</v>
      </c>
      <c r="M746" s="711">
        <v>217.63999999999996</v>
      </c>
      <c r="N746" s="711">
        <v>2</v>
      </c>
      <c r="O746" s="711">
        <v>435.28</v>
      </c>
      <c r="P746" s="701">
        <v>0.4</v>
      </c>
      <c r="Q746" s="712">
        <v>217.64</v>
      </c>
    </row>
    <row r="747" spans="1:17" ht="14.4" customHeight="1" x14ac:dyDescent="0.3">
      <c r="A747" s="695" t="s">
        <v>556</v>
      </c>
      <c r="B747" s="696" t="s">
        <v>4707</v>
      </c>
      <c r="C747" s="696" t="s">
        <v>3620</v>
      </c>
      <c r="D747" s="696" t="s">
        <v>3973</v>
      </c>
      <c r="E747" s="696" t="s">
        <v>3972</v>
      </c>
      <c r="F747" s="711">
        <v>1</v>
      </c>
      <c r="G747" s="711">
        <v>265.31</v>
      </c>
      <c r="H747" s="711">
        <v>1</v>
      </c>
      <c r="I747" s="711">
        <v>265.31</v>
      </c>
      <c r="J747" s="711">
        <v>1</v>
      </c>
      <c r="K747" s="711">
        <v>265.31</v>
      </c>
      <c r="L747" s="711">
        <v>1</v>
      </c>
      <c r="M747" s="711">
        <v>265.31</v>
      </c>
      <c r="N747" s="711">
        <v>2</v>
      </c>
      <c r="O747" s="711">
        <v>530.62</v>
      </c>
      <c r="P747" s="701">
        <v>2</v>
      </c>
      <c r="Q747" s="712">
        <v>265.31</v>
      </c>
    </row>
    <row r="748" spans="1:17" ht="14.4" customHeight="1" x14ac:dyDescent="0.3">
      <c r="A748" s="695" t="s">
        <v>556</v>
      </c>
      <c r="B748" s="696" t="s">
        <v>4707</v>
      </c>
      <c r="C748" s="696" t="s">
        <v>3620</v>
      </c>
      <c r="D748" s="696" t="s">
        <v>3976</v>
      </c>
      <c r="E748" s="696" t="s">
        <v>3977</v>
      </c>
      <c r="F748" s="711">
        <v>1</v>
      </c>
      <c r="G748" s="711">
        <v>518.17999999999995</v>
      </c>
      <c r="H748" s="711">
        <v>1</v>
      </c>
      <c r="I748" s="711">
        <v>518.17999999999995</v>
      </c>
      <c r="J748" s="711">
        <v>3</v>
      </c>
      <c r="K748" s="711">
        <v>1554.54</v>
      </c>
      <c r="L748" s="711">
        <v>3</v>
      </c>
      <c r="M748" s="711">
        <v>518.17999999999995</v>
      </c>
      <c r="N748" s="711">
        <v>1</v>
      </c>
      <c r="O748" s="711">
        <v>518.17999999999995</v>
      </c>
      <c r="P748" s="701">
        <v>1</v>
      </c>
      <c r="Q748" s="712">
        <v>518.17999999999995</v>
      </c>
    </row>
    <row r="749" spans="1:17" ht="14.4" customHeight="1" x14ac:dyDescent="0.3">
      <c r="A749" s="695" t="s">
        <v>556</v>
      </c>
      <c r="B749" s="696" t="s">
        <v>4707</v>
      </c>
      <c r="C749" s="696" t="s">
        <v>3620</v>
      </c>
      <c r="D749" s="696" t="s">
        <v>3980</v>
      </c>
      <c r="E749" s="696" t="s">
        <v>3916</v>
      </c>
      <c r="F749" s="711">
        <v>4</v>
      </c>
      <c r="G749" s="711">
        <v>364.8</v>
      </c>
      <c r="H749" s="711">
        <v>1</v>
      </c>
      <c r="I749" s="711">
        <v>91.2</v>
      </c>
      <c r="J749" s="711">
        <v>1</v>
      </c>
      <c r="K749" s="711">
        <v>91.2</v>
      </c>
      <c r="L749" s="711">
        <v>0.25</v>
      </c>
      <c r="M749" s="711">
        <v>91.2</v>
      </c>
      <c r="N749" s="711"/>
      <c r="O749" s="711"/>
      <c r="P749" s="701"/>
      <c r="Q749" s="712"/>
    </row>
    <row r="750" spans="1:17" ht="14.4" customHeight="1" x14ac:dyDescent="0.3">
      <c r="A750" s="695" t="s">
        <v>556</v>
      </c>
      <c r="B750" s="696" t="s">
        <v>4707</v>
      </c>
      <c r="C750" s="696" t="s">
        <v>3620</v>
      </c>
      <c r="D750" s="696" t="s">
        <v>3981</v>
      </c>
      <c r="E750" s="696" t="s">
        <v>3918</v>
      </c>
      <c r="F750" s="711">
        <v>6</v>
      </c>
      <c r="G750" s="711">
        <v>578.28</v>
      </c>
      <c r="H750" s="711">
        <v>1</v>
      </c>
      <c r="I750" s="711">
        <v>96.38</v>
      </c>
      <c r="J750" s="711"/>
      <c r="K750" s="711"/>
      <c r="L750" s="711"/>
      <c r="M750" s="711"/>
      <c r="N750" s="711">
        <v>3</v>
      </c>
      <c r="O750" s="711">
        <v>289.14</v>
      </c>
      <c r="P750" s="701">
        <v>0.5</v>
      </c>
      <c r="Q750" s="712">
        <v>96.38</v>
      </c>
    </row>
    <row r="751" spans="1:17" ht="14.4" customHeight="1" x14ac:dyDescent="0.3">
      <c r="A751" s="695" t="s">
        <v>556</v>
      </c>
      <c r="B751" s="696" t="s">
        <v>4707</v>
      </c>
      <c r="C751" s="696" t="s">
        <v>3620</v>
      </c>
      <c r="D751" s="696" t="s">
        <v>3982</v>
      </c>
      <c r="E751" s="696" t="s">
        <v>3918</v>
      </c>
      <c r="F751" s="711">
        <v>23</v>
      </c>
      <c r="G751" s="711">
        <v>2784.5</v>
      </c>
      <c r="H751" s="711">
        <v>1</v>
      </c>
      <c r="I751" s="711">
        <v>121.06521739130434</v>
      </c>
      <c r="J751" s="711">
        <v>4</v>
      </c>
      <c r="K751" s="711">
        <v>485</v>
      </c>
      <c r="L751" s="711">
        <v>0.17417848805889746</v>
      </c>
      <c r="M751" s="711">
        <v>121.25</v>
      </c>
      <c r="N751" s="711">
        <v>1</v>
      </c>
      <c r="O751" s="711">
        <v>121.25</v>
      </c>
      <c r="P751" s="701">
        <v>4.3544622014724366E-2</v>
      </c>
      <c r="Q751" s="712">
        <v>121.25</v>
      </c>
    </row>
    <row r="752" spans="1:17" ht="14.4" customHeight="1" x14ac:dyDescent="0.3">
      <c r="A752" s="695" t="s">
        <v>556</v>
      </c>
      <c r="B752" s="696" t="s">
        <v>4707</v>
      </c>
      <c r="C752" s="696" t="s">
        <v>3620</v>
      </c>
      <c r="D752" s="696" t="s">
        <v>3983</v>
      </c>
      <c r="E752" s="696" t="s">
        <v>3918</v>
      </c>
      <c r="F752" s="711"/>
      <c r="G752" s="711"/>
      <c r="H752" s="711"/>
      <c r="I752" s="711"/>
      <c r="J752" s="711"/>
      <c r="K752" s="711"/>
      <c r="L752" s="711"/>
      <c r="M752" s="711"/>
      <c r="N752" s="711">
        <v>1</v>
      </c>
      <c r="O752" s="711">
        <v>103.64</v>
      </c>
      <c r="P752" s="701"/>
      <c r="Q752" s="712">
        <v>103.64</v>
      </c>
    </row>
    <row r="753" spans="1:17" ht="14.4" customHeight="1" x14ac:dyDescent="0.3">
      <c r="A753" s="695" t="s">
        <v>556</v>
      </c>
      <c r="B753" s="696" t="s">
        <v>4707</v>
      </c>
      <c r="C753" s="696" t="s">
        <v>3620</v>
      </c>
      <c r="D753" s="696" t="s">
        <v>3985</v>
      </c>
      <c r="E753" s="696" t="s">
        <v>3918</v>
      </c>
      <c r="F753" s="711"/>
      <c r="G753" s="711"/>
      <c r="H753" s="711"/>
      <c r="I753" s="711"/>
      <c r="J753" s="711"/>
      <c r="K753" s="711"/>
      <c r="L753" s="711"/>
      <c r="M753" s="711"/>
      <c r="N753" s="711">
        <v>1</v>
      </c>
      <c r="O753" s="711">
        <v>172.04</v>
      </c>
      <c r="P753" s="701"/>
      <c r="Q753" s="712">
        <v>172.04</v>
      </c>
    </row>
    <row r="754" spans="1:17" ht="14.4" customHeight="1" x14ac:dyDescent="0.3">
      <c r="A754" s="695" t="s">
        <v>556</v>
      </c>
      <c r="B754" s="696" t="s">
        <v>4707</v>
      </c>
      <c r="C754" s="696" t="s">
        <v>3620</v>
      </c>
      <c r="D754" s="696" t="s">
        <v>3986</v>
      </c>
      <c r="E754" s="696" t="s">
        <v>3918</v>
      </c>
      <c r="F754" s="711"/>
      <c r="G754" s="711"/>
      <c r="H754" s="711"/>
      <c r="I754" s="711"/>
      <c r="J754" s="711">
        <v>6</v>
      </c>
      <c r="K754" s="711">
        <v>540.96</v>
      </c>
      <c r="L754" s="711"/>
      <c r="M754" s="711">
        <v>90.160000000000011</v>
      </c>
      <c r="N754" s="711">
        <v>2</v>
      </c>
      <c r="O754" s="711">
        <v>180.32</v>
      </c>
      <c r="P754" s="701"/>
      <c r="Q754" s="712">
        <v>90.16</v>
      </c>
    </row>
    <row r="755" spans="1:17" ht="14.4" customHeight="1" x14ac:dyDescent="0.3">
      <c r="A755" s="695" t="s">
        <v>556</v>
      </c>
      <c r="B755" s="696" t="s">
        <v>4707</v>
      </c>
      <c r="C755" s="696" t="s">
        <v>3620</v>
      </c>
      <c r="D755" s="696" t="s">
        <v>4735</v>
      </c>
      <c r="E755" s="696" t="s">
        <v>4736</v>
      </c>
      <c r="F755" s="711">
        <v>1</v>
      </c>
      <c r="G755" s="711">
        <v>152.69999999999999</v>
      </c>
      <c r="H755" s="711">
        <v>1</v>
      </c>
      <c r="I755" s="711">
        <v>152.69999999999999</v>
      </c>
      <c r="J755" s="711"/>
      <c r="K755" s="711"/>
      <c r="L755" s="711"/>
      <c r="M755" s="711"/>
      <c r="N755" s="711"/>
      <c r="O755" s="711"/>
      <c r="P755" s="701"/>
      <c r="Q755" s="712"/>
    </row>
    <row r="756" spans="1:17" ht="14.4" customHeight="1" x14ac:dyDescent="0.3">
      <c r="A756" s="695" t="s">
        <v>556</v>
      </c>
      <c r="B756" s="696" t="s">
        <v>4707</v>
      </c>
      <c r="C756" s="696" t="s">
        <v>3620</v>
      </c>
      <c r="D756" s="696" t="s">
        <v>4737</v>
      </c>
      <c r="E756" s="696" t="s">
        <v>4738</v>
      </c>
      <c r="F756" s="711">
        <v>1</v>
      </c>
      <c r="G756" s="711">
        <v>1767</v>
      </c>
      <c r="H756" s="711">
        <v>1</v>
      </c>
      <c r="I756" s="711">
        <v>1767</v>
      </c>
      <c r="J756" s="711">
        <v>1</v>
      </c>
      <c r="K756" s="711">
        <v>1831.25</v>
      </c>
      <c r="L756" s="711">
        <v>1.0363610639501981</v>
      </c>
      <c r="M756" s="711">
        <v>1831.25</v>
      </c>
      <c r="N756" s="711"/>
      <c r="O756" s="711"/>
      <c r="P756" s="701"/>
      <c r="Q756" s="712"/>
    </row>
    <row r="757" spans="1:17" ht="14.4" customHeight="1" x14ac:dyDescent="0.3">
      <c r="A757" s="695" t="s">
        <v>556</v>
      </c>
      <c r="B757" s="696" t="s">
        <v>4707</v>
      </c>
      <c r="C757" s="696" t="s">
        <v>3620</v>
      </c>
      <c r="D757" s="696" t="s">
        <v>4739</v>
      </c>
      <c r="E757" s="696" t="s">
        <v>4740</v>
      </c>
      <c r="F757" s="711">
        <v>1</v>
      </c>
      <c r="G757" s="711">
        <v>12237</v>
      </c>
      <c r="H757" s="711">
        <v>1</v>
      </c>
      <c r="I757" s="711">
        <v>12237</v>
      </c>
      <c r="J757" s="711">
        <v>1</v>
      </c>
      <c r="K757" s="711">
        <v>12681.98</v>
      </c>
      <c r="L757" s="711">
        <v>1.0363634877829533</v>
      </c>
      <c r="M757" s="711">
        <v>12681.98</v>
      </c>
      <c r="N757" s="711"/>
      <c r="O757" s="711"/>
      <c r="P757" s="701"/>
      <c r="Q757" s="712"/>
    </row>
    <row r="758" spans="1:17" ht="14.4" customHeight="1" x14ac:dyDescent="0.3">
      <c r="A758" s="695" t="s">
        <v>556</v>
      </c>
      <c r="B758" s="696" t="s">
        <v>4707</v>
      </c>
      <c r="C758" s="696" t="s">
        <v>3620</v>
      </c>
      <c r="D758" s="696" t="s">
        <v>3999</v>
      </c>
      <c r="E758" s="696" t="s">
        <v>4000</v>
      </c>
      <c r="F758" s="711"/>
      <c r="G758" s="711"/>
      <c r="H758" s="711"/>
      <c r="I758" s="711"/>
      <c r="J758" s="711"/>
      <c r="K758" s="711"/>
      <c r="L758" s="711"/>
      <c r="M758" s="711"/>
      <c r="N758" s="711">
        <v>2</v>
      </c>
      <c r="O758" s="711">
        <v>9980</v>
      </c>
      <c r="P758" s="701"/>
      <c r="Q758" s="712">
        <v>4990</v>
      </c>
    </row>
    <row r="759" spans="1:17" ht="14.4" customHeight="1" x14ac:dyDescent="0.3">
      <c r="A759" s="695" t="s">
        <v>556</v>
      </c>
      <c r="B759" s="696" t="s">
        <v>4707</v>
      </c>
      <c r="C759" s="696" t="s">
        <v>3620</v>
      </c>
      <c r="D759" s="696" t="s">
        <v>4009</v>
      </c>
      <c r="E759" s="696" t="s">
        <v>4010</v>
      </c>
      <c r="F759" s="711"/>
      <c r="G759" s="711"/>
      <c r="H759" s="711"/>
      <c r="I759" s="711"/>
      <c r="J759" s="711">
        <v>1</v>
      </c>
      <c r="K759" s="711">
        <v>2834.45</v>
      </c>
      <c r="L759" s="711"/>
      <c r="M759" s="711">
        <v>2834.45</v>
      </c>
      <c r="N759" s="711"/>
      <c r="O759" s="711"/>
      <c r="P759" s="701"/>
      <c r="Q759" s="712"/>
    </row>
    <row r="760" spans="1:17" ht="14.4" customHeight="1" x14ac:dyDescent="0.3">
      <c r="A760" s="695" t="s">
        <v>556</v>
      </c>
      <c r="B760" s="696" t="s">
        <v>4707</v>
      </c>
      <c r="C760" s="696" t="s">
        <v>3620</v>
      </c>
      <c r="D760" s="696" t="s">
        <v>4011</v>
      </c>
      <c r="E760" s="696" t="s">
        <v>4010</v>
      </c>
      <c r="F760" s="711"/>
      <c r="G760" s="711"/>
      <c r="H760" s="711"/>
      <c r="I760" s="711"/>
      <c r="J760" s="711"/>
      <c r="K760" s="711"/>
      <c r="L760" s="711"/>
      <c r="M760" s="711"/>
      <c r="N760" s="711">
        <v>1</v>
      </c>
      <c r="O760" s="711">
        <v>4301.95</v>
      </c>
      <c r="P760" s="701"/>
      <c r="Q760" s="712">
        <v>4301.95</v>
      </c>
    </row>
    <row r="761" spans="1:17" ht="14.4" customHeight="1" x14ac:dyDescent="0.3">
      <c r="A761" s="695" t="s">
        <v>556</v>
      </c>
      <c r="B761" s="696" t="s">
        <v>4707</v>
      </c>
      <c r="C761" s="696" t="s">
        <v>3620</v>
      </c>
      <c r="D761" s="696" t="s">
        <v>4014</v>
      </c>
      <c r="E761" s="696" t="s">
        <v>4015</v>
      </c>
      <c r="F761" s="711">
        <v>5</v>
      </c>
      <c r="G761" s="711">
        <v>6238.9</v>
      </c>
      <c r="H761" s="711">
        <v>1</v>
      </c>
      <c r="I761" s="711">
        <v>1247.78</v>
      </c>
      <c r="J761" s="711"/>
      <c r="K761" s="711"/>
      <c r="L761" s="711"/>
      <c r="M761" s="711"/>
      <c r="N761" s="711"/>
      <c r="O761" s="711"/>
      <c r="P761" s="701"/>
      <c r="Q761" s="712"/>
    </row>
    <row r="762" spans="1:17" ht="14.4" customHeight="1" x14ac:dyDescent="0.3">
      <c r="A762" s="695" t="s">
        <v>556</v>
      </c>
      <c r="B762" s="696" t="s">
        <v>4707</v>
      </c>
      <c r="C762" s="696" t="s">
        <v>3620</v>
      </c>
      <c r="D762" s="696" t="s">
        <v>4016</v>
      </c>
      <c r="E762" s="696" t="s">
        <v>4015</v>
      </c>
      <c r="F762" s="711">
        <v>11</v>
      </c>
      <c r="G762" s="711">
        <v>15541.01</v>
      </c>
      <c r="H762" s="711">
        <v>1</v>
      </c>
      <c r="I762" s="711">
        <v>1412.8190909090908</v>
      </c>
      <c r="J762" s="711">
        <v>4</v>
      </c>
      <c r="K762" s="711">
        <v>5687.56</v>
      </c>
      <c r="L762" s="711">
        <v>0.36597106623057318</v>
      </c>
      <c r="M762" s="711">
        <v>1421.89</v>
      </c>
      <c r="N762" s="711">
        <v>3</v>
      </c>
      <c r="O762" s="711">
        <v>4265.67</v>
      </c>
      <c r="P762" s="701">
        <v>0.27447829967292986</v>
      </c>
      <c r="Q762" s="712">
        <v>1421.89</v>
      </c>
    </row>
    <row r="763" spans="1:17" ht="14.4" customHeight="1" x14ac:dyDescent="0.3">
      <c r="A763" s="695" t="s">
        <v>556</v>
      </c>
      <c r="B763" s="696" t="s">
        <v>4707</v>
      </c>
      <c r="C763" s="696" t="s">
        <v>3620</v>
      </c>
      <c r="D763" s="696" t="s">
        <v>4017</v>
      </c>
      <c r="E763" s="696" t="s">
        <v>4015</v>
      </c>
      <c r="F763" s="711">
        <v>13</v>
      </c>
      <c r="G763" s="711">
        <v>21413.21</v>
      </c>
      <c r="H763" s="711">
        <v>1</v>
      </c>
      <c r="I763" s="711">
        <v>1647.1699999999998</v>
      </c>
      <c r="J763" s="711">
        <v>5</v>
      </c>
      <c r="K763" s="711">
        <v>8280.5499999999993</v>
      </c>
      <c r="L763" s="711">
        <v>0.38670288107201112</v>
      </c>
      <c r="M763" s="711">
        <v>1656.11</v>
      </c>
      <c r="N763" s="711"/>
      <c r="O763" s="711"/>
      <c r="P763" s="701"/>
      <c r="Q763" s="712"/>
    </row>
    <row r="764" spans="1:17" ht="14.4" customHeight="1" x14ac:dyDescent="0.3">
      <c r="A764" s="695" t="s">
        <v>556</v>
      </c>
      <c r="B764" s="696" t="s">
        <v>4707</v>
      </c>
      <c r="C764" s="696" t="s">
        <v>3620</v>
      </c>
      <c r="D764" s="696" t="s">
        <v>4018</v>
      </c>
      <c r="E764" s="696" t="s">
        <v>4015</v>
      </c>
      <c r="F764" s="711">
        <v>1</v>
      </c>
      <c r="G764" s="711">
        <v>1717</v>
      </c>
      <c r="H764" s="711">
        <v>1</v>
      </c>
      <c r="I764" s="711">
        <v>1717</v>
      </c>
      <c r="J764" s="711"/>
      <c r="K764" s="711"/>
      <c r="L764" s="711"/>
      <c r="M764" s="711"/>
      <c r="N764" s="711"/>
      <c r="O764" s="711"/>
      <c r="P764" s="701"/>
      <c r="Q764" s="712"/>
    </row>
    <row r="765" spans="1:17" ht="14.4" customHeight="1" x14ac:dyDescent="0.3">
      <c r="A765" s="695" t="s">
        <v>556</v>
      </c>
      <c r="B765" s="696" t="s">
        <v>4707</v>
      </c>
      <c r="C765" s="696" t="s">
        <v>3620</v>
      </c>
      <c r="D765" s="696" t="s">
        <v>4022</v>
      </c>
      <c r="E765" s="696" t="s">
        <v>4023</v>
      </c>
      <c r="F765" s="711"/>
      <c r="G765" s="711"/>
      <c r="H765" s="711"/>
      <c r="I765" s="711"/>
      <c r="J765" s="711">
        <v>4</v>
      </c>
      <c r="K765" s="711">
        <v>5679.28</v>
      </c>
      <c r="L765" s="711"/>
      <c r="M765" s="711">
        <v>1419.82</v>
      </c>
      <c r="N765" s="711"/>
      <c r="O765" s="711"/>
      <c r="P765" s="701"/>
      <c r="Q765" s="712"/>
    </row>
    <row r="766" spans="1:17" ht="14.4" customHeight="1" x14ac:dyDescent="0.3">
      <c r="A766" s="695" t="s">
        <v>556</v>
      </c>
      <c r="B766" s="696" t="s">
        <v>4707</v>
      </c>
      <c r="C766" s="696" t="s">
        <v>3620</v>
      </c>
      <c r="D766" s="696" t="s">
        <v>4024</v>
      </c>
      <c r="E766" s="696" t="s">
        <v>4023</v>
      </c>
      <c r="F766" s="711"/>
      <c r="G766" s="711"/>
      <c r="H766" s="711"/>
      <c r="I766" s="711"/>
      <c r="J766" s="711">
        <v>4</v>
      </c>
      <c r="K766" s="711">
        <v>6189.16</v>
      </c>
      <c r="L766" s="711"/>
      <c r="M766" s="711">
        <v>1547.29</v>
      </c>
      <c r="N766" s="711"/>
      <c r="O766" s="711"/>
      <c r="P766" s="701"/>
      <c r="Q766" s="712"/>
    </row>
    <row r="767" spans="1:17" ht="14.4" customHeight="1" x14ac:dyDescent="0.3">
      <c r="A767" s="695" t="s">
        <v>556</v>
      </c>
      <c r="B767" s="696" t="s">
        <v>4707</v>
      </c>
      <c r="C767" s="696" t="s">
        <v>3620</v>
      </c>
      <c r="D767" s="696" t="s">
        <v>4025</v>
      </c>
      <c r="E767" s="696" t="s">
        <v>4023</v>
      </c>
      <c r="F767" s="711"/>
      <c r="G767" s="711"/>
      <c r="H767" s="711"/>
      <c r="I767" s="711"/>
      <c r="J767" s="711">
        <v>1</v>
      </c>
      <c r="K767" s="711">
        <v>1644.71</v>
      </c>
      <c r="L767" s="711"/>
      <c r="M767" s="711">
        <v>1644.71</v>
      </c>
      <c r="N767" s="711"/>
      <c r="O767" s="711"/>
      <c r="P767" s="701"/>
      <c r="Q767" s="712"/>
    </row>
    <row r="768" spans="1:17" ht="14.4" customHeight="1" x14ac:dyDescent="0.3">
      <c r="A768" s="695" t="s">
        <v>556</v>
      </c>
      <c r="B768" s="696" t="s">
        <v>4707</v>
      </c>
      <c r="C768" s="696" t="s">
        <v>3620</v>
      </c>
      <c r="D768" s="696" t="s">
        <v>4741</v>
      </c>
      <c r="E768" s="696" t="s">
        <v>4742</v>
      </c>
      <c r="F768" s="711"/>
      <c r="G768" s="711"/>
      <c r="H768" s="711"/>
      <c r="I768" s="711"/>
      <c r="J768" s="711"/>
      <c r="K768" s="711"/>
      <c r="L768" s="711"/>
      <c r="M768" s="711"/>
      <c r="N768" s="711">
        <v>1</v>
      </c>
      <c r="O768" s="711">
        <v>4587.1499999999996</v>
      </c>
      <c r="P768" s="701"/>
      <c r="Q768" s="712">
        <v>4587.1499999999996</v>
      </c>
    </row>
    <row r="769" spans="1:17" ht="14.4" customHeight="1" x14ac:dyDescent="0.3">
      <c r="A769" s="695" t="s">
        <v>556</v>
      </c>
      <c r="B769" s="696" t="s">
        <v>4707</v>
      </c>
      <c r="C769" s="696" t="s">
        <v>3620</v>
      </c>
      <c r="D769" s="696" t="s">
        <v>4032</v>
      </c>
      <c r="E769" s="696" t="s">
        <v>4033</v>
      </c>
      <c r="F769" s="711"/>
      <c r="G769" s="711"/>
      <c r="H769" s="711"/>
      <c r="I769" s="711"/>
      <c r="J769" s="711">
        <v>10</v>
      </c>
      <c r="K769" s="711">
        <v>7892.9</v>
      </c>
      <c r="L769" s="711"/>
      <c r="M769" s="711">
        <v>789.29</v>
      </c>
      <c r="N769" s="711">
        <v>9</v>
      </c>
      <c r="O769" s="711">
        <v>7103.61</v>
      </c>
      <c r="P769" s="701"/>
      <c r="Q769" s="712">
        <v>789.29</v>
      </c>
    </row>
    <row r="770" spans="1:17" ht="14.4" customHeight="1" x14ac:dyDescent="0.3">
      <c r="A770" s="695" t="s">
        <v>556</v>
      </c>
      <c r="B770" s="696" t="s">
        <v>4707</v>
      </c>
      <c r="C770" s="696" t="s">
        <v>3620</v>
      </c>
      <c r="D770" s="696" t="s">
        <v>4042</v>
      </c>
      <c r="E770" s="696" t="s">
        <v>4023</v>
      </c>
      <c r="F770" s="711"/>
      <c r="G770" s="711"/>
      <c r="H770" s="711"/>
      <c r="I770" s="711"/>
      <c r="J770" s="711">
        <v>3</v>
      </c>
      <c r="K770" s="711">
        <v>3824.19</v>
      </c>
      <c r="L770" s="711"/>
      <c r="M770" s="711">
        <v>1274.73</v>
      </c>
      <c r="N770" s="711"/>
      <c r="O770" s="711"/>
      <c r="P770" s="701"/>
      <c r="Q770" s="712"/>
    </row>
    <row r="771" spans="1:17" ht="14.4" customHeight="1" x14ac:dyDescent="0.3">
      <c r="A771" s="695" t="s">
        <v>556</v>
      </c>
      <c r="B771" s="696" t="s">
        <v>4707</v>
      </c>
      <c r="C771" s="696" t="s">
        <v>3620</v>
      </c>
      <c r="D771" s="696" t="s">
        <v>4043</v>
      </c>
      <c r="E771" s="696" t="s">
        <v>4044</v>
      </c>
      <c r="F771" s="711"/>
      <c r="G771" s="711"/>
      <c r="H771" s="711"/>
      <c r="I771" s="711"/>
      <c r="J771" s="711">
        <v>2</v>
      </c>
      <c r="K771" s="711">
        <v>25281.06</v>
      </c>
      <c r="L771" s="711"/>
      <c r="M771" s="711">
        <v>12640.53</v>
      </c>
      <c r="N771" s="711"/>
      <c r="O771" s="711"/>
      <c r="P771" s="701"/>
      <c r="Q771" s="712"/>
    </row>
    <row r="772" spans="1:17" ht="14.4" customHeight="1" x14ac:dyDescent="0.3">
      <c r="A772" s="695" t="s">
        <v>556</v>
      </c>
      <c r="B772" s="696" t="s">
        <v>4707</v>
      </c>
      <c r="C772" s="696" t="s">
        <v>3620</v>
      </c>
      <c r="D772" s="696" t="s">
        <v>4047</v>
      </c>
      <c r="E772" s="696" t="s">
        <v>4048</v>
      </c>
      <c r="F772" s="711">
        <v>1</v>
      </c>
      <c r="G772" s="711">
        <v>12015</v>
      </c>
      <c r="H772" s="711">
        <v>1</v>
      </c>
      <c r="I772" s="711">
        <v>12015</v>
      </c>
      <c r="J772" s="711"/>
      <c r="K772" s="711"/>
      <c r="L772" s="711"/>
      <c r="M772" s="711"/>
      <c r="N772" s="711"/>
      <c r="O772" s="711"/>
      <c r="P772" s="701"/>
      <c r="Q772" s="712"/>
    </row>
    <row r="773" spans="1:17" ht="14.4" customHeight="1" x14ac:dyDescent="0.3">
      <c r="A773" s="695" t="s">
        <v>556</v>
      </c>
      <c r="B773" s="696" t="s">
        <v>4707</v>
      </c>
      <c r="C773" s="696" t="s">
        <v>3620</v>
      </c>
      <c r="D773" s="696" t="s">
        <v>4050</v>
      </c>
      <c r="E773" s="696" t="s">
        <v>4046</v>
      </c>
      <c r="F773" s="711">
        <v>4</v>
      </c>
      <c r="G773" s="711">
        <v>5088</v>
      </c>
      <c r="H773" s="711">
        <v>1</v>
      </c>
      <c r="I773" s="711">
        <v>1272</v>
      </c>
      <c r="J773" s="711"/>
      <c r="K773" s="711"/>
      <c r="L773" s="711"/>
      <c r="M773" s="711"/>
      <c r="N773" s="711"/>
      <c r="O773" s="711"/>
      <c r="P773" s="701"/>
      <c r="Q773" s="712"/>
    </row>
    <row r="774" spans="1:17" ht="14.4" customHeight="1" x14ac:dyDescent="0.3">
      <c r="A774" s="695" t="s">
        <v>556</v>
      </c>
      <c r="B774" s="696" t="s">
        <v>4707</v>
      </c>
      <c r="C774" s="696" t="s">
        <v>3620</v>
      </c>
      <c r="D774" s="696" t="s">
        <v>4053</v>
      </c>
      <c r="E774" s="696" t="s">
        <v>4054</v>
      </c>
      <c r="F774" s="711">
        <v>1</v>
      </c>
      <c r="G774" s="711">
        <v>10628.95</v>
      </c>
      <c r="H774" s="711">
        <v>1</v>
      </c>
      <c r="I774" s="711">
        <v>10628.95</v>
      </c>
      <c r="J774" s="711">
        <v>1</v>
      </c>
      <c r="K774" s="711">
        <v>10628.95</v>
      </c>
      <c r="L774" s="711">
        <v>1</v>
      </c>
      <c r="M774" s="711">
        <v>10628.95</v>
      </c>
      <c r="N774" s="711"/>
      <c r="O774" s="711"/>
      <c r="P774" s="701"/>
      <c r="Q774" s="712"/>
    </row>
    <row r="775" spans="1:17" ht="14.4" customHeight="1" x14ac:dyDescent="0.3">
      <c r="A775" s="695" t="s">
        <v>556</v>
      </c>
      <c r="B775" s="696" t="s">
        <v>4707</v>
      </c>
      <c r="C775" s="696" t="s">
        <v>3620</v>
      </c>
      <c r="D775" s="696" t="s">
        <v>4065</v>
      </c>
      <c r="E775" s="696" t="s">
        <v>4066</v>
      </c>
      <c r="F775" s="711">
        <v>4</v>
      </c>
      <c r="G775" s="711">
        <v>4380.92</v>
      </c>
      <c r="H775" s="711">
        <v>1</v>
      </c>
      <c r="I775" s="711">
        <v>1095.23</v>
      </c>
      <c r="J775" s="711">
        <v>1</v>
      </c>
      <c r="K775" s="711">
        <v>1095.23</v>
      </c>
      <c r="L775" s="711">
        <v>0.25</v>
      </c>
      <c r="M775" s="711">
        <v>1095.23</v>
      </c>
      <c r="N775" s="711">
        <v>2</v>
      </c>
      <c r="O775" s="711">
        <v>2190.46</v>
      </c>
      <c r="P775" s="701">
        <v>0.5</v>
      </c>
      <c r="Q775" s="712">
        <v>1095.23</v>
      </c>
    </row>
    <row r="776" spans="1:17" ht="14.4" customHeight="1" x14ac:dyDescent="0.3">
      <c r="A776" s="695" t="s">
        <v>556</v>
      </c>
      <c r="B776" s="696" t="s">
        <v>4707</v>
      </c>
      <c r="C776" s="696" t="s">
        <v>3620</v>
      </c>
      <c r="D776" s="696" t="s">
        <v>4067</v>
      </c>
      <c r="E776" s="696" t="s">
        <v>4068</v>
      </c>
      <c r="F776" s="711">
        <v>1</v>
      </c>
      <c r="G776" s="711">
        <v>11674</v>
      </c>
      <c r="H776" s="711">
        <v>1</v>
      </c>
      <c r="I776" s="711">
        <v>11674</v>
      </c>
      <c r="J776" s="711"/>
      <c r="K776" s="711"/>
      <c r="L776" s="711"/>
      <c r="M776" s="711"/>
      <c r="N776" s="711">
        <v>1</v>
      </c>
      <c r="O776" s="711">
        <v>11674</v>
      </c>
      <c r="P776" s="701">
        <v>1</v>
      </c>
      <c r="Q776" s="712">
        <v>11674</v>
      </c>
    </row>
    <row r="777" spans="1:17" ht="14.4" customHeight="1" x14ac:dyDescent="0.3">
      <c r="A777" s="695" t="s">
        <v>556</v>
      </c>
      <c r="B777" s="696" t="s">
        <v>4707</v>
      </c>
      <c r="C777" s="696" t="s">
        <v>3620</v>
      </c>
      <c r="D777" s="696" t="s">
        <v>4069</v>
      </c>
      <c r="E777" s="696" t="s">
        <v>4070</v>
      </c>
      <c r="F777" s="711">
        <v>12</v>
      </c>
      <c r="G777" s="711">
        <v>10832.039999999999</v>
      </c>
      <c r="H777" s="711">
        <v>1</v>
      </c>
      <c r="I777" s="711">
        <v>902.67</v>
      </c>
      <c r="J777" s="711">
        <v>5</v>
      </c>
      <c r="K777" s="711">
        <v>4513.3500000000004</v>
      </c>
      <c r="L777" s="711">
        <v>0.41666666666666674</v>
      </c>
      <c r="M777" s="711">
        <v>902.67000000000007</v>
      </c>
      <c r="N777" s="711">
        <v>7</v>
      </c>
      <c r="O777" s="711">
        <v>6318.6900000000005</v>
      </c>
      <c r="P777" s="701">
        <v>0.58333333333333348</v>
      </c>
      <c r="Q777" s="712">
        <v>902.67000000000007</v>
      </c>
    </row>
    <row r="778" spans="1:17" ht="14.4" customHeight="1" x14ac:dyDescent="0.3">
      <c r="A778" s="695" t="s">
        <v>556</v>
      </c>
      <c r="B778" s="696" t="s">
        <v>4707</v>
      </c>
      <c r="C778" s="696" t="s">
        <v>3620</v>
      </c>
      <c r="D778" s="696" t="s">
        <v>4071</v>
      </c>
      <c r="E778" s="696" t="s">
        <v>4070</v>
      </c>
      <c r="F778" s="711">
        <v>12</v>
      </c>
      <c r="G778" s="711">
        <v>12353.04</v>
      </c>
      <c r="H778" s="711">
        <v>1</v>
      </c>
      <c r="I778" s="711">
        <v>1029.42</v>
      </c>
      <c r="J778" s="711">
        <v>5</v>
      </c>
      <c r="K778" s="711">
        <v>5147.1000000000004</v>
      </c>
      <c r="L778" s="711">
        <v>0.41666666666666669</v>
      </c>
      <c r="M778" s="711">
        <v>1029.42</v>
      </c>
      <c r="N778" s="711">
        <v>5</v>
      </c>
      <c r="O778" s="711">
        <v>5147.1000000000004</v>
      </c>
      <c r="P778" s="701">
        <v>0.41666666666666669</v>
      </c>
      <c r="Q778" s="712">
        <v>1029.42</v>
      </c>
    </row>
    <row r="779" spans="1:17" ht="14.4" customHeight="1" x14ac:dyDescent="0.3">
      <c r="A779" s="695" t="s">
        <v>556</v>
      </c>
      <c r="B779" s="696" t="s">
        <v>4707</v>
      </c>
      <c r="C779" s="696" t="s">
        <v>3620</v>
      </c>
      <c r="D779" s="696" t="s">
        <v>4743</v>
      </c>
      <c r="E779" s="696" t="s">
        <v>4744</v>
      </c>
      <c r="F779" s="711">
        <v>2</v>
      </c>
      <c r="G779" s="711">
        <v>2074.38</v>
      </c>
      <c r="H779" s="711">
        <v>1</v>
      </c>
      <c r="I779" s="711">
        <v>1037.19</v>
      </c>
      <c r="J779" s="711">
        <v>3</v>
      </c>
      <c r="K779" s="711">
        <v>3111.57</v>
      </c>
      <c r="L779" s="711">
        <v>1.5</v>
      </c>
      <c r="M779" s="711">
        <v>1037.19</v>
      </c>
      <c r="N779" s="711"/>
      <c r="O779" s="711"/>
      <c r="P779" s="701"/>
      <c r="Q779" s="712"/>
    </row>
    <row r="780" spans="1:17" ht="14.4" customHeight="1" x14ac:dyDescent="0.3">
      <c r="A780" s="695" t="s">
        <v>556</v>
      </c>
      <c r="B780" s="696" t="s">
        <v>4707</v>
      </c>
      <c r="C780" s="696" t="s">
        <v>3620</v>
      </c>
      <c r="D780" s="696" t="s">
        <v>4072</v>
      </c>
      <c r="E780" s="696" t="s">
        <v>4073</v>
      </c>
      <c r="F780" s="711">
        <v>3</v>
      </c>
      <c r="G780" s="711">
        <v>28513.47</v>
      </c>
      <c r="H780" s="711">
        <v>1</v>
      </c>
      <c r="I780" s="711">
        <v>9504.49</v>
      </c>
      <c r="J780" s="711">
        <v>1</v>
      </c>
      <c r="K780" s="711">
        <v>9504.49</v>
      </c>
      <c r="L780" s="711">
        <v>0.33333333333333331</v>
      </c>
      <c r="M780" s="711">
        <v>9504.49</v>
      </c>
      <c r="N780" s="711">
        <v>2</v>
      </c>
      <c r="O780" s="711">
        <v>19008.98</v>
      </c>
      <c r="P780" s="701">
        <v>0.66666666666666663</v>
      </c>
      <c r="Q780" s="712">
        <v>9504.49</v>
      </c>
    </row>
    <row r="781" spans="1:17" ht="14.4" customHeight="1" x14ac:dyDescent="0.3">
      <c r="A781" s="695" t="s">
        <v>556</v>
      </c>
      <c r="B781" s="696" t="s">
        <v>4707</v>
      </c>
      <c r="C781" s="696" t="s">
        <v>3620</v>
      </c>
      <c r="D781" s="696" t="s">
        <v>4082</v>
      </c>
      <c r="E781" s="696" t="s">
        <v>4083</v>
      </c>
      <c r="F781" s="711"/>
      <c r="G781" s="711"/>
      <c r="H781" s="711"/>
      <c r="I781" s="711"/>
      <c r="J781" s="711"/>
      <c r="K781" s="711"/>
      <c r="L781" s="711"/>
      <c r="M781" s="711"/>
      <c r="N781" s="711">
        <v>1</v>
      </c>
      <c r="O781" s="711">
        <v>612.49</v>
      </c>
      <c r="P781" s="701"/>
      <c r="Q781" s="712">
        <v>612.49</v>
      </c>
    </row>
    <row r="782" spans="1:17" ht="14.4" customHeight="1" x14ac:dyDescent="0.3">
      <c r="A782" s="695" t="s">
        <v>556</v>
      </c>
      <c r="B782" s="696" t="s">
        <v>4707</v>
      </c>
      <c r="C782" s="696" t="s">
        <v>3620</v>
      </c>
      <c r="D782" s="696" t="s">
        <v>4085</v>
      </c>
      <c r="E782" s="696" t="s">
        <v>4086</v>
      </c>
      <c r="F782" s="711"/>
      <c r="G782" s="711"/>
      <c r="H782" s="711"/>
      <c r="I782" s="711"/>
      <c r="J782" s="711"/>
      <c r="K782" s="711"/>
      <c r="L782" s="711"/>
      <c r="M782" s="711"/>
      <c r="N782" s="711">
        <v>1</v>
      </c>
      <c r="O782" s="711">
        <v>893.35</v>
      </c>
      <c r="P782" s="701"/>
      <c r="Q782" s="712">
        <v>893.35</v>
      </c>
    </row>
    <row r="783" spans="1:17" ht="14.4" customHeight="1" x14ac:dyDescent="0.3">
      <c r="A783" s="695" t="s">
        <v>556</v>
      </c>
      <c r="B783" s="696" t="s">
        <v>4707</v>
      </c>
      <c r="C783" s="696" t="s">
        <v>3620</v>
      </c>
      <c r="D783" s="696" t="s">
        <v>4088</v>
      </c>
      <c r="E783" s="696" t="s">
        <v>4089</v>
      </c>
      <c r="F783" s="711"/>
      <c r="G783" s="711"/>
      <c r="H783" s="711"/>
      <c r="I783" s="711"/>
      <c r="J783" s="711"/>
      <c r="K783" s="711"/>
      <c r="L783" s="711"/>
      <c r="M783" s="711"/>
      <c r="N783" s="711">
        <v>1</v>
      </c>
      <c r="O783" s="711">
        <v>620.78</v>
      </c>
      <c r="P783" s="701"/>
      <c r="Q783" s="712">
        <v>620.78</v>
      </c>
    </row>
    <row r="784" spans="1:17" ht="14.4" customHeight="1" x14ac:dyDescent="0.3">
      <c r="A784" s="695" t="s">
        <v>556</v>
      </c>
      <c r="B784" s="696" t="s">
        <v>4707</v>
      </c>
      <c r="C784" s="696" t="s">
        <v>3620</v>
      </c>
      <c r="D784" s="696" t="s">
        <v>4095</v>
      </c>
      <c r="E784" s="696" t="s">
        <v>4094</v>
      </c>
      <c r="F784" s="711">
        <v>6</v>
      </c>
      <c r="G784" s="711">
        <v>3876</v>
      </c>
      <c r="H784" s="711">
        <v>1</v>
      </c>
      <c r="I784" s="711">
        <v>646</v>
      </c>
      <c r="J784" s="711"/>
      <c r="K784" s="711"/>
      <c r="L784" s="711"/>
      <c r="M784" s="711"/>
      <c r="N784" s="711"/>
      <c r="O784" s="711"/>
      <c r="P784" s="701"/>
      <c r="Q784" s="712"/>
    </row>
    <row r="785" spans="1:17" ht="14.4" customHeight="1" x14ac:dyDescent="0.3">
      <c r="A785" s="695" t="s">
        <v>556</v>
      </c>
      <c r="B785" s="696" t="s">
        <v>4707</v>
      </c>
      <c r="C785" s="696" t="s">
        <v>3620</v>
      </c>
      <c r="D785" s="696" t="s">
        <v>4745</v>
      </c>
      <c r="E785" s="696" t="s">
        <v>4746</v>
      </c>
      <c r="F785" s="711"/>
      <c r="G785" s="711"/>
      <c r="H785" s="711"/>
      <c r="I785" s="711"/>
      <c r="J785" s="711"/>
      <c r="K785" s="711"/>
      <c r="L785" s="711"/>
      <c r="M785" s="711"/>
      <c r="N785" s="711">
        <v>1</v>
      </c>
      <c r="O785" s="711">
        <v>10124.24</v>
      </c>
      <c r="P785" s="701"/>
      <c r="Q785" s="712">
        <v>10124.24</v>
      </c>
    </row>
    <row r="786" spans="1:17" ht="14.4" customHeight="1" x14ac:dyDescent="0.3">
      <c r="A786" s="695" t="s">
        <v>556</v>
      </c>
      <c r="B786" s="696" t="s">
        <v>4707</v>
      </c>
      <c r="C786" s="696" t="s">
        <v>3620</v>
      </c>
      <c r="D786" s="696" t="s">
        <v>4747</v>
      </c>
      <c r="E786" s="696" t="s">
        <v>4748</v>
      </c>
      <c r="F786" s="711"/>
      <c r="G786" s="711"/>
      <c r="H786" s="711"/>
      <c r="I786" s="711"/>
      <c r="J786" s="711">
        <v>1</v>
      </c>
      <c r="K786" s="711">
        <v>1796</v>
      </c>
      <c r="L786" s="711"/>
      <c r="M786" s="711">
        <v>1796</v>
      </c>
      <c r="N786" s="711"/>
      <c r="O786" s="711"/>
      <c r="P786" s="701"/>
      <c r="Q786" s="712"/>
    </row>
    <row r="787" spans="1:17" ht="14.4" customHeight="1" x14ac:dyDescent="0.3">
      <c r="A787" s="695" t="s">
        <v>556</v>
      </c>
      <c r="B787" s="696" t="s">
        <v>4707</v>
      </c>
      <c r="C787" s="696" t="s">
        <v>3620</v>
      </c>
      <c r="D787" s="696" t="s">
        <v>4104</v>
      </c>
      <c r="E787" s="696" t="s">
        <v>4103</v>
      </c>
      <c r="F787" s="711"/>
      <c r="G787" s="711"/>
      <c r="H787" s="711"/>
      <c r="I787" s="711"/>
      <c r="J787" s="711">
        <v>5</v>
      </c>
      <c r="K787" s="711">
        <v>1808.4499999999998</v>
      </c>
      <c r="L787" s="711"/>
      <c r="M787" s="711">
        <v>361.68999999999994</v>
      </c>
      <c r="N787" s="711"/>
      <c r="O787" s="711"/>
      <c r="P787" s="701"/>
      <c r="Q787" s="712"/>
    </row>
    <row r="788" spans="1:17" ht="14.4" customHeight="1" x14ac:dyDescent="0.3">
      <c r="A788" s="695" t="s">
        <v>556</v>
      </c>
      <c r="B788" s="696" t="s">
        <v>4707</v>
      </c>
      <c r="C788" s="696" t="s">
        <v>3620</v>
      </c>
      <c r="D788" s="696" t="s">
        <v>4105</v>
      </c>
      <c r="E788" s="696" t="s">
        <v>4106</v>
      </c>
      <c r="F788" s="711"/>
      <c r="G788" s="711"/>
      <c r="H788" s="711"/>
      <c r="I788" s="711"/>
      <c r="J788" s="711">
        <v>1</v>
      </c>
      <c r="K788" s="711">
        <v>3292.8</v>
      </c>
      <c r="L788" s="711"/>
      <c r="M788" s="711">
        <v>3292.8</v>
      </c>
      <c r="N788" s="711"/>
      <c r="O788" s="711"/>
      <c r="P788" s="701"/>
      <c r="Q788" s="712"/>
    </row>
    <row r="789" spans="1:17" ht="14.4" customHeight="1" x14ac:dyDescent="0.3">
      <c r="A789" s="695" t="s">
        <v>556</v>
      </c>
      <c r="B789" s="696" t="s">
        <v>4707</v>
      </c>
      <c r="C789" s="696" t="s">
        <v>3620</v>
      </c>
      <c r="D789" s="696" t="s">
        <v>4107</v>
      </c>
      <c r="E789" s="696" t="s">
        <v>4106</v>
      </c>
      <c r="F789" s="711">
        <v>6</v>
      </c>
      <c r="G789" s="711">
        <v>32457.599999999999</v>
      </c>
      <c r="H789" s="711">
        <v>1</v>
      </c>
      <c r="I789" s="711">
        <v>5409.5999999999995</v>
      </c>
      <c r="J789" s="711">
        <v>3</v>
      </c>
      <c r="K789" s="711">
        <v>16228.800000000001</v>
      </c>
      <c r="L789" s="711">
        <v>0.50000000000000011</v>
      </c>
      <c r="M789" s="711">
        <v>5409.6</v>
      </c>
      <c r="N789" s="711"/>
      <c r="O789" s="711"/>
      <c r="P789" s="701"/>
      <c r="Q789" s="712"/>
    </row>
    <row r="790" spans="1:17" ht="14.4" customHeight="1" x14ac:dyDescent="0.3">
      <c r="A790" s="695" t="s">
        <v>556</v>
      </c>
      <c r="B790" s="696" t="s">
        <v>4707</v>
      </c>
      <c r="C790" s="696" t="s">
        <v>3620</v>
      </c>
      <c r="D790" s="696" t="s">
        <v>4119</v>
      </c>
      <c r="E790" s="696" t="s">
        <v>4120</v>
      </c>
      <c r="F790" s="711">
        <v>3</v>
      </c>
      <c r="G790" s="711">
        <v>2467.1999999999998</v>
      </c>
      <c r="H790" s="711">
        <v>1</v>
      </c>
      <c r="I790" s="711">
        <v>822.4</v>
      </c>
      <c r="J790" s="711">
        <v>12</v>
      </c>
      <c r="K790" s="711">
        <v>10227.720000000001</v>
      </c>
      <c r="L790" s="711">
        <v>4.1454766536964991</v>
      </c>
      <c r="M790" s="711">
        <v>852.31000000000006</v>
      </c>
      <c r="N790" s="711">
        <v>4</v>
      </c>
      <c r="O790" s="711">
        <v>3409.24</v>
      </c>
      <c r="P790" s="701">
        <v>1.381825551232166</v>
      </c>
      <c r="Q790" s="712">
        <v>852.31</v>
      </c>
    </row>
    <row r="791" spans="1:17" ht="14.4" customHeight="1" x14ac:dyDescent="0.3">
      <c r="A791" s="695" t="s">
        <v>556</v>
      </c>
      <c r="B791" s="696" t="s">
        <v>4707</v>
      </c>
      <c r="C791" s="696" t="s">
        <v>3620</v>
      </c>
      <c r="D791" s="696" t="s">
        <v>4749</v>
      </c>
      <c r="E791" s="696" t="s">
        <v>4750</v>
      </c>
      <c r="F791" s="711">
        <v>6</v>
      </c>
      <c r="G791" s="711">
        <v>28412.100000000002</v>
      </c>
      <c r="H791" s="711">
        <v>1</v>
      </c>
      <c r="I791" s="711">
        <v>4735.3500000000004</v>
      </c>
      <c r="J791" s="711">
        <v>2</v>
      </c>
      <c r="K791" s="711">
        <v>9470.7000000000007</v>
      </c>
      <c r="L791" s="711">
        <v>0.33333333333333331</v>
      </c>
      <c r="M791" s="711">
        <v>4735.3500000000004</v>
      </c>
      <c r="N791" s="711">
        <v>1</v>
      </c>
      <c r="O791" s="711">
        <v>4735.3500000000004</v>
      </c>
      <c r="P791" s="701">
        <v>0.16666666666666666</v>
      </c>
      <c r="Q791" s="712">
        <v>4735.3500000000004</v>
      </c>
    </row>
    <row r="792" spans="1:17" ht="14.4" customHeight="1" x14ac:dyDescent="0.3">
      <c r="A792" s="695" t="s">
        <v>556</v>
      </c>
      <c r="B792" s="696" t="s">
        <v>4707</v>
      </c>
      <c r="C792" s="696" t="s">
        <v>3620</v>
      </c>
      <c r="D792" s="696" t="s">
        <v>4751</v>
      </c>
      <c r="E792" s="696" t="s">
        <v>4752</v>
      </c>
      <c r="F792" s="711">
        <v>6</v>
      </c>
      <c r="G792" s="711">
        <v>47958.960000000006</v>
      </c>
      <c r="H792" s="711">
        <v>1</v>
      </c>
      <c r="I792" s="711">
        <v>7993.1600000000008</v>
      </c>
      <c r="J792" s="711">
        <v>2</v>
      </c>
      <c r="K792" s="711">
        <v>15986.32</v>
      </c>
      <c r="L792" s="711">
        <v>0.33333333333333326</v>
      </c>
      <c r="M792" s="711">
        <v>7993.16</v>
      </c>
      <c r="N792" s="711">
        <v>1</v>
      </c>
      <c r="O792" s="711">
        <v>7993.16</v>
      </c>
      <c r="P792" s="701">
        <v>0.16666666666666663</v>
      </c>
      <c r="Q792" s="712">
        <v>7993.16</v>
      </c>
    </row>
    <row r="793" spans="1:17" ht="14.4" customHeight="1" x14ac:dyDescent="0.3">
      <c r="A793" s="695" t="s">
        <v>556</v>
      </c>
      <c r="B793" s="696" t="s">
        <v>4707</v>
      </c>
      <c r="C793" s="696" t="s">
        <v>3620</v>
      </c>
      <c r="D793" s="696" t="s">
        <v>4753</v>
      </c>
      <c r="E793" s="696" t="s">
        <v>4754</v>
      </c>
      <c r="F793" s="711">
        <v>6</v>
      </c>
      <c r="G793" s="711">
        <v>17197.62</v>
      </c>
      <c r="H793" s="711">
        <v>1</v>
      </c>
      <c r="I793" s="711">
        <v>2866.27</v>
      </c>
      <c r="J793" s="711">
        <v>2</v>
      </c>
      <c r="K793" s="711">
        <v>5732.54</v>
      </c>
      <c r="L793" s="711">
        <v>0.33333333333333337</v>
      </c>
      <c r="M793" s="711">
        <v>2866.27</v>
      </c>
      <c r="N793" s="711">
        <v>1</v>
      </c>
      <c r="O793" s="711">
        <v>2866.27</v>
      </c>
      <c r="P793" s="701">
        <v>0.16666666666666669</v>
      </c>
      <c r="Q793" s="712">
        <v>2866.27</v>
      </c>
    </row>
    <row r="794" spans="1:17" ht="14.4" customHeight="1" x14ac:dyDescent="0.3">
      <c r="A794" s="695" t="s">
        <v>556</v>
      </c>
      <c r="B794" s="696" t="s">
        <v>4707</v>
      </c>
      <c r="C794" s="696" t="s">
        <v>3620</v>
      </c>
      <c r="D794" s="696" t="s">
        <v>4130</v>
      </c>
      <c r="E794" s="696" t="s">
        <v>3927</v>
      </c>
      <c r="F794" s="711"/>
      <c r="G794" s="711"/>
      <c r="H794" s="711"/>
      <c r="I794" s="711"/>
      <c r="J794" s="711">
        <v>0.5</v>
      </c>
      <c r="K794" s="711">
        <v>106.73</v>
      </c>
      <c r="L794" s="711"/>
      <c r="M794" s="711">
        <v>213.46</v>
      </c>
      <c r="N794" s="711"/>
      <c r="O794" s="711"/>
      <c r="P794" s="701"/>
      <c r="Q794" s="712"/>
    </row>
    <row r="795" spans="1:17" ht="14.4" customHeight="1" x14ac:dyDescent="0.3">
      <c r="A795" s="695" t="s">
        <v>556</v>
      </c>
      <c r="B795" s="696" t="s">
        <v>4707</v>
      </c>
      <c r="C795" s="696" t="s">
        <v>3620</v>
      </c>
      <c r="D795" s="696" t="s">
        <v>4131</v>
      </c>
      <c r="E795" s="696" t="s">
        <v>3927</v>
      </c>
      <c r="F795" s="711">
        <v>0.2</v>
      </c>
      <c r="G795" s="711">
        <v>50.4</v>
      </c>
      <c r="H795" s="711">
        <v>1</v>
      </c>
      <c r="I795" s="711">
        <v>251.99999999999997</v>
      </c>
      <c r="J795" s="711">
        <v>1.2000000000000002</v>
      </c>
      <c r="K795" s="711">
        <v>302.43</v>
      </c>
      <c r="L795" s="711">
        <v>6.0005952380952383</v>
      </c>
      <c r="M795" s="711">
        <v>252.02499999999998</v>
      </c>
      <c r="N795" s="711">
        <v>4.0999999999999996</v>
      </c>
      <c r="O795" s="711">
        <v>1033.31</v>
      </c>
      <c r="P795" s="701">
        <v>20.50218253968254</v>
      </c>
      <c r="Q795" s="712">
        <v>252.02682926829269</v>
      </c>
    </row>
    <row r="796" spans="1:17" ht="14.4" customHeight="1" x14ac:dyDescent="0.3">
      <c r="A796" s="695" t="s">
        <v>556</v>
      </c>
      <c r="B796" s="696" t="s">
        <v>4707</v>
      </c>
      <c r="C796" s="696" t="s">
        <v>3620</v>
      </c>
      <c r="D796" s="696" t="s">
        <v>4143</v>
      </c>
      <c r="E796" s="696" t="s">
        <v>3927</v>
      </c>
      <c r="F796" s="711">
        <v>4</v>
      </c>
      <c r="G796" s="711">
        <v>2188.8000000000002</v>
      </c>
      <c r="H796" s="711">
        <v>1</v>
      </c>
      <c r="I796" s="711">
        <v>547.20000000000005</v>
      </c>
      <c r="J796" s="711">
        <v>13</v>
      </c>
      <c r="K796" s="711">
        <v>7113.6</v>
      </c>
      <c r="L796" s="711">
        <v>3.25</v>
      </c>
      <c r="M796" s="711">
        <v>547.20000000000005</v>
      </c>
      <c r="N796" s="711">
        <v>2</v>
      </c>
      <c r="O796" s="711">
        <v>1094.4000000000001</v>
      </c>
      <c r="P796" s="701">
        <v>0.5</v>
      </c>
      <c r="Q796" s="712">
        <v>547.20000000000005</v>
      </c>
    </row>
    <row r="797" spans="1:17" ht="14.4" customHeight="1" x14ac:dyDescent="0.3">
      <c r="A797" s="695" t="s">
        <v>556</v>
      </c>
      <c r="B797" s="696" t="s">
        <v>4707</v>
      </c>
      <c r="C797" s="696" t="s">
        <v>3620</v>
      </c>
      <c r="D797" s="696" t="s">
        <v>4144</v>
      </c>
      <c r="E797" s="696" t="s">
        <v>3927</v>
      </c>
      <c r="F797" s="711"/>
      <c r="G797" s="711"/>
      <c r="H797" s="711"/>
      <c r="I797" s="711"/>
      <c r="J797" s="711">
        <v>7</v>
      </c>
      <c r="K797" s="711">
        <v>11853.94</v>
      </c>
      <c r="L797" s="711"/>
      <c r="M797" s="711">
        <v>1693.42</v>
      </c>
      <c r="N797" s="711"/>
      <c r="O797" s="711"/>
      <c r="P797" s="701"/>
      <c r="Q797" s="712"/>
    </row>
    <row r="798" spans="1:17" ht="14.4" customHeight="1" x14ac:dyDescent="0.3">
      <c r="A798" s="695" t="s">
        <v>556</v>
      </c>
      <c r="B798" s="696" t="s">
        <v>4707</v>
      </c>
      <c r="C798" s="696" t="s">
        <v>3620</v>
      </c>
      <c r="D798" s="696" t="s">
        <v>4145</v>
      </c>
      <c r="E798" s="696" t="s">
        <v>3927</v>
      </c>
      <c r="F798" s="711"/>
      <c r="G798" s="711"/>
      <c r="H798" s="711"/>
      <c r="I798" s="711"/>
      <c r="J798" s="711">
        <v>4</v>
      </c>
      <c r="K798" s="711">
        <v>7395.48</v>
      </c>
      <c r="L798" s="711"/>
      <c r="M798" s="711">
        <v>1848.87</v>
      </c>
      <c r="N798" s="711">
        <v>30</v>
      </c>
      <c r="O798" s="711">
        <v>55466.099999999991</v>
      </c>
      <c r="P798" s="701"/>
      <c r="Q798" s="712">
        <v>1848.8699999999997</v>
      </c>
    </row>
    <row r="799" spans="1:17" ht="14.4" customHeight="1" x14ac:dyDescent="0.3">
      <c r="A799" s="695" t="s">
        <v>556</v>
      </c>
      <c r="B799" s="696" t="s">
        <v>4707</v>
      </c>
      <c r="C799" s="696" t="s">
        <v>3620</v>
      </c>
      <c r="D799" s="696" t="s">
        <v>4755</v>
      </c>
      <c r="E799" s="696" t="s">
        <v>4756</v>
      </c>
      <c r="F799" s="711">
        <v>5</v>
      </c>
      <c r="G799" s="711">
        <v>11918.199999999999</v>
      </c>
      <c r="H799" s="711">
        <v>1</v>
      </c>
      <c r="I799" s="711">
        <v>2383.64</v>
      </c>
      <c r="J799" s="711">
        <v>1</v>
      </c>
      <c r="K799" s="711">
        <v>2383.64</v>
      </c>
      <c r="L799" s="711">
        <v>0.2</v>
      </c>
      <c r="M799" s="711">
        <v>2383.64</v>
      </c>
      <c r="N799" s="711">
        <v>3</v>
      </c>
      <c r="O799" s="711">
        <v>7150.92</v>
      </c>
      <c r="P799" s="701">
        <v>0.60000000000000009</v>
      </c>
      <c r="Q799" s="712">
        <v>2383.64</v>
      </c>
    </row>
    <row r="800" spans="1:17" ht="14.4" customHeight="1" x14ac:dyDescent="0.3">
      <c r="A800" s="695" t="s">
        <v>556</v>
      </c>
      <c r="B800" s="696" t="s">
        <v>4707</v>
      </c>
      <c r="C800" s="696" t="s">
        <v>3620</v>
      </c>
      <c r="D800" s="696" t="s">
        <v>4146</v>
      </c>
      <c r="E800" s="696" t="s">
        <v>4147</v>
      </c>
      <c r="F800" s="711">
        <v>30</v>
      </c>
      <c r="G800" s="711">
        <v>55082.979999999996</v>
      </c>
      <c r="H800" s="711">
        <v>1</v>
      </c>
      <c r="I800" s="711">
        <v>1836.0993333333331</v>
      </c>
      <c r="J800" s="711">
        <v>15</v>
      </c>
      <c r="K800" s="711">
        <v>27670.949999999997</v>
      </c>
      <c r="L800" s="711">
        <v>0.50235027226195816</v>
      </c>
      <c r="M800" s="711">
        <v>1844.7299999999998</v>
      </c>
      <c r="N800" s="711">
        <v>27</v>
      </c>
      <c r="O800" s="711">
        <v>49807.709999999992</v>
      </c>
      <c r="P800" s="701">
        <v>0.90423049007152478</v>
      </c>
      <c r="Q800" s="712">
        <v>1844.7299999999998</v>
      </c>
    </row>
    <row r="801" spans="1:17" ht="14.4" customHeight="1" x14ac:dyDescent="0.3">
      <c r="A801" s="695" t="s">
        <v>556</v>
      </c>
      <c r="B801" s="696" t="s">
        <v>4707</v>
      </c>
      <c r="C801" s="696" t="s">
        <v>3620</v>
      </c>
      <c r="D801" s="696" t="s">
        <v>4149</v>
      </c>
      <c r="E801" s="696" t="s">
        <v>4150</v>
      </c>
      <c r="F801" s="711">
        <v>5</v>
      </c>
      <c r="G801" s="711">
        <v>113416.12</v>
      </c>
      <c r="H801" s="711">
        <v>1</v>
      </c>
      <c r="I801" s="711">
        <v>22683.223999999998</v>
      </c>
      <c r="J801" s="711">
        <v>3</v>
      </c>
      <c r="K801" s="711">
        <v>68530.59</v>
      </c>
      <c r="L801" s="711">
        <v>0.60424029670561819</v>
      </c>
      <c r="M801" s="711">
        <v>22843.53</v>
      </c>
      <c r="N801" s="711">
        <v>5</v>
      </c>
      <c r="O801" s="711">
        <v>114217.65</v>
      </c>
      <c r="P801" s="701">
        <v>1.0070671611760305</v>
      </c>
      <c r="Q801" s="712">
        <v>22843.53</v>
      </c>
    </row>
    <row r="802" spans="1:17" ht="14.4" customHeight="1" x14ac:dyDescent="0.3">
      <c r="A802" s="695" t="s">
        <v>556</v>
      </c>
      <c r="B802" s="696" t="s">
        <v>4707</v>
      </c>
      <c r="C802" s="696" t="s">
        <v>3620</v>
      </c>
      <c r="D802" s="696" t="s">
        <v>4757</v>
      </c>
      <c r="E802" s="696" t="s">
        <v>4758</v>
      </c>
      <c r="F802" s="711">
        <v>6</v>
      </c>
      <c r="G802" s="711">
        <v>55379.1</v>
      </c>
      <c r="H802" s="711">
        <v>1</v>
      </c>
      <c r="I802" s="711">
        <v>9229.85</v>
      </c>
      <c r="J802" s="711">
        <v>8</v>
      </c>
      <c r="K802" s="711">
        <v>73838.8</v>
      </c>
      <c r="L802" s="711">
        <v>1.3333333333333335</v>
      </c>
      <c r="M802" s="711">
        <v>9229.85</v>
      </c>
      <c r="N802" s="711">
        <v>14</v>
      </c>
      <c r="O802" s="711">
        <v>129217.9</v>
      </c>
      <c r="P802" s="701">
        <v>2.3333333333333335</v>
      </c>
      <c r="Q802" s="712">
        <v>9229.85</v>
      </c>
    </row>
    <row r="803" spans="1:17" ht="14.4" customHeight="1" x14ac:dyDescent="0.3">
      <c r="A803" s="695" t="s">
        <v>556</v>
      </c>
      <c r="B803" s="696" t="s">
        <v>4707</v>
      </c>
      <c r="C803" s="696" t="s">
        <v>3620</v>
      </c>
      <c r="D803" s="696" t="s">
        <v>4151</v>
      </c>
      <c r="E803" s="696" t="s">
        <v>4152</v>
      </c>
      <c r="F803" s="711">
        <v>33</v>
      </c>
      <c r="G803" s="711">
        <v>98659.199999999997</v>
      </c>
      <c r="H803" s="711">
        <v>1</v>
      </c>
      <c r="I803" s="711">
        <v>2989.6727272727271</v>
      </c>
      <c r="J803" s="711">
        <v>31</v>
      </c>
      <c r="K803" s="711">
        <v>92976.439999999988</v>
      </c>
      <c r="L803" s="711">
        <v>0.94240010054814949</v>
      </c>
      <c r="M803" s="711">
        <v>2999.24</v>
      </c>
      <c r="N803" s="711">
        <v>57</v>
      </c>
      <c r="O803" s="711">
        <v>170956.68</v>
      </c>
      <c r="P803" s="701">
        <v>1.7328001848788557</v>
      </c>
      <c r="Q803" s="712">
        <v>2999.24</v>
      </c>
    </row>
    <row r="804" spans="1:17" ht="14.4" customHeight="1" x14ac:dyDescent="0.3">
      <c r="A804" s="695" t="s">
        <v>556</v>
      </c>
      <c r="B804" s="696" t="s">
        <v>4707</v>
      </c>
      <c r="C804" s="696" t="s">
        <v>3620</v>
      </c>
      <c r="D804" s="696" t="s">
        <v>4153</v>
      </c>
      <c r="E804" s="696" t="s">
        <v>4154</v>
      </c>
      <c r="F804" s="711"/>
      <c r="G804" s="711"/>
      <c r="H804" s="711"/>
      <c r="I804" s="711"/>
      <c r="J804" s="711">
        <v>1</v>
      </c>
      <c r="K804" s="711">
        <v>8076.38</v>
      </c>
      <c r="L804" s="711"/>
      <c r="M804" s="711">
        <v>8076.38</v>
      </c>
      <c r="N804" s="711"/>
      <c r="O804" s="711"/>
      <c r="P804" s="701"/>
      <c r="Q804" s="712"/>
    </row>
    <row r="805" spans="1:17" ht="14.4" customHeight="1" x14ac:dyDescent="0.3">
      <c r="A805" s="695" t="s">
        <v>556</v>
      </c>
      <c r="B805" s="696" t="s">
        <v>4707</v>
      </c>
      <c r="C805" s="696" t="s">
        <v>3620</v>
      </c>
      <c r="D805" s="696" t="s">
        <v>4155</v>
      </c>
      <c r="E805" s="696" t="s">
        <v>4156</v>
      </c>
      <c r="F805" s="711"/>
      <c r="G805" s="711"/>
      <c r="H805" s="711"/>
      <c r="I805" s="711"/>
      <c r="J805" s="711">
        <v>1</v>
      </c>
      <c r="K805" s="711">
        <v>2999.24</v>
      </c>
      <c r="L805" s="711"/>
      <c r="M805" s="711">
        <v>2999.24</v>
      </c>
      <c r="N805" s="711"/>
      <c r="O805" s="711"/>
      <c r="P805" s="701"/>
      <c r="Q805" s="712"/>
    </row>
    <row r="806" spans="1:17" ht="14.4" customHeight="1" x14ac:dyDescent="0.3">
      <c r="A806" s="695" t="s">
        <v>556</v>
      </c>
      <c r="B806" s="696" t="s">
        <v>4707</v>
      </c>
      <c r="C806" s="696" t="s">
        <v>3620</v>
      </c>
      <c r="D806" s="696" t="s">
        <v>4157</v>
      </c>
      <c r="E806" s="696" t="s">
        <v>4158</v>
      </c>
      <c r="F806" s="711"/>
      <c r="G806" s="711"/>
      <c r="H806" s="711"/>
      <c r="I806" s="711"/>
      <c r="J806" s="711">
        <v>1</v>
      </c>
      <c r="K806" s="711">
        <v>307.8</v>
      </c>
      <c r="L806" s="711"/>
      <c r="M806" s="711">
        <v>307.8</v>
      </c>
      <c r="N806" s="711"/>
      <c r="O806" s="711"/>
      <c r="P806" s="701"/>
      <c r="Q806" s="712"/>
    </row>
    <row r="807" spans="1:17" ht="14.4" customHeight="1" x14ac:dyDescent="0.3">
      <c r="A807" s="695" t="s">
        <v>556</v>
      </c>
      <c r="B807" s="696" t="s">
        <v>4707</v>
      </c>
      <c r="C807" s="696" t="s">
        <v>3620</v>
      </c>
      <c r="D807" s="696" t="s">
        <v>4163</v>
      </c>
      <c r="E807" s="696" t="s">
        <v>4164</v>
      </c>
      <c r="F807" s="711"/>
      <c r="G807" s="711"/>
      <c r="H807" s="711"/>
      <c r="I807" s="711"/>
      <c r="J807" s="711">
        <v>5</v>
      </c>
      <c r="K807" s="711">
        <v>6166.35</v>
      </c>
      <c r="L807" s="711"/>
      <c r="M807" s="711">
        <v>1233.27</v>
      </c>
      <c r="N807" s="711">
        <v>2</v>
      </c>
      <c r="O807" s="711">
        <v>2466.54</v>
      </c>
      <c r="P807" s="701"/>
      <c r="Q807" s="712">
        <v>1233.27</v>
      </c>
    </row>
    <row r="808" spans="1:17" ht="14.4" customHeight="1" x14ac:dyDescent="0.3">
      <c r="A808" s="695" t="s">
        <v>556</v>
      </c>
      <c r="B808" s="696" t="s">
        <v>4707</v>
      </c>
      <c r="C808" s="696" t="s">
        <v>3620</v>
      </c>
      <c r="D808" s="696" t="s">
        <v>4165</v>
      </c>
      <c r="E808" s="696" t="s">
        <v>4166</v>
      </c>
      <c r="F808" s="711"/>
      <c r="G808" s="711"/>
      <c r="H808" s="711"/>
      <c r="I808" s="711"/>
      <c r="J808" s="711">
        <v>1</v>
      </c>
      <c r="K808" s="711">
        <v>5774.62</v>
      </c>
      <c r="L808" s="711"/>
      <c r="M808" s="711">
        <v>5774.62</v>
      </c>
      <c r="N808" s="711">
        <v>2</v>
      </c>
      <c r="O808" s="711">
        <v>11549.24</v>
      </c>
      <c r="P808" s="701"/>
      <c r="Q808" s="712">
        <v>5774.62</v>
      </c>
    </row>
    <row r="809" spans="1:17" ht="14.4" customHeight="1" x14ac:dyDescent="0.3">
      <c r="A809" s="695" t="s">
        <v>556</v>
      </c>
      <c r="B809" s="696" t="s">
        <v>4707</v>
      </c>
      <c r="C809" s="696" t="s">
        <v>3620</v>
      </c>
      <c r="D809" s="696" t="s">
        <v>4167</v>
      </c>
      <c r="E809" s="696" t="s">
        <v>4168</v>
      </c>
      <c r="F809" s="711"/>
      <c r="G809" s="711"/>
      <c r="H809" s="711"/>
      <c r="I809" s="711"/>
      <c r="J809" s="711">
        <v>1</v>
      </c>
      <c r="K809" s="711">
        <v>8704.42</v>
      </c>
      <c r="L809" s="711"/>
      <c r="M809" s="711">
        <v>8704.42</v>
      </c>
      <c r="N809" s="711">
        <v>1</v>
      </c>
      <c r="O809" s="711">
        <v>8704.42</v>
      </c>
      <c r="P809" s="701"/>
      <c r="Q809" s="712">
        <v>8704.42</v>
      </c>
    </row>
    <row r="810" spans="1:17" ht="14.4" customHeight="1" x14ac:dyDescent="0.3">
      <c r="A810" s="695" t="s">
        <v>556</v>
      </c>
      <c r="B810" s="696" t="s">
        <v>4707</v>
      </c>
      <c r="C810" s="696" t="s">
        <v>3620</v>
      </c>
      <c r="D810" s="696" t="s">
        <v>4759</v>
      </c>
      <c r="E810" s="696" t="s">
        <v>4168</v>
      </c>
      <c r="F810" s="711"/>
      <c r="G810" s="711"/>
      <c r="H810" s="711"/>
      <c r="I810" s="711"/>
      <c r="J810" s="711">
        <v>2</v>
      </c>
      <c r="K810" s="711">
        <v>18795.5</v>
      </c>
      <c r="L810" s="711"/>
      <c r="M810" s="711">
        <v>9397.75</v>
      </c>
      <c r="N810" s="711">
        <v>1</v>
      </c>
      <c r="O810" s="711">
        <v>9397.75</v>
      </c>
      <c r="P810" s="701"/>
      <c r="Q810" s="712">
        <v>9397.75</v>
      </c>
    </row>
    <row r="811" spans="1:17" ht="14.4" customHeight="1" x14ac:dyDescent="0.3">
      <c r="A811" s="695" t="s">
        <v>556</v>
      </c>
      <c r="B811" s="696" t="s">
        <v>4707</v>
      </c>
      <c r="C811" s="696" t="s">
        <v>3620</v>
      </c>
      <c r="D811" s="696" t="s">
        <v>4169</v>
      </c>
      <c r="E811" s="696" t="s">
        <v>4170</v>
      </c>
      <c r="F811" s="711"/>
      <c r="G811" s="711"/>
      <c r="H811" s="711"/>
      <c r="I811" s="711"/>
      <c r="J811" s="711">
        <v>3</v>
      </c>
      <c r="K811" s="711">
        <v>4993.2000000000007</v>
      </c>
      <c r="L811" s="711"/>
      <c r="M811" s="711">
        <v>1664.4000000000003</v>
      </c>
      <c r="N811" s="711">
        <v>1</v>
      </c>
      <c r="O811" s="711">
        <v>1664.4</v>
      </c>
      <c r="P811" s="701"/>
      <c r="Q811" s="712">
        <v>1664.4</v>
      </c>
    </row>
    <row r="812" spans="1:17" ht="14.4" customHeight="1" x14ac:dyDescent="0.3">
      <c r="A812" s="695" t="s">
        <v>556</v>
      </c>
      <c r="B812" s="696" t="s">
        <v>4707</v>
      </c>
      <c r="C812" s="696" t="s">
        <v>3620</v>
      </c>
      <c r="D812" s="696" t="s">
        <v>4760</v>
      </c>
      <c r="E812" s="696" t="s">
        <v>4340</v>
      </c>
      <c r="F812" s="711">
        <v>1</v>
      </c>
      <c r="G812" s="711">
        <v>118.5</v>
      </c>
      <c r="H812" s="711">
        <v>1</v>
      </c>
      <c r="I812" s="711">
        <v>118.5</v>
      </c>
      <c r="J812" s="711"/>
      <c r="K812" s="711"/>
      <c r="L812" s="711"/>
      <c r="M812" s="711"/>
      <c r="N812" s="711"/>
      <c r="O812" s="711"/>
      <c r="P812" s="701"/>
      <c r="Q812" s="712"/>
    </row>
    <row r="813" spans="1:17" ht="14.4" customHeight="1" x14ac:dyDescent="0.3">
      <c r="A813" s="695" t="s">
        <v>556</v>
      </c>
      <c r="B813" s="696" t="s">
        <v>4707</v>
      </c>
      <c r="C813" s="696" t="s">
        <v>3620</v>
      </c>
      <c r="D813" s="696" t="s">
        <v>4181</v>
      </c>
      <c r="E813" s="696" t="s">
        <v>4182</v>
      </c>
      <c r="F813" s="711">
        <v>1</v>
      </c>
      <c r="G813" s="711">
        <v>10779.22</v>
      </c>
      <c r="H813" s="711">
        <v>1</v>
      </c>
      <c r="I813" s="711">
        <v>10779.22</v>
      </c>
      <c r="J813" s="711">
        <v>1</v>
      </c>
      <c r="K813" s="711">
        <v>10779.22</v>
      </c>
      <c r="L813" s="711">
        <v>1</v>
      </c>
      <c r="M813" s="711">
        <v>10779.22</v>
      </c>
      <c r="N813" s="711">
        <v>1</v>
      </c>
      <c r="O813" s="711">
        <v>10779.22</v>
      </c>
      <c r="P813" s="701">
        <v>1</v>
      </c>
      <c r="Q813" s="712">
        <v>10779.22</v>
      </c>
    </row>
    <row r="814" spans="1:17" ht="14.4" customHeight="1" x14ac:dyDescent="0.3">
      <c r="A814" s="695" t="s">
        <v>556</v>
      </c>
      <c r="B814" s="696" t="s">
        <v>4707</v>
      </c>
      <c r="C814" s="696" t="s">
        <v>3620</v>
      </c>
      <c r="D814" s="696" t="s">
        <v>4183</v>
      </c>
      <c r="E814" s="696" t="s">
        <v>4184</v>
      </c>
      <c r="F814" s="711"/>
      <c r="G814" s="711"/>
      <c r="H814" s="711"/>
      <c r="I814" s="711"/>
      <c r="J814" s="711">
        <v>1</v>
      </c>
      <c r="K814" s="711">
        <v>9112.75</v>
      </c>
      <c r="L814" s="711"/>
      <c r="M814" s="711">
        <v>9112.75</v>
      </c>
      <c r="N814" s="711"/>
      <c r="O814" s="711"/>
      <c r="P814" s="701"/>
      <c r="Q814" s="712"/>
    </row>
    <row r="815" spans="1:17" ht="14.4" customHeight="1" x14ac:dyDescent="0.3">
      <c r="A815" s="695" t="s">
        <v>556</v>
      </c>
      <c r="B815" s="696" t="s">
        <v>4707</v>
      </c>
      <c r="C815" s="696" t="s">
        <v>3620</v>
      </c>
      <c r="D815" s="696" t="s">
        <v>4185</v>
      </c>
      <c r="E815" s="696" t="s">
        <v>4186</v>
      </c>
      <c r="F815" s="711">
        <v>2</v>
      </c>
      <c r="G815" s="711">
        <v>2449.96</v>
      </c>
      <c r="H815" s="711">
        <v>1</v>
      </c>
      <c r="I815" s="711">
        <v>1224.98</v>
      </c>
      <c r="J815" s="711">
        <v>6</v>
      </c>
      <c r="K815" s="711">
        <v>7349.8799999999992</v>
      </c>
      <c r="L815" s="711">
        <v>2.9999999999999996</v>
      </c>
      <c r="M815" s="711">
        <v>1224.9799999999998</v>
      </c>
      <c r="N815" s="711">
        <v>4</v>
      </c>
      <c r="O815" s="711">
        <v>4899.92</v>
      </c>
      <c r="P815" s="701">
        <v>2</v>
      </c>
      <c r="Q815" s="712">
        <v>1224.98</v>
      </c>
    </row>
    <row r="816" spans="1:17" ht="14.4" customHeight="1" x14ac:dyDescent="0.3">
      <c r="A816" s="695" t="s">
        <v>556</v>
      </c>
      <c r="B816" s="696" t="s">
        <v>4707</v>
      </c>
      <c r="C816" s="696" t="s">
        <v>3620</v>
      </c>
      <c r="D816" s="696" t="s">
        <v>4187</v>
      </c>
      <c r="E816" s="696" t="s">
        <v>4186</v>
      </c>
      <c r="F816" s="711">
        <v>4</v>
      </c>
      <c r="G816" s="711">
        <v>7606.92</v>
      </c>
      <c r="H816" s="711">
        <v>1</v>
      </c>
      <c r="I816" s="711">
        <v>1901.73</v>
      </c>
      <c r="J816" s="711">
        <v>4</v>
      </c>
      <c r="K816" s="711">
        <v>7606.92</v>
      </c>
      <c r="L816" s="711">
        <v>1</v>
      </c>
      <c r="M816" s="711">
        <v>1901.73</v>
      </c>
      <c r="N816" s="711">
        <v>2</v>
      </c>
      <c r="O816" s="711">
        <v>3803.46</v>
      </c>
      <c r="P816" s="701">
        <v>0.5</v>
      </c>
      <c r="Q816" s="712">
        <v>1901.73</v>
      </c>
    </row>
    <row r="817" spans="1:17" ht="14.4" customHeight="1" x14ac:dyDescent="0.3">
      <c r="A817" s="695" t="s">
        <v>556</v>
      </c>
      <c r="B817" s="696" t="s">
        <v>4707</v>
      </c>
      <c r="C817" s="696" t="s">
        <v>3620</v>
      </c>
      <c r="D817" s="696" t="s">
        <v>4188</v>
      </c>
      <c r="E817" s="696" t="s">
        <v>4189</v>
      </c>
      <c r="F817" s="711"/>
      <c r="G817" s="711"/>
      <c r="H817" s="711"/>
      <c r="I817" s="711"/>
      <c r="J817" s="711">
        <v>2</v>
      </c>
      <c r="K817" s="711">
        <v>2076</v>
      </c>
      <c r="L817" s="711"/>
      <c r="M817" s="711">
        <v>1038</v>
      </c>
      <c r="N817" s="711">
        <v>3</v>
      </c>
      <c r="O817" s="711">
        <v>3114</v>
      </c>
      <c r="P817" s="701"/>
      <c r="Q817" s="712">
        <v>1038</v>
      </c>
    </row>
    <row r="818" spans="1:17" ht="14.4" customHeight="1" x14ac:dyDescent="0.3">
      <c r="A818" s="695" t="s">
        <v>556</v>
      </c>
      <c r="B818" s="696" t="s">
        <v>4707</v>
      </c>
      <c r="C818" s="696" t="s">
        <v>3620</v>
      </c>
      <c r="D818" s="696" t="s">
        <v>4190</v>
      </c>
      <c r="E818" s="696" t="s">
        <v>4191</v>
      </c>
      <c r="F818" s="711">
        <v>1</v>
      </c>
      <c r="G818" s="711">
        <v>1312</v>
      </c>
      <c r="H818" s="711">
        <v>1</v>
      </c>
      <c r="I818" s="711">
        <v>1312</v>
      </c>
      <c r="J818" s="711">
        <v>2</v>
      </c>
      <c r="K818" s="711">
        <v>2624</v>
      </c>
      <c r="L818" s="711">
        <v>2</v>
      </c>
      <c r="M818" s="711">
        <v>1312</v>
      </c>
      <c r="N818" s="711">
        <v>13</v>
      </c>
      <c r="O818" s="711">
        <v>17056</v>
      </c>
      <c r="P818" s="701">
        <v>13</v>
      </c>
      <c r="Q818" s="712">
        <v>1312</v>
      </c>
    </row>
    <row r="819" spans="1:17" ht="14.4" customHeight="1" x14ac:dyDescent="0.3">
      <c r="A819" s="695" t="s">
        <v>556</v>
      </c>
      <c r="B819" s="696" t="s">
        <v>4707</v>
      </c>
      <c r="C819" s="696" t="s">
        <v>3620</v>
      </c>
      <c r="D819" s="696" t="s">
        <v>4192</v>
      </c>
      <c r="E819" s="696" t="s">
        <v>4193</v>
      </c>
      <c r="F819" s="711">
        <v>1</v>
      </c>
      <c r="G819" s="711">
        <v>1560</v>
      </c>
      <c r="H819" s="711">
        <v>1</v>
      </c>
      <c r="I819" s="711">
        <v>1560</v>
      </c>
      <c r="J819" s="711">
        <v>7</v>
      </c>
      <c r="K819" s="711">
        <v>10920</v>
      </c>
      <c r="L819" s="711">
        <v>7</v>
      </c>
      <c r="M819" s="711">
        <v>1560</v>
      </c>
      <c r="N819" s="711">
        <v>3</v>
      </c>
      <c r="O819" s="711">
        <v>4680</v>
      </c>
      <c r="P819" s="701">
        <v>3</v>
      </c>
      <c r="Q819" s="712">
        <v>1560</v>
      </c>
    </row>
    <row r="820" spans="1:17" ht="14.4" customHeight="1" x14ac:dyDescent="0.3">
      <c r="A820" s="695" t="s">
        <v>556</v>
      </c>
      <c r="B820" s="696" t="s">
        <v>4707</v>
      </c>
      <c r="C820" s="696" t="s">
        <v>3620</v>
      </c>
      <c r="D820" s="696" t="s">
        <v>3621</v>
      </c>
      <c r="E820" s="696" t="s">
        <v>3584</v>
      </c>
      <c r="F820" s="711">
        <v>3</v>
      </c>
      <c r="G820" s="711">
        <v>210</v>
      </c>
      <c r="H820" s="711">
        <v>1</v>
      </c>
      <c r="I820" s="711">
        <v>70</v>
      </c>
      <c r="J820" s="711">
        <v>2</v>
      </c>
      <c r="K820" s="711">
        <v>140</v>
      </c>
      <c r="L820" s="711">
        <v>0.66666666666666663</v>
      </c>
      <c r="M820" s="711">
        <v>70</v>
      </c>
      <c r="N820" s="711"/>
      <c r="O820" s="711"/>
      <c r="P820" s="701"/>
      <c r="Q820" s="712"/>
    </row>
    <row r="821" spans="1:17" ht="14.4" customHeight="1" x14ac:dyDescent="0.3">
      <c r="A821" s="695" t="s">
        <v>556</v>
      </c>
      <c r="B821" s="696" t="s">
        <v>4707</v>
      </c>
      <c r="C821" s="696" t="s">
        <v>3620</v>
      </c>
      <c r="D821" s="696" t="s">
        <v>3625</v>
      </c>
      <c r="E821" s="696" t="s">
        <v>3584</v>
      </c>
      <c r="F821" s="711">
        <v>1</v>
      </c>
      <c r="G821" s="711">
        <v>147</v>
      </c>
      <c r="H821" s="711">
        <v>1</v>
      </c>
      <c r="I821" s="711">
        <v>147</v>
      </c>
      <c r="J821" s="711">
        <v>4</v>
      </c>
      <c r="K821" s="711">
        <v>588</v>
      </c>
      <c r="L821" s="711">
        <v>4</v>
      </c>
      <c r="M821" s="711">
        <v>147</v>
      </c>
      <c r="N821" s="711"/>
      <c r="O821" s="711"/>
      <c r="P821" s="701"/>
      <c r="Q821" s="712"/>
    </row>
    <row r="822" spans="1:17" ht="14.4" customHeight="1" x14ac:dyDescent="0.3">
      <c r="A822" s="695" t="s">
        <v>556</v>
      </c>
      <c r="B822" s="696" t="s">
        <v>4707</v>
      </c>
      <c r="C822" s="696" t="s">
        <v>3620</v>
      </c>
      <c r="D822" s="696" t="s">
        <v>3627</v>
      </c>
      <c r="E822" s="696" t="s">
        <v>3584</v>
      </c>
      <c r="F822" s="711"/>
      <c r="G822" s="711"/>
      <c r="H822" s="711"/>
      <c r="I822" s="711"/>
      <c r="J822" s="711">
        <v>1</v>
      </c>
      <c r="K822" s="711">
        <v>187</v>
      </c>
      <c r="L822" s="711"/>
      <c r="M822" s="711">
        <v>187</v>
      </c>
      <c r="N822" s="711"/>
      <c r="O822" s="711"/>
      <c r="P822" s="701"/>
      <c r="Q822" s="712"/>
    </row>
    <row r="823" spans="1:17" ht="14.4" customHeight="1" x14ac:dyDescent="0.3">
      <c r="A823" s="695" t="s">
        <v>556</v>
      </c>
      <c r="B823" s="696" t="s">
        <v>4707</v>
      </c>
      <c r="C823" s="696" t="s">
        <v>3620</v>
      </c>
      <c r="D823" s="696" t="s">
        <v>3629</v>
      </c>
      <c r="E823" s="696" t="s">
        <v>3584</v>
      </c>
      <c r="F823" s="711">
        <v>1</v>
      </c>
      <c r="G823" s="711">
        <v>149</v>
      </c>
      <c r="H823" s="711">
        <v>1</v>
      </c>
      <c r="I823" s="711">
        <v>149</v>
      </c>
      <c r="J823" s="711">
        <v>3</v>
      </c>
      <c r="K823" s="711">
        <v>447</v>
      </c>
      <c r="L823" s="711">
        <v>3</v>
      </c>
      <c r="M823" s="711">
        <v>149</v>
      </c>
      <c r="N823" s="711"/>
      <c r="O823" s="711"/>
      <c r="P823" s="701"/>
      <c r="Q823" s="712"/>
    </row>
    <row r="824" spans="1:17" ht="14.4" customHeight="1" x14ac:dyDescent="0.3">
      <c r="A824" s="695" t="s">
        <v>556</v>
      </c>
      <c r="B824" s="696" t="s">
        <v>4707</v>
      </c>
      <c r="C824" s="696" t="s">
        <v>3620</v>
      </c>
      <c r="D824" s="696" t="s">
        <v>4761</v>
      </c>
      <c r="E824" s="696" t="s">
        <v>4762</v>
      </c>
      <c r="F824" s="711"/>
      <c r="G824" s="711"/>
      <c r="H824" s="711"/>
      <c r="I824" s="711"/>
      <c r="J824" s="711">
        <v>1</v>
      </c>
      <c r="K824" s="711">
        <v>3278.02</v>
      </c>
      <c r="L824" s="711"/>
      <c r="M824" s="711">
        <v>3278.02</v>
      </c>
      <c r="N824" s="711"/>
      <c r="O824" s="711"/>
      <c r="P824" s="701"/>
      <c r="Q824" s="712"/>
    </row>
    <row r="825" spans="1:17" ht="14.4" customHeight="1" x14ac:dyDescent="0.3">
      <c r="A825" s="695" t="s">
        <v>556</v>
      </c>
      <c r="B825" s="696" t="s">
        <v>4707</v>
      </c>
      <c r="C825" s="696" t="s">
        <v>3620</v>
      </c>
      <c r="D825" s="696" t="s">
        <v>4198</v>
      </c>
      <c r="E825" s="696" t="s">
        <v>4199</v>
      </c>
      <c r="F825" s="711">
        <v>1</v>
      </c>
      <c r="G825" s="711">
        <v>6968.51</v>
      </c>
      <c r="H825" s="711">
        <v>1</v>
      </c>
      <c r="I825" s="711">
        <v>6968.51</v>
      </c>
      <c r="J825" s="711">
        <v>1</v>
      </c>
      <c r="K825" s="711">
        <v>6968.51</v>
      </c>
      <c r="L825" s="711">
        <v>1</v>
      </c>
      <c r="M825" s="711">
        <v>6968.51</v>
      </c>
      <c r="N825" s="711"/>
      <c r="O825" s="711"/>
      <c r="P825" s="701"/>
      <c r="Q825" s="712"/>
    </row>
    <row r="826" spans="1:17" ht="14.4" customHeight="1" x14ac:dyDescent="0.3">
      <c r="A826" s="695" t="s">
        <v>556</v>
      </c>
      <c r="B826" s="696" t="s">
        <v>4707</v>
      </c>
      <c r="C826" s="696" t="s">
        <v>3620</v>
      </c>
      <c r="D826" s="696" t="s">
        <v>4200</v>
      </c>
      <c r="E826" s="696" t="s">
        <v>4199</v>
      </c>
      <c r="F826" s="711"/>
      <c r="G826" s="711"/>
      <c r="H826" s="711"/>
      <c r="I826" s="711"/>
      <c r="J826" s="711">
        <v>1</v>
      </c>
      <c r="K826" s="711">
        <v>8342.73</v>
      </c>
      <c r="L826" s="711"/>
      <c r="M826" s="711">
        <v>8342.73</v>
      </c>
      <c r="N826" s="711"/>
      <c r="O826" s="711"/>
      <c r="P826" s="701"/>
      <c r="Q826" s="712"/>
    </row>
    <row r="827" spans="1:17" ht="14.4" customHeight="1" x14ac:dyDescent="0.3">
      <c r="A827" s="695" t="s">
        <v>556</v>
      </c>
      <c r="B827" s="696" t="s">
        <v>4707</v>
      </c>
      <c r="C827" s="696" t="s">
        <v>3620</v>
      </c>
      <c r="D827" s="696" t="s">
        <v>4214</v>
      </c>
      <c r="E827" s="696" t="s">
        <v>4215</v>
      </c>
      <c r="F827" s="711">
        <v>1</v>
      </c>
      <c r="G827" s="711">
        <v>5891.8</v>
      </c>
      <c r="H827" s="711">
        <v>1</v>
      </c>
      <c r="I827" s="711">
        <v>5891.8</v>
      </c>
      <c r="J827" s="711"/>
      <c r="K827" s="711"/>
      <c r="L827" s="711"/>
      <c r="M827" s="711"/>
      <c r="N827" s="711"/>
      <c r="O827" s="711"/>
      <c r="P827" s="701"/>
      <c r="Q827" s="712"/>
    </row>
    <row r="828" spans="1:17" ht="14.4" customHeight="1" x14ac:dyDescent="0.3">
      <c r="A828" s="695" t="s">
        <v>556</v>
      </c>
      <c r="B828" s="696" t="s">
        <v>4707</v>
      </c>
      <c r="C828" s="696" t="s">
        <v>3620</v>
      </c>
      <c r="D828" s="696" t="s">
        <v>4216</v>
      </c>
      <c r="E828" s="696" t="s">
        <v>4217</v>
      </c>
      <c r="F828" s="711"/>
      <c r="G828" s="711"/>
      <c r="H828" s="711"/>
      <c r="I828" s="711"/>
      <c r="J828" s="711"/>
      <c r="K828" s="711"/>
      <c r="L828" s="711"/>
      <c r="M828" s="711"/>
      <c r="N828" s="711">
        <v>1</v>
      </c>
      <c r="O828" s="711">
        <v>1190.78</v>
      </c>
      <c r="P828" s="701"/>
      <c r="Q828" s="712">
        <v>1190.78</v>
      </c>
    </row>
    <row r="829" spans="1:17" ht="14.4" customHeight="1" x14ac:dyDescent="0.3">
      <c r="A829" s="695" t="s">
        <v>556</v>
      </c>
      <c r="B829" s="696" t="s">
        <v>4707</v>
      </c>
      <c r="C829" s="696" t="s">
        <v>3620</v>
      </c>
      <c r="D829" s="696" t="s">
        <v>4218</v>
      </c>
      <c r="E829" s="696" t="s">
        <v>4217</v>
      </c>
      <c r="F829" s="711"/>
      <c r="G829" s="711"/>
      <c r="H829" s="711"/>
      <c r="I829" s="711"/>
      <c r="J829" s="711"/>
      <c r="K829" s="711"/>
      <c r="L829" s="711"/>
      <c r="M829" s="711"/>
      <c r="N829" s="711">
        <v>1</v>
      </c>
      <c r="O829" s="711">
        <v>1226.02</v>
      </c>
      <c r="P829" s="701"/>
      <c r="Q829" s="712">
        <v>1226.02</v>
      </c>
    </row>
    <row r="830" spans="1:17" ht="14.4" customHeight="1" x14ac:dyDescent="0.3">
      <c r="A830" s="695" t="s">
        <v>556</v>
      </c>
      <c r="B830" s="696" t="s">
        <v>4707</v>
      </c>
      <c r="C830" s="696" t="s">
        <v>3620</v>
      </c>
      <c r="D830" s="696" t="s">
        <v>4224</v>
      </c>
      <c r="E830" s="696" t="s">
        <v>4223</v>
      </c>
      <c r="F830" s="711">
        <v>2</v>
      </c>
      <c r="G830" s="711">
        <v>1693.8</v>
      </c>
      <c r="H830" s="711">
        <v>1</v>
      </c>
      <c r="I830" s="711">
        <v>846.9</v>
      </c>
      <c r="J830" s="711"/>
      <c r="K830" s="711"/>
      <c r="L830" s="711"/>
      <c r="M830" s="711"/>
      <c r="N830" s="711"/>
      <c r="O830" s="711"/>
      <c r="P830" s="701"/>
      <c r="Q830" s="712"/>
    </row>
    <row r="831" spans="1:17" ht="14.4" customHeight="1" x14ac:dyDescent="0.3">
      <c r="A831" s="695" t="s">
        <v>556</v>
      </c>
      <c r="B831" s="696" t="s">
        <v>4707</v>
      </c>
      <c r="C831" s="696" t="s">
        <v>3620</v>
      </c>
      <c r="D831" s="696" t="s">
        <v>4229</v>
      </c>
      <c r="E831" s="696" t="s">
        <v>4228</v>
      </c>
      <c r="F831" s="711">
        <v>1</v>
      </c>
      <c r="G831" s="711">
        <v>11236.25</v>
      </c>
      <c r="H831" s="711">
        <v>1</v>
      </c>
      <c r="I831" s="711">
        <v>11236.25</v>
      </c>
      <c r="J831" s="711"/>
      <c r="K831" s="711"/>
      <c r="L831" s="711"/>
      <c r="M831" s="711"/>
      <c r="N831" s="711"/>
      <c r="O831" s="711"/>
      <c r="P831" s="701"/>
      <c r="Q831" s="712"/>
    </row>
    <row r="832" spans="1:17" ht="14.4" customHeight="1" x14ac:dyDescent="0.3">
      <c r="A832" s="695" t="s">
        <v>556</v>
      </c>
      <c r="B832" s="696" t="s">
        <v>4707</v>
      </c>
      <c r="C832" s="696" t="s">
        <v>3620</v>
      </c>
      <c r="D832" s="696" t="s">
        <v>4230</v>
      </c>
      <c r="E832" s="696" t="s">
        <v>4231</v>
      </c>
      <c r="F832" s="711"/>
      <c r="G832" s="711"/>
      <c r="H832" s="711"/>
      <c r="I832" s="711"/>
      <c r="J832" s="711">
        <v>1</v>
      </c>
      <c r="K832" s="711">
        <v>20716.91</v>
      </c>
      <c r="L832" s="711"/>
      <c r="M832" s="711">
        <v>20716.91</v>
      </c>
      <c r="N832" s="711"/>
      <c r="O832" s="711"/>
      <c r="P832" s="701"/>
      <c r="Q832" s="712"/>
    </row>
    <row r="833" spans="1:17" ht="14.4" customHeight="1" x14ac:dyDescent="0.3">
      <c r="A833" s="695" t="s">
        <v>556</v>
      </c>
      <c r="B833" s="696" t="s">
        <v>4707</v>
      </c>
      <c r="C833" s="696" t="s">
        <v>3620</v>
      </c>
      <c r="D833" s="696" t="s">
        <v>4763</v>
      </c>
      <c r="E833" s="696" t="s">
        <v>4233</v>
      </c>
      <c r="F833" s="711">
        <v>1</v>
      </c>
      <c r="G833" s="711">
        <v>9701.4</v>
      </c>
      <c r="H833" s="711">
        <v>1</v>
      </c>
      <c r="I833" s="711">
        <v>9701.4</v>
      </c>
      <c r="J833" s="711"/>
      <c r="K833" s="711"/>
      <c r="L833" s="711"/>
      <c r="M833" s="711"/>
      <c r="N833" s="711"/>
      <c r="O833" s="711"/>
      <c r="P833" s="701"/>
      <c r="Q833" s="712"/>
    </row>
    <row r="834" spans="1:17" ht="14.4" customHeight="1" x14ac:dyDescent="0.3">
      <c r="A834" s="695" t="s">
        <v>556</v>
      </c>
      <c r="B834" s="696" t="s">
        <v>4707</v>
      </c>
      <c r="C834" s="696" t="s">
        <v>3620</v>
      </c>
      <c r="D834" s="696" t="s">
        <v>4232</v>
      </c>
      <c r="E834" s="696" t="s">
        <v>4233</v>
      </c>
      <c r="F834" s="711"/>
      <c r="G834" s="711"/>
      <c r="H834" s="711"/>
      <c r="I834" s="711"/>
      <c r="J834" s="711"/>
      <c r="K834" s="711"/>
      <c r="L834" s="711"/>
      <c r="M834" s="711"/>
      <c r="N834" s="711">
        <v>1</v>
      </c>
      <c r="O834" s="711">
        <v>11132.62</v>
      </c>
      <c r="P834" s="701"/>
      <c r="Q834" s="712">
        <v>11132.62</v>
      </c>
    </row>
    <row r="835" spans="1:17" ht="14.4" customHeight="1" x14ac:dyDescent="0.3">
      <c r="A835" s="695" t="s">
        <v>556</v>
      </c>
      <c r="B835" s="696" t="s">
        <v>4707</v>
      </c>
      <c r="C835" s="696" t="s">
        <v>3620</v>
      </c>
      <c r="D835" s="696" t="s">
        <v>4237</v>
      </c>
      <c r="E835" s="696" t="s">
        <v>4238</v>
      </c>
      <c r="F835" s="711"/>
      <c r="G835" s="711"/>
      <c r="H835" s="711"/>
      <c r="I835" s="711"/>
      <c r="J835" s="711">
        <v>1</v>
      </c>
      <c r="K835" s="711">
        <v>11571</v>
      </c>
      <c r="L835" s="711"/>
      <c r="M835" s="711">
        <v>11571</v>
      </c>
      <c r="N835" s="711"/>
      <c r="O835" s="711"/>
      <c r="P835" s="701"/>
      <c r="Q835" s="712"/>
    </row>
    <row r="836" spans="1:17" ht="14.4" customHeight="1" x14ac:dyDescent="0.3">
      <c r="A836" s="695" t="s">
        <v>556</v>
      </c>
      <c r="B836" s="696" t="s">
        <v>4707</v>
      </c>
      <c r="C836" s="696" t="s">
        <v>3620</v>
      </c>
      <c r="D836" s="696" t="s">
        <v>4239</v>
      </c>
      <c r="E836" s="696" t="s">
        <v>4023</v>
      </c>
      <c r="F836" s="711"/>
      <c r="G836" s="711"/>
      <c r="H836" s="711"/>
      <c r="I836" s="711"/>
      <c r="J836" s="711">
        <v>5</v>
      </c>
      <c r="K836" s="711">
        <v>6798.55</v>
      </c>
      <c r="L836" s="711"/>
      <c r="M836" s="711">
        <v>1359.71</v>
      </c>
      <c r="N836" s="711"/>
      <c r="O836" s="711"/>
      <c r="P836" s="701"/>
      <c r="Q836" s="712"/>
    </row>
    <row r="837" spans="1:17" ht="14.4" customHeight="1" x14ac:dyDescent="0.3">
      <c r="A837" s="695" t="s">
        <v>556</v>
      </c>
      <c r="B837" s="696" t="s">
        <v>4707</v>
      </c>
      <c r="C837" s="696" t="s">
        <v>3620</v>
      </c>
      <c r="D837" s="696" t="s">
        <v>4242</v>
      </c>
      <c r="E837" s="696" t="s">
        <v>4243</v>
      </c>
      <c r="F837" s="711"/>
      <c r="G837" s="711"/>
      <c r="H837" s="711"/>
      <c r="I837" s="711"/>
      <c r="J837" s="711">
        <v>4</v>
      </c>
      <c r="K837" s="711">
        <v>874.68</v>
      </c>
      <c r="L837" s="711"/>
      <c r="M837" s="711">
        <v>218.67</v>
      </c>
      <c r="N837" s="711"/>
      <c r="O837" s="711"/>
      <c r="P837" s="701"/>
      <c r="Q837" s="712"/>
    </row>
    <row r="838" spans="1:17" ht="14.4" customHeight="1" x14ac:dyDescent="0.3">
      <c r="A838" s="695" t="s">
        <v>556</v>
      </c>
      <c r="B838" s="696" t="s">
        <v>4707</v>
      </c>
      <c r="C838" s="696" t="s">
        <v>3620</v>
      </c>
      <c r="D838" s="696" t="s">
        <v>4245</v>
      </c>
      <c r="E838" s="696" t="s">
        <v>3787</v>
      </c>
      <c r="F838" s="711"/>
      <c r="G838" s="711"/>
      <c r="H838" s="711"/>
      <c r="I838" s="711"/>
      <c r="J838" s="711"/>
      <c r="K838" s="711"/>
      <c r="L838" s="711"/>
      <c r="M838" s="711"/>
      <c r="N838" s="711">
        <v>2</v>
      </c>
      <c r="O838" s="711">
        <v>3529.86</v>
      </c>
      <c r="P838" s="701"/>
      <c r="Q838" s="712">
        <v>1764.93</v>
      </c>
    </row>
    <row r="839" spans="1:17" ht="14.4" customHeight="1" x14ac:dyDescent="0.3">
      <c r="A839" s="695" t="s">
        <v>556</v>
      </c>
      <c r="B839" s="696" t="s">
        <v>4707</v>
      </c>
      <c r="C839" s="696" t="s">
        <v>3620</v>
      </c>
      <c r="D839" s="696" t="s">
        <v>3786</v>
      </c>
      <c r="E839" s="696" t="s">
        <v>3787</v>
      </c>
      <c r="F839" s="711"/>
      <c r="G839" s="711"/>
      <c r="H839" s="711"/>
      <c r="I839" s="711"/>
      <c r="J839" s="711">
        <v>1</v>
      </c>
      <c r="K839" s="711">
        <v>1783.48</v>
      </c>
      <c r="L839" s="711"/>
      <c r="M839" s="711">
        <v>1783.48</v>
      </c>
      <c r="N839" s="711"/>
      <c r="O839" s="711"/>
      <c r="P839" s="701"/>
      <c r="Q839" s="712"/>
    </row>
    <row r="840" spans="1:17" ht="14.4" customHeight="1" x14ac:dyDescent="0.3">
      <c r="A840" s="695" t="s">
        <v>556</v>
      </c>
      <c r="B840" s="696" t="s">
        <v>4707</v>
      </c>
      <c r="C840" s="696" t="s">
        <v>3620</v>
      </c>
      <c r="D840" s="696" t="s">
        <v>4247</v>
      </c>
      <c r="E840" s="696" t="s">
        <v>4248</v>
      </c>
      <c r="F840" s="711">
        <v>8</v>
      </c>
      <c r="G840" s="711">
        <v>90704</v>
      </c>
      <c r="H840" s="711">
        <v>1</v>
      </c>
      <c r="I840" s="711">
        <v>11338</v>
      </c>
      <c r="J840" s="711">
        <v>1</v>
      </c>
      <c r="K840" s="711">
        <v>11338</v>
      </c>
      <c r="L840" s="711">
        <v>0.125</v>
      </c>
      <c r="M840" s="711">
        <v>11338</v>
      </c>
      <c r="N840" s="711">
        <v>1</v>
      </c>
      <c r="O840" s="711">
        <v>11338</v>
      </c>
      <c r="P840" s="701">
        <v>0.125</v>
      </c>
      <c r="Q840" s="712">
        <v>11338</v>
      </c>
    </row>
    <row r="841" spans="1:17" ht="14.4" customHeight="1" x14ac:dyDescent="0.3">
      <c r="A841" s="695" t="s">
        <v>556</v>
      </c>
      <c r="B841" s="696" t="s">
        <v>4707</v>
      </c>
      <c r="C841" s="696" t="s">
        <v>3620</v>
      </c>
      <c r="D841" s="696" t="s">
        <v>4764</v>
      </c>
      <c r="E841" s="696" t="s">
        <v>4765</v>
      </c>
      <c r="F841" s="711">
        <v>1</v>
      </c>
      <c r="G841" s="711">
        <v>2707</v>
      </c>
      <c r="H841" s="711">
        <v>1</v>
      </c>
      <c r="I841" s="711">
        <v>2707</v>
      </c>
      <c r="J841" s="711">
        <v>1</v>
      </c>
      <c r="K841" s="711">
        <v>2707</v>
      </c>
      <c r="L841" s="711">
        <v>1</v>
      </c>
      <c r="M841" s="711">
        <v>2707</v>
      </c>
      <c r="N841" s="711">
        <v>1</v>
      </c>
      <c r="O841" s="711">
        <v>2707</v>
      </c>
      <c r="P841" s="701">
        <v>1</v>
      </c>
      <c r="Q841" s="712">
        <v>2707</v>
      </c>
    </row>
    <row r="842" spans="1:17" ht="14.4" customHeight="1" x14ac:dyDescent="0.3">
      <c r="A842" s="695" t="s">
        <v>556</v>
      </c>
      <c r="B842" s="696" t="s">
        <v>4707</v>
      </c>
      <c r="C842" s="696" t="s">
        <v>3620</v>
      </c>
      <c r="D842" s="696" t="s">
        <v>4249</v>
      </c>
      <c r="E842" s="696" t="s">
        <v>4250</v>
      </c>
      <c r="F842" s="711">
        <v>8</v>
      </c>
      <c r="G842" s="711">
        <v>36864</v>
      </c>
      <c r="H842" s="711">
        <v>1</v>
      </c>
      <c r="I842" s="711">
        <v>4608</v>
      </c>
      <c r="J842" s="711">
        <v>1</v>
      </c>
      <c r="K842" s="711">
        <v>4608</v>
      </c>
      <c r="L842" s="711">
        <v>0.125</v>
      </c>
      <c r="M842" s="711">
        <v>4608</v>
      </c>
      <c r="N842" s="711">
        <v>1</v>
      </c>
      <c r="O842" s="711">
        <v>4608</v>
      </c>
      <c r="P842" s="701">
        <v>0.125</v>
      </c>
      <c r="Q842" s="712">
        <v>4608</v>
      </c>
    </row>
    <row r="843" spans="1:17" ht="14.4" customHeight="1" x14ac:dyDescent="0.3">
      <c r="A843" s="695" t="s">
        <v>556</v>
      </c>
      <c r="B843" s="696" t="s">
        <v>4707</v>
      </c>
      <c r="C843" s="696" t="s">
        <v>3620</v>
      </c>
      <c r="D843" s="696" t="s">
        <v>4766</v>
      </c>
      <c r="E843" s="696" t="s">
        <v>4767</v>
      </c>
      <c r="F843" s="711">
        <v>6</v>
      </c>
      <c r="G843" s="711">
        <v>16242</v>
      </c>
      <c r="H843" s="711">
        <v>1</v>
      </c>
      <c r="I843" s="711">
        <v>2707</v>
      </c>
      <c r="J843" s="711">
        <v>1</v>
      </c>
      <c r="K843" s="711">
        <v>2707</v>
      </c>
      <c r="L843" s="711">
        <v>0.16666666666666666</v>
      </c>
      <c r="M843" s="711">
        <v>2707</v>
      </c>
      <c r="N843" s="711"/>
      <c r="O843" s="711"/>
      <c r="P843" s="701"/>
      <c r="Q843" s="712"/>
    </row>
    <row r="844" spans="1:17" ht="14.4" customHeight="1" x14ac:dyDescent="0.3">
      <c r="A844" s="695" t="s">
        <v>556</v>
      </c>
      <c r="B844" s="696" t="s">
        <v>4707</v>
      </c>
      <c r="C844" s="696" t="s">
        <v>3620</v>
      </c>
      <c r="D844" s="696" t="s">
        <v>4251</v>
      </c>
      <c r="E844" s="696" t="s">
        <v>4066</v>
      </c>
      <c r="F844" s="711">
        <v>2</v>
      </c>
      <c r="G844" s="711">
        <v>2773.3</v>
      </c>
      <c r="H844" s="711">
        <v>1</v>
      </c>
      <c r="I844" s="711">
        <v>1386.65</v>
      </c>
      <c r="J844" s="711">
        <v>2</v>
      </c>
      <c r="K844" s="711">
        <v>2773.3</v>
      </c>
      <c r="L844" s="711">
        <v>1</v>
      </c>
      <c r="M844" s="711">
        <v>1386.65</v>
      </c>
      <c r="N844" s="711"/>
      <c r="O844" s="711"/>
      <c r="P844" s="701"/>
      <c r="Q844" s="712"/>
    </row>
    <row r="845" spans="1:17" ht="14.4" customHeight="1" x14ac:dyDescent="0.3">
      <c r="A845" s="695" t="s">
        <v>556</v>
      </c>
      <c r="B845" s="696" t="s">
        <v>4707</v>
      </c>
      <c r="C845" s="696" t="s">
        <v>3620</v>
      </c>
      <c r="D845" s="696" t="s">
        <v>4252</v>
      </c>
      <c r="E845" s="696" t="s">
        <v>4253</v>
      </c>
      <c r="F845" s="711">
        <v>2</v>
      </c>
      <c r="G845" s="711">
        <v>18279.38</v>
      </c>
      <c r="H845" s="711">
        <v>1</v>
      </c>
      <c r="I845" s="711">
        <v>9139.69</v>
      </c>
      <c r="J845" s="711">
        <v>2</v>
      </c>
      <c r="K845" s="711">
        <v>18279.38</v>
      </c>
      <c r="L845" s="711">
        <v>1</v>
      </c>
      <c r="M845" s="711">
        <v>9139.69</v>
      </c>
      <c r="N845" s="711"/>
      <c r="O845" s="711"/>
      <c r="P845" s="701"/>
      <c r="Q845" s="712"/>
    </row>
    <row r="846" spans="1:17" ht="14.4" customHeight="1" x14ac:dyDescent="0.3">
      <c r="A846" s="695" t="s">
        <v>556</v>
      </c>
      <c r="B846" s="696" t="s">
        <v>4707</v>
      </c>
      <c r="C846" s="696" t="s">
        <v>3620</v>
      </c>
      <c r="D846" s="696" t="s">
        <v>4254</v>
      </c>
      <c r="E846" s="696" t="s">
        <v>3927</v>
      </c>
      <c r="F846" s="711"/>
      <c r="G846" s="711"/>
      <c r="H846" s="711"/>
      <c r="I846" s="711"/>
      <c r="J846" s="711">
        <v>0.7</v>
      </c>
      <c r="K846" s="711">
        <v>589.05999999999995</v>
      </c>
      <c r="L846" s="711"/>
      <c r="M846" s="711">
        <v>841.51428571428573</v>
      </c>
      <c r="N846" s="711"/>
      <c r="O846" s="711"/>
      <c r="P846" s="701"/>
      <c r="Q846" s="712"/>
    </row>
    <row r="847" spans="1:17" ht="14.4" customHeight="1" x14ac:dyDescent="0.3">
      <c r="A847" s="695" t="s">
        <v>556</v>
      </c>
      <c r="B847" s="696" t="s">
        <v>4707</v>
      </c>
      <c r="C847" s="696" t="s">
        <v>3620</v>
      </c>
      <c r="D847" s="696" t="s">
        <v>4255</v>
      </c>
      <c r="E847" s="696" t="s">
        <v>4256</v>
      </c>
      <c r="F847" s="711"/>
      <c r="G847" s="711"/>
      <c r="H847" s="711"/>
      <c r="I847" s="711"/>
      <c r="J847" s="711">
        <v>4</v>
      </c>
      <c r="K847" s="711">
        <v>8518.92</v>
      </c>
      <c r="L847" s="711"/>
      <c r="M847" s="711">
        <v>2129.73</v>
      </c>
      <c r="N847" s="711"/>
      <c r="O847" s="711"/>
      <c r="P847" s="701"/>
      <c r="Q847" s="712"/>
    </row>
    <row r="848" spans="1:17" ht="14.4" customHeight="1" x14ac:dyDescent="0.3">
      <c r="A848" s="695" t="s">
        <v>556</v>
      </c>
      <c r="B848" s="696" t="s">
        <v>4707</v>
      </c>
      <c r="C848" s="696" t="s">
        <v>3620</v>
      </c>
      <c r="D848" s="696" t="s">
        <v>4300</v>
      </c>
      <c r="E848" s="696" t="s">
        <v>4301</v>
      </c>
      <c r="F848" s="711">
        <v>1</v>
      </c>
      <c r="G848" s="711">
        <v>2980.58</v>
      </c>
      <c r="H848" s="711">
        <v>1</v>
      </c>
      <c r="I848" s="711">
        <v>2980.58</v>
      </c>
      <c r="J848" s="711"/>
      <c r="K848" s="711"/>
      <c r="L848" s="711"/>
      <c r="M848" s="711"/>
      <c r="N848" s="711"/>
      <c r="O848" s="711"/>
      <c r="P848" s="701"/>
      <c r="Q848" s="712"/>
    </row>
    <row r="849" spans="1:17" ht="14.4" customHeight="1" x14ac:dyDescent="0.3">
      <c r="A849" s="695" t="s">
        <v>556</v>
      </c>
      <c r="B849" s="696" t="s">
        <v>4707</v>
      </c>
      <c r="C849" s="696" t="s">
        <v>3620</v>
      </c>
      <c r="D849" s="696" t="s">
        <v>4313</v>
      </c>
      <c r="E849" s="696" t="s">
        <v>4314</v>
      </c>
      <c r="F849" s="711">
        <v>1</v>
      </c>
      <c r="G849" s="711">
        <v>6901.15</v>
      </c>
      <c r="H849" s="711">
        <v>1</v>
      </c>
      <c r="I849" s="711">
        <v>6901.15</v>
      </c>
      <c r="J849" s="711"/>
      <c r="K849" s="711"/>
      <c r="L849" s="711"/>
      <c r="M849" s="711"/>
      <c r="N849" s="711"/>
      <c r="O849" s="711"/>
      <c r="P849" s="701"/>
      <c r="Q849" s="712"/>
    </row>
    <row r="850" spans="1:17" ht="14.4" customHeight="1" x14ac:dyDescent="0.3">
      <c r="A850" s="695" t="s">
        <v>556</v>
      </c>
      <c r="B850" s="696" t="s">
        <v>4707</v>
      </c>
      <c r="C850" s="696" t="s">
        <v>3620</v>
      </c>
      <c r="D850" s="696" t="s">
        <v>4317</v>
      </c>
      <c r="E850" s="696" t="s">
        <v>4318</v>
      </c>
      <c r="F850" s="711"/>
      <c r="G850" s="711"/>
      <c r="H850" s="711"/>
      <c r="I850" s="711"/>
      <c r="J850" s="711"/>
      <c r="K850" s="711"/>
      <c r="L850" s="711"/>
      <c r="M850" s="711"/>
      <c r="N850" s="711">
        <v>1</v>
      </c>
      <c r="O850" s="711">
        <v>7717</v>
      </c>
      <c r="P850" s="701"/>
      <c r="Q850" s="712">
        <v>7717</v>
      </c>
    </row>
    <row r="851" spans="1:17" ht="14.4" customHeight="1" x14ac:dyDescent="0.3">
      <c r="A851" s="695" t="s">
        <v>556</v>
      </c>
      <c r="B851" s="696" t="s">
        <v>4707</v>
      </c>
      <c r="C851" s="696" t="s">
        <v>3620</v>
      </c>
      <c r="D851" s="696" t="s">
        <v>4768</v>
      </c>
      <c r="E851" s="696" t="s">
        <v>4769</v>
      </c>
      <c r="F851" s="711">
        <v>5</v>
      </c>
      <c r="G851" s="711">
        <v>69233.75</v>
      </c>
      <c r="H851" s="711">
        <v>1</v>
      </c>
      <c r="I851" s="711">
        <v>13846.75</v>
      </c>
      <c r="J851" s="711"/>
      <c r="K851" s="711"/>
      <c r="L851" s="711"/>
      <c r="M851" s="711"/>
      <c r="N851" s="711"/>
      <c r="O851" s="711"/>
      <c r="P851" s="701"/>
      <c r="Q851" s="712"/>
    </row>
    <row r="852" spans="1:17" ht="14.4" customHeight="1" x14ac:dyDescent="0.3">
      <c r="A852" s="695" t="s">
        <v>556</v>
      </c>
      <c r="B852" s="696" t="s">
        <v>4707</v>
      </c>
      <c r="C852" s="696" t="s">
        <v>3620</v>
      </c>
      <c r="D852" s="696" t="s">
        <v>4770</v>
      </c>
      <c r="E852" s="696" t="s">
        <v>4769</v>
      </c>
      <c r="F852" s="711">
        <v>2</v>
      </c>
      <c r="G852" s="711">
        <v>57955.11</v>
      </c>
      <c r="H852" s="711">
        <v>1</v>
      </c>
      <c r="I852" s="711">
        <v>28977.555</v>
      </c>
      <c r="J852" s="711"/>
      <c r="K852" s="711"/>
      <c r="L852" s="711"/>
      <c r="M852" s="711"/>
      <c r="N852" s="711"/>
      <c r="O852" s="711"/>
      <c r="P852" s="701"/>
      <c r="Q852" s="712"/>
    </row>
    <row r="853" spans="1:17" ht="14.4" customHeight="1" x14ac:dyDescent="0.3">
      <c r="A853" s="695" t="s">
        <v>556</v>
      </c>
      <c r="B853" s="696" t="s">
        <v>4707</v>
      </c>
      <c r="C853" s="696" t="s">
        <v>3620</v>
      </c>
      <c r="D853" s="696" t="s">
        <v>4771</v>
      </c>
      <c r="E853" s="696" t="s">
        <v>4772</v>
      </c>
      <c r="F853" s="711">
        <v>6</v>
      </c>
      <c r="G853" s="711">
        <v>37504.449999999997</v>
      </c>
      <c r="H853" s="711">
        <v>1</v>
      </c>
      <c r="I853" s="711">
        <v>6250.7416666666659</v>
      </c>
      <c r="J853" s="711"/>
      <c r="K853" s="711"/>
      <c r="L853" s="711"/>
      <c r="M853" s="711"/>
      <c r="N853" s="711"/>
      <c r="O853" s="711"/>
      <c r="P853" s="701"/>
      <c r="Q853" s="712"/>
    </row>
    <row r="854" spans="1:17" ht="14.4" customHeight="1" x14ac:dyDescent="0.3">
      <c r="A854" s="695" t="s">
        <v>556</v>
      </c>
      <c r="B854" s="696" t="s">
        <v>4707</v>
      </c>
      <c r="C854" s="696" t="s">
        <v>3620</v>
      </c>
      <c r="D854" s="696" t="s">
        <v>4773</v>
      </c>
      <c r="E854" s="696" t="s">
        <v>4774</v>
      </c>
      <c r="F854" s="711">
        <v>8</v>
      </c>
      <c r="G854" s="711">
        <v>23914.25</v>
      </c>
      <c r="H854" s="711">
        <v>1</v>
      </c>
      <c r="I854" s="711">
        <v>2989.28125</v>
      </c>
      <c r="J854" s="711"/>
      <c r="K854" s="711"/>
      <c r="L854" s="711"/>
      <c r="M854" s="711"/>
      <c r="N854" s="711"/>
      <c r="O854" s="711"/>
      <c r="P854" s="701"/>
      <c r="Q854" s="712"/>
    </row>
    <row r="855" spans="1:17" ht="14.4" customHeight="1" x14ac:dyDescent="0.3">
      <c r="A855" s="695" t="s">
        <v>556</v>
      </c>
      <c r="B855" s="696" t="s">
        <v>4707</v>
      </c>
      <c r="C855" s="696" t="s">
        <v>3620</v>
      </c>
      <c r="D855" s="696" t="s">
        <v>4329</v>
      </c>
      <c r="E855" s="696" t="s">
        <v>4330</v>
      </c>
      <c r="F855" s="711"/>
      <c r="G855" s="711"/>
      <c r="H855" s="711"/>
      <c r="I855" s="711"/>
      <c r="J855" s="711"/>
      <c r="K855" s="711"/>
      <c r="L855" s="711"/>
      <c r="M855" s="711"/>
      <c r="N855" s="711">
        <v>1</v>
      </c>
      <c r="O855" s="711">
        <v>15313.31</v>
      </c>
      <c r="P855" s="701"/>
      <c r="Q855" s="712">
        <v>15313.31</v>
      </c>
    </row>
    <row r="856" spans="1:17" ht="14.4" customHeight="1" x14ac:dyDescent="0.3">
      <c r="A856" s="695" t="s">
        <v>556</v>
      </c>
      <c r="B856" s="696" t="s">
        <v>4707</v>
      </c>
      <c r="C856" s="696" t="s">
        <v>3620</v>
      </c>
      <c r="D856" s="696" t="s">
        <v>4331</v>
      </c>
      <c r="E856" s="696" t="s">
        <v>4332</v>
      </c>
      <c r="F856" s="711"/>
      <c r="G856" s="711"/>
      <c r="H856" s="711"/>
      <c r="I856" s="711"/>
      <c r="J856" s="711">
        <v>1</v>
      </c>
      <c r="K856" s="711">
        <v>8691.98</v>
      </c>
      <c r="L856" s="711"/>
      <c r="M856" s="711">
        <v>8691.98</v>
      </c>
      <c r="N856" s="711"/>
      <c r="O856" s="711"/>
      <c r="P856" s="701"/>
      <c r="Q856" s="712"/>
    </row>
    <row r="857" spans="1:17" ht="14.4" customHeight="1" x14ac:dyDescent="0.3">
      <c r="A857" s="695" t="s">
        <v>556</v>
      </c>
      <c r="B857" s="696" t="s">
        <v>4707</v>
      </c>
      <c r="C857" s="696" t="s">
        <v>3620</v>
      </c>
      <c r="D857" s="696" t="s">
        <v>4345</v>
      </c>
      <c r="E857" s="696" t="s">
        <v>4346</v>
      </c>
      <c r="F857" s="711"/>
      <c r="G857" s="711"/>
      <c r="H857" s="711"/>
      <c r="I857" s="711"/>
      <c r="J857" s="711"/>
      <c r="K857" s="711"/>
      <c r="L857" s="711"/>
      <c r="M857" s="711"/>
      <c r="N857" s="711">
        <v>2</v>
      </c>
      <c r="O857" s="711">
        <v>8364.08</v>
      </c>
      <c r="P857" s="701"/>
      <c r="Q857" s="712">
        <v>4182.04</v>
      </c>
    </row>
    <row r="858" spans="1:17" ht="14.4" customHeight="1" x14ac:dyDescent="0.3">
      <c r="A858" s="695" t="s">
        <v>556</v>
      </c>
      <c r="B858" s="696" t="s">
        <v>4707</v>
      </c>
      <c r="C858" s="696" t="s">
        <v>3620</v>
      </c>
      <c r="D858" s="696" t="s">
        <v>4775</v>
      </c>
      <c r="E858" s="696" t="s">
        <v>4086</v>
      </c>
      <c r="F858" s="711"/>
      <c r="G858" s="711"/>
      <c r="H858" s="711"/>
      <c r="I858" s="711"/>
      <c r="J858" s="711"/>
      <c r="K858" s="711"/>
      <c r="L858" s="711"/>
      <c r="M858" s="711"/>
      <c r="N858" s="711">
        <v>1</v>
      </c>
      <c r="O858" s="711">
        <v>955.53</v>
      </c>
      <c r="P858" s="701"/>
      <c r="Q858" s="712">
        <v>955.53</v>
      </c>
    </row>
    <row r="859" spans="1:17" ht="14.4" customHeight="1" x14ac:dyDescent="0.3">
      <c r="A859" s="695" t="s">
        <v>556</v>
      </c>
      <c r="B859" s="696" t="s">
        <v>4707</v>
      </c>
      <c r="C859" s="696" t="s">
        <v>3620</v>
      </c>
      <c r="D859" s="696" t="s">
        <v>4776</v>
      </c>
      <c r="E859" s="696" t="s">
        <v>3918</v>
      </c>
      <c r="F859" s="711"/>
      <c r="G859" s="711"/>
      <c r="H859" s="711"/>
      <c r="I859" s="711"/>
      <c r="J859" s="711"/>
      <c r="K859" s="711"/>
      <c r="L859" s="711"/>
      <c r="M859" s="711"/>
      <c r="N859" s="711">
        <v>2</v>
      </c>
      <c r="O859" s="711">
        <v>177.02</v>
      </c>
      <c r="P859" s="701"/>
      <c r="Q859" s="712">
        <v>88.51</v>
      </c>
    </row>
    <row r="860" spans="1:17" ht="14.4" customHeight="1" x14ac:dyDescent="0.3">
      <c r="A860" s="695" t="s">
        <v>556</v>
      </c>
      <c r="B860" s="696" t="s">
        <v>4707</v>
      </c>
      <c r="C860" s="696" t="s">
        <v>3620</v>
      </c>
      <c r="D860" s="696" t="s">
        <v>4777</v>
      </c>
      <c r="E860" s="696" t="s">
        <v>4778</v>
      </c>
      <c r="F860" s="711"/>
      <c r="G860" s="711"/>
      <c r="H860" s="711"/>
      <c r="I860" s="711"/>
      <c r="J860" s="711"/>
      <c r="K860" s="711"/>
      <c r="L860" s="711"/>
      <c r="M860" s="711"/>
      <c r="N860" s="711">
        <v>0.1</v>
      </c>
      <c r="O860" s="711">
        <v>633.25</v>
      </c>
      <c r="P860" s="701"/>
      <c r="Q860" s="712">
        <v>6332.5</v>
      </c>
    </row>
    <row r="861" spans="1:17" ht="14.4" customHeight="1" x14ac:dyDescent="0.3">
      <c r="A861" s="695" t="s">
        <v>556</v>
      </c>
      <c r="B861" s="696" t="s">
        <v>4707</v>
      </c>
      <c r="C861" s="696" t="s">
        <v>3620</v>
      </c>
      <c r="D861" s="696" t="s">
        <v>4779</v>
      </c>
      <c r="E861" s="696" t="s">
        <v>4052</v>
      </c>
      <c r="F861" s="711">
        <v>1</v>
      </c>
      <c r="G861" s="711">
        <v>10188.49</v>
      </c>
      <c r="H861" s="711">
        <v>1</v>
      </c>
      <c r="I861" s="711">
        <v>10188.49</v>
      </c>
      <c r="J861" s="711"/>
      <c r="K861" s="711"/>
      <c r="L861" s="711"/>
      <c r="M861" s="711"/>
      <c r="N861" s="711"/>
      <c r="O861" s="711"/>
      <c r="P861" s="701"/>
      <c r="Q861" s="712"/>
    </row>
    <row r="862" spans="1:17" ht="14.4" customHeight="1" x14ac:dyDescent="0.3">
      <c r="A862" s="695" t="s">
        <v>556</v>
      </c>
      <c r="B862" s="696" t="s">
        <v>4707</v>
      </c>
      <c r="C862" s="696" t="s">
        <v>3620</v>
      </c>
      <c r="D862" s="696" t="s">
        <v>4780</v>
      </c>
      <c r="E862" s="696" t="s">
        <v>4781</v>
      </c>
      <c r="F862" s="711">
        <v>1</v>
      </c>
      <c r="G862" s="711">
        <v>9397</v>
      </c>
      <c r="H862" s="711">
        <v>1</v>
      </c>
      <c r="I862" s="711">
        <v>9397</v>
      </c>
      <c r="J862" s="711"/>
      <c r="K862" s="711"/>
      <c r="L862" s="711"/>
      <c r="M862" s="711"/>
      <c r="N862" s="711"/>
      <c r="O862" s="711"/>
      <c r="P862" s="701"/>
      <c r="Q862" s="712"/>
    </row>
    <row r="863" spans="1:17" ht="14.4" customHeight="1" x14ac:dyDescent="0.3">
      <c r="A863" s="695" t="s">
        <v>556</v>
      </c>
      <c r="B863" s="696" t="s">
        <v>4707</v>
      </c>
      <c r="C863" s="696" t="s">
        <v>3620</v>
      </c>
      <c r="D863" s="696" t="s">
        <v>4370</v>
      </c>
      <c r="E863" s="696" t="s">
        <v>4371</v>
      </c>
      <c r="F863" s="711">
        <v>1</v>
      </c>
      <c r="G863" s="711">
        <v>2560</v>
      </c>
      <c r="H863" s="711">
        <v>1</v>
      </c>
      <c r="I863" s="711">
        <v>2560</v>
      </c>
      <c r="J863" s="711"/>
      <c r="K863" s="711"/>
      <c r="L863" s="711"/>
      <c r="M863" s="711"/>
      <c r="N863" s="711"/>
      <c r="O863" s="711"/>
      <c r="P863" s="701"/>
      <c r="Q863" s="712"/>
    </row>
    <row r="864" spans="1:17" ht="14.4" customHeight="1" x14ac:dyDescent="0.3">
      <c r="A864" s="695" t="s">
        <v>556</v>
      </c>
      <c r="B864" s="696" t="s">
        <v>4707</v>
      </c>
      <c r="C864" s="696" t="s">
        <v>3620</v>
      </c>
      <c r="D864" s="696" t="s">
        <v>4782</v>
      </c>
      <c r="E864" s="696" t="s">
        <v>4783</v>
      </c>
      <c r="F864" s="711">
        <v>1</v>
      </c>
      <c r="G864" s="711">
        <v>1872.2</v>
      </c>
      <c r="H864" s="711">
        <v>1</v>
      </c>
      <c r="I864" s="711">
        <v>1872.2</v>
      </c>
      <c r="J864" s="711"/>
      <c r="K864" s="711"/>
      <c r="L864" s="711"/>
      <c r="M864" s="711"/>
      <c r="N864" s="711">
        <v>2</v>
      </c>
      <c r="O864" s="711">
        <v>3744.4</v>
      </c>
      <c r="P864" s="701">
        <v>2</v>
      </c>
      <c r="Q864" s="712">
        <v>1872.2</v>
      </c>
    </row>
    <row r="865" spans="1:17" ht="14.4" customHeight="1" x14ac:dyDescent="0.3">
      <c r="A865" s="695" t="s">
        <v>556</v>
      </c>
      <c r="B865" s="696" t="s">
        <v>4707</v>
      </c>
      <c r="C865" s="696" t="s">
        <v>3620</v>
      </c>
      <c r="D865" s="696" t="s">
        <v>4784</v>
      </c>
      <c r="E865" s="696" t="s">
        <v>4785</v>
      </c>
      <c r="F865" s="711"/>
      <c r="G865" s="711"/>
      <c r="H865" s="711"/>
      <c r="I865" s="711"/>
      <c r="J865" s="711"/>
      <c r="K865" s="711"/>
      <c r="L865" s="711"/>
      <c r="M865" s="711"/>
      <c r="N865" s="711">
        <v>1</v>
      </c>
      <c r="O865" s="711">
        <v>7868.61</v>
      </c>
      <c r="P865" s="701"/>
      <c r="Q865" s="712">
        <v>7868.61</v>
      </c>
    </row>
    <row r="866" spans="1:17" ht="14.4" customHeight="1" x14ac:dyDescent="0.3">
      <c r="A866" s="695" t="s">
        <v>556</v>
      </c>
      <c r="B866" s="696" t="s">
        <v>4707</v>
      </c>
      <c r="C866" s="696" t="s">
        <v>3620</v>
      </c>
      <c r="D866" s="696" t="s">
        <v>4377</v>
      </c>
      <c r="E866" s="696" t="s">
        <v>4217</v>
      </c>
      <c r="F866" s="711"/>
      <c r="G866" s="711"/>
      <c r="H866" s="711"/>
      <c r="I866" s="711"/>
      <c r="J866" s="711"/>
      <c r="K866" s="711"/>
      <c r="L866" s="711"/>
      <c r="M866" s="711"/>
      <c r="N866" s="711">
        <v>2</v>
      </c>
      <c r="O866" s="711">
        <v>2317.3000000000002</v>
      </c>
      <c r="P866" s="701"/>
      <c r="Q866" s="712">
        <v>1158.6500000000001</v>
      </c>
    </row>
    <row r="867" spans="1:17" ht="14.4" customHeight="1" x14ac:dyDescent="0.3">
      <c r="A867" s="695" t="s">
        <v>556</v>
      </c>
      <c r="B867" s="696" t="s">
        <v>4707</v>
      </c>
      <c r="C867" s="696" t="s">
        <v>3620</v>
      </c>
      <c r="D867" s="696" t="s">
        <v>4381</v>
      </c>
      <c r="E867" s="696" t="s">
        <v>4382</v>
      </c>
      <c r="F867" s="711">
        <v>1</v>
      </c>
      <c r="G867" s="711">
        <v>226.45</v>
      </c>
      <c r="H867" s="711">
        <v>1</v>
      </c>
      <c r="I867" s="711">
        <v>226.45</v>
      </c>
      <c r="J867" s="711"/>
      <c r="K867" s="711"/>
      <c r="L867" s="711"/>
      <c r="M867" s="711"/>
      <c r="N867" s="711"/>
      <c r="O867" s="711"/>
      <c r="P867" s="701"/>
      <c r="Q867" s="712"/>
    </row>
    <row r="868" spans="1:17" ht="14.4" customHeight="1" x14ac:dyDescent="0.3">
      <c r="A868" s="695" t="s">
        <v>556</v>
      </c>
      <c r="B868" s="696" t="s">
        <v>4707</v>
      </c>
      <c r="C868" s="696" t="s">
        <v>3620</v>
      </c>
      <c r="D868" s="696" t="s">
        <v>4786</v>
      </c>
      <c r="E868" s="696" t="s">
        <v>4787</v>
      </c>
      <c r="F868" s="711">
        <v>1</v>
      </c>
      <c r="G868" s="711">
        <v>5486</v>
      </c>
      <c r="H868" s="711">
        <v>1</v>
      </c>
      <c r="I868" s="711">
        <v>5486</v>
      </c>
      <c r="J868" s="711"/>
      <c r="K868" s="711"/>
      <c r="L868" s="711"/>
      <c r="M868" s="711"/>
      <c r="N868" s="711">
        <v>1</v>
      </c>
      <c r="O868" s="711">
        <v>5486</v>
      </c>
      <c r="P868" s="701">
        <v>1</v>
      </c>
      <c r="Q868" s="712">
        <v>5486</v>
      </c>
    </row>
    <row r="869" spans="1:17" ht="14.4" customHeight="1" x14ac:dyDescent="0.3">
      <c r="A869" s="695" t="s">
        <v>556</v>
      </c>
      <c r="B869" s="696" t="s">
        <v>4707</v>
      </c>
      <c r="C869" s="696" t="s">
        <v>3620</v>
      </c>
      <c r="D869" s="696" t="s">
        <v>4788</v>
      </c>
      <c r="E869" s="696" t="s">
        <v>4789</v>
      </c>
      <c r="F869" s="711">
        <v>4</v>
      </c>
      <c r="G869" s="711">
        <v>13739.28</v>
      </c>
      <c r="H869" s="711">
        <v>1</v>
      </c>
      <c r="I869" s="711">
        <v>3434.82</v>
      </c>
      <c r="J869" s="711"/>
      <c r="K869" s="711"/>
      <c r="L869" s="711"/>
      <c r="M869" s="711"/>
      <c r="N869" s="711"/>
      <c r="O869" s="711"/>
      <c r="P869" s="701"/>
      <c r="Q869" s="712"/>
    </row>
    <row r="870" spans="1:17" ht="14.4" customHeight="1" x14ac:dyDescent="0.3">
      <c r="A870" s="695" t="s">
        <v>556</v>
      </c>
      <c r="B870" s="696" t="s">
        <v>4707</v>
      </c>
      <c r="C870" s="696" t="s">
        <v>3620</v>
      </c>
      <c r="D870" s="696" t="s">
        <v>4790</v>
      </c>
      <c r="E870" s="696" t="s">
        <v>4791</v>
      </c>
      <c r="F870" s="711">
        <v>1</v>
      </c>
      <c r="G870" s="711">
        <v>15808.48</v>
      </c>
      <c r="H870" s="711">
        <v>1</v>
      </c>
      <c r="I870" s="711">
        <v>15808.48</v>
      </c>
      <c r="J870" s="711"/>
      <c r="K870" s="711"/>
      <c r="L870" s="711"/>
      <c r="M870" s="711"/>
      <c r="N870" s="711"/>
      <c r="O870" s="711"/>
      <c r="P870" s="701"/>
      <c r="Q870" s="712"/>
    </row>
    <row r="871" spans="1:17" ht="14.4" customHeight="1" x14ac:dyDescent="0.3">
      <c r="A871" s="695" t="s">
        <v>556</v>
      </c>
      <c r="B871" s="696" t="s">
        <v>4707</v>
      </c>
      <c r="C871" s="696" t="s">
        <v>3620</v>
      </c>
      <c r="D871" s="696" t="s">
        <v>4792</v>
      </c>
      <c r="E871" s="696" t="s">
        <v>4793</v>
      </c>
      <c r="F871" s="711">
        <v>1</v>
      </c>
      <c r="G871" s="711">
        <v>2129.11</v>
      </c>
      <c r="H871" s="711">
        <v>1</v>
      </c>
      <c r="I871" s="711">
        <v>2129.11</v>
      </c>
      <c r="J871" s="711"/>
      <c r="K871" s="711"/>
      <c r="L871" s="711"/>
      <c r="M871" s="711"/>
      <c r="N871" s="711"/>
      <c r="O871" s="711"/>
      <c r="P871" s="701"/>
      <c r="Q871" s="712"/>
    </row>
    <row r="872" spans="1:17" ht="14.4" customHeight="1" x14ac:dyDescent="0.3">
      <c r="A872" s="695" t="s">
        <v>556</v>
      </c>
      <c r="B872" s="696" t="s">
        <v>4707</v>
      </c>
      <c r="C872" s="696" t="s">
        <v>3589</v>
      </c>
      <c r="D872" s="696" t="s">
        <v>4794</v>
      </c>
      <c r="E872" s="696" t="s">
        <v>4795</v>
      </c>
      <c r="F872" s="711">
        <v>192</v>
      </c>
      <c r="G872" s="711">
        <v>2282304</v>
      </c>
      <c r="H872" s="711">
        <v>1</v>
      </c>
      <c r="I872" s="711">
        <v>11887</v>
      </c>
      <c r="J872" s="711">
        <v>190</v>
      </c>
      <c r="K872" s="711">
        <v>2260286</v>
      </c>
      <c r="L872" s="711">
        <v>0.9903527312750624</v>
      </c>
      <c r="M872" s="711">
        <v>11896.242105263158</v>
      </c>
      <c r="N872" s="711">
        <v>206</v>
      </c>
      <c r="O872" s="711">
        <v>2450782</v>
      </c>
      <c r="P872" s="701">
        <v>1.0738192633409047</v>
      </c>
      <c r="Q872" s="712">
        <v>11897</v>
      </c>
    </row>
    <row r="873" spans="1:17" ht="14.4" customHeight="1" x14ac:dyDescent="0.3">
      <c r="A873" s="695" t="s">
        <v>556</v>
      </c>
      <c r="B873" s="696" t="s">
        <v>4707</v>
      </c>
      <c r="C873" s="696" t="s">
        <v>3589</v>
      </c>
      <c r="D873" s="696" t="s">
        <v>3590</v>
      </c>
      <c r="E873" s="696" t="s">
        <v>3591</v>
      </c>
      <c r="F873" s="711">
        <v>78</v>
      </c>
      <c r="G873" s="711">
        <v>19422</v>
      </c>
      <c r="H873" s="711">
        <v>1</v>
      </c>
      <c r="I873" s="711">
        <v>249</v>
      </c>
      <c r="J873" s="711">
        <v>51</v>
      </c>
      <c r="K873" s="711">
        <v>11832</v>
      </c>
      <c r="L873" s="711">
        <v>0.60920605498918756</v>
      </c>
      <c r="M873" s="711">
        <v>232</v>
      </c>
      <c r="N873" s="711"/>
      <c r="O873" s="711"/>
      <c r="P873" s="701"/>
      <c r="Q873" s="712"/>
    </row>
    <row r="874" spans="1:17" ht="14.4" customHeight="1" x14ac:dyDescent="0.3">
      <c r="A874" s="695" t="s">
        <v>556</v>
      </c>
      <c r="B874" s="696" t="s">
        <v>4707</v>
      </c>
      <c r="C874" s="696" t="s">
        <v>3589</v>
      </c>
      <c r="D874" s="696" t="s">
        <v>4522</v>
      </c>
      <c r="E874" s="696" t="s">
        <v>4523</v>
      </c>
      <c r="F874" s="711">
        <v>0</v>
      </c>
      <c r="G874" s="711">
        <v>0</v>
      </c>
      <c r="H874" s="711"/>
      <c r="I874" s="711"/>
      <c r="J874" s="711">
        <v>0</v>
      </c>
      <c r="K874" s="711">
        <v>0</v>
      </c>
      <c r="L874" s="711"/>
      <c r="M874" s="711"/>
      <c r="N874" s="711">
        <v>0</v>
      </c>
      <c r="O874" s="711">
        <v>0</v>
      </c>
      <c r="P874" s="701"/>
      <c r="Q874" s="712"/>
    </row>
    <row r="875" spans="1:17" ht="14.4" customHeight="1" x14ac:dyDescent="0.3">
      <c r="A875" s="695" t="s">
        <v>556</v>
      </c>
      <c r="B875" s="696" t="s">
        <v>4707</v>
      </c>
      <c r="C875" s="696" t="s">
        <v>3589</v>
      </c>
      <c r="D875" s="696" t="s">
        <v>4524</v>
      </c>
      <c r="E875" s="696" t="s">
        <v>4525</v>
      </c>
      <c r="F875" s="711">
        <v>27</v>
      </c>
      <c r="G875" s="711">
        <v>0</v>
      </c>
      <c r="H875" s="711"/>
      <c r="I875" s="711">
        <v>0</v>
      </c>
      <c r="J875" s="711">
        <v>33</v>
      </c>
      <c r="K875" s="711">
        <v>0</v>
      </c>
      <c r="L875" s="711"/>
      <c r="M875" s="711">
        <v>0</v>
      </c>
      <c r="N875" s="711">
        <v>91</v>
      </c>
      <c r="O875" s="711">
        <v>0</v>
      </c>
      <c r="P875" s="701"/>
      <c r="Q875" s="712">
        <v>0</v>
      </c>
    </row>
    <row r="876" spans="1:17" ht="14.4" customHeight="1" x14ac:dyDescent="0.3">
      <c r="A876" s="695" t="s">
        <v>556</v>
      </c>
      <c r="B876" s="696" t="s">
        <v>4707</v>
      </c>
      <c r="C876" s="696" t="s">
        <v>3589</v>
      </c>
      <c r="D876" s="696" t="s">
        <v>3686</v>
      </c>
      <c r="E876" s="696" t="s">
        <v>3687</v>
      </c>
      <c r="F876" s="711"/>
      <c r="G876" s="711"/>
      <c r="H876" s="711"/>
      <c r="I876" s="711"/>
      <c r="J876" s="711">
        <v>7</v>
      </c>
      <c r="K876" s="711">
        <v>0</v>
      </c>
      <c r="L876" s="711"/>
      <c r="M876" s="711">
        <v>0</v>
      </c>
      <c r="N876" s="711"/>
      <c r="O876" s="711"/>
      <c r="P876" s="701"/>
      <c r="Q876" s="712"/>
    </row>
    <row r="877" spans="1:17" ht="14.4" customHeight="1" x14ac:dyDescent="0.3">
      <c r="A877" s="695" t="s">
        <v>556</v>
      </c>
      <c r="B877" s="696" t="s">
        <v>4707</v>
      </c>
      <c r="C877" s="696" t="s">
        <v>3589</v>
      </c>
      <c r="D877" s="696" t="s">
        <v>4526</v>
      </c>
      <c r="E877" s="696" t="s">
        <v>4527</v>
      </c>
      <c r="F877" s="711">
        <v>44</v>
      </c>
      <c r="G877" s="711">
        <v>0</v>
      </c>
      <c r="H877" s="711"/>
      <c r="I877" s="711">
        <v>0</v>
      </c>
      <c r="J877" s="711">
        <v>28</v>
      </c>
      <c r="K877" s="711">
        <v>0</v>
      </c>
      <c r="L877" s="711"/>
      <c r="M877" s="711">
        <v>0</v>
      </c>
      <c r="N877" s="711">
        <v>32</v>
      </c>
      <c r="O877" s="711">
        <v>0</v>
      </c>
      <c r="P877" s="701"/>
      <c r="Q877" s="712">
        <v>0</v>
      </c>
    </row>
    <row r="878" spans="1:17" ht="14.4" customHeight="1" x14ac:dyDescent="0.3">
      <c r="A878" s="695" t="s">
        <v>556</v>
      </c>
      <c r="B878" s="696" t="s">
        <v>4707</v>
      </c>
      <c r="C878" s="696" t="s">
        <v>3589</v>
      </c>
      <c r="D878" s="696" t="s">
        <v>4530</v>
      </c>
      <c r="E878" s="696" t="s">
        <v>4531</v>
      </c>
      <c r="F878" s="711">
        <v>162</v>
      </c>
      <c r="G878" s="711">
        <v>0</v>
      </c>
      <c r="H878" s="711"/>
      <c r="I878" s="711">
        <v>0</v>
      </c>
      <c r="J878" s="711">
        <v>130</v>
      </c>
      <c r="K878" s="711">
        <v>0</v>
      </c>
      <c r="L878" s="711"/>
      <c r="M878" s="711">
        <v>0</v>
      </c>
      <c r="N878" s="711"/>
      <c r="O878" s="711"/>
      <c r="P878" s="701"/>
      <c r="Q878" s="712"/>
    </row>
    <row r="879" spans="1:17" ht="14.4" customHeight="1" x14ac:dyDescent="0.3">
      <c r="A879" s="695" t="s">
        <v>556</v>
      </c>
      <c r="B879" s="696" t="s">
        <v>4707</v>
      </c>
      <c r="C879" s="696" t="s">
        <v>3589</v>
      </c>
      <c r="D879" s="696" t="s">
        <v>4796</v>
      </c>
      <c r="E879" s="696" t="s">
        <v>4797</v>
      </c>
      <c r="F879" s="711">
        <v>10</v>
      </c>
      <c r="G879" s="711">
        <v>54660</v>
      </c>
      <c r="H879" s="711">
        <v>1</v>
      </c>
      <c r="I879" s="711">
        <v>5466</v>
      </c>
      <c r="J879" s="711">
        <v>38</v>
      </c>
      <c r="K879" s="711">
        <v>208078</v>
      </c>
      <c r="L879" s="711">
        <v>3.8067691181851444</v>
      </c>
      <c r="M879" s="711">
        <v>5475.7368421052633</v>
      </c>
      <c r="N879" s="711">
        <v>11</v>
      </c>
      <c r="O879" s="711">
        <v>60236</v>
      </c>
      <c r="P879" s="701">
        <v>1.1020124405415295</v>
      </c>
      <c r="Q879" s="712">
        <v>5476</v>
      </c>
    </row>
    <row r="880" spans="1:17" ht="14.4" customHeight="1" x14ac:dyDescent="0.3">
      <c r="A880" s="695" t="s">
        <v>556</v>
      </c>
      <c r="B880" s="696" t="s">
        <v>4707</v>
      </c>
      <c r="C880" s="696" t="s">
        <v>3589</v>
      </c>
      <c r="D880" s="696" t="s">
        <v>4798</v>
      </c>
      <c r="E880" s="696" t="s">
        <v>4799</v>
      </c>
      <c r="F880" s="711">
        <v>121</v>
      </c>
      <c r="G880" s="711">
        <v>806586</v>
      </c>
      <c r="H880" s="711">
        <v>1</v>
      </c>
      <c r="I880" s="711">
        <v>6666</v>
      </c>
      <c r="J880" s="711">
        <v>116</v>
      </c>
      <c r="K880" s="711">
        <v>774326</v>
      </c>
      <c r="L880" s="711">
        <v>0.9600042648892988</v>
      </c>
      <c r="M880" s="711">
        <v>6675.2241379310344</v>
      </c>
      <c r="N880" s="711">
        <v>148</v>
      </c>
      <c r="O880" s="711">
        <v>988048</v>
      </c>
      <c r="P880" s="701">
        <v>1.2249753901009937</v>
      </c>
      <c r="Q880" s="712">
        <v>6676</v>
      </c>
    </row>
    <row r="881" spans="1:17" ht="14.4" customHeight="1" x14ac:dyDescent="0.3">
      <c r="A881" s="695" t="s">
        <v>556</v>
      </c>
      <c r="B881" s="696" t="s">
        <v>4707</v>
      </c>
      <c r="C881" s="696" t="s">
        <v>3589</v>
      </c>
      <c r="D881" s="696" t="s">
        <v>3706</v>
      </c>
      <c r="E881" s="696" t="s">
        <v>3707</v>
      </c>
      <c r="F881" s="711"/>
      <c r="G881" s="711"/>
      <c r="H881" s="711"/>
      <c r="I881" s="711"/>
      <c r="J881" s="711">
        <v>19</v>
      </c>
      <c r="K881" s="711">
        <v>4408</v>
      </c>
      <c r="L881" s="711"/>
      <c r="M881" s="711">
        <v>232</v>
      </c>
      <c r="N881" s="711">
        <v>73</v>
      </c>
      <c r="O881" s="711">
        <v>16936</v>
      </c>
      <c r="P881" s="701"/>
      <c r="Q881" s="712">
        <v>232</v>
      </c>
    </row>
    <row r="882" spans="1:17" ht="14.4" customHeight="1" x14ac:dyDescent="0.3">
      <c r="A882" s="695" t="s">
        <v>556</v>
      </c>
      <c r="B882" s="696" t="s">
        <v>4707</v>
      </c>
      <c r="C882" s="696" t="s">
        <v>3589</v>
      </c>
      <c r="D882" s="696" t="s">
        <v>3710</v>
      </c>
      <c r="E882" s="696" t="s">
        <v>3711</v>
      </c>
      <c r="F882" s="711"/>
      <c r="G882" s="711"/>
      <c r="H882" s="711"/>
      <c r="I882" s="711"/>
      <c r="J882" s="711">
        <v>14</v>
      </c>
      <c r="K882" s="711">
        <v>4816</v>
      </c>
      <c r="L882" s="711"/>
      <c r="M882" s="711">
        <v>344</v>
      </c>
      <c r="N882" s="711">
        <v>61</v>
      </c>
      <c r="O882" s="711">
        <v>20984</v>
      </c>
      <c r="P882" s="701"/>
      <c r="Q882" s="712">
        <v>344</v>
      </c>
    </row>
    <row r="883" spans="1:17" ht="14.4" customHeight="1" x14ac:dyDescent="0.3">
      <c r="A883" s="695" t="s">
        <v>556</v>
      </c>
      <c r="B883" s="696" t="s">
        <v>4707</v>
      </c>
      <c r="C883" s="696" t="s">
        <v>3589</v>
      </c>
      <c r="D883" s="696" t="s">
        <v>4558</v>
      </c>
      <c r="E883" s="696" t="s">
        <v>4559</v>
      </c>
      <c r="F883" s="711">
        <v>55</v>
      </c>
      <c r="G883" s="711">
        <v>19797</v>
      </c>
      <c r="H883" s="711">
        <v>1</v>
      </c>
      <c r="I883" s="711">
        <v>359.94545454545454</v>
      </c>
      <c r="J883" s="711">
        <v>40</v>
      </c>
      <c r="K883" s="711">
        <v>13792</v>
      </c>
      <c r="L883" s="711">
        <v>0.69667121281002176</v>
      </c>
      <c r="M883" s="711">
        <v>344.8</v>
      </c>
      <c r="N883" s="711"/>
      <c r="O883" s="711"/>
      <c r="P883" s="701"/>
      <c r="Q883" s="712"/>
    </row>
    <row r="884" spans="1:17" ht="14.4" customHeight="1" x14ac:dyDescent="0.3">
      <c r="A884" s="695" t="s">
        <v>556</v>
      </c>
      <c r="B884" s="696" t="s">
        <v>4707</v>
      </c>
      <c r="C884" s="696" t="s">
        <v>3589</v>
      </c>
      <c r="D884" s="696" t="s">
        <v>4607</v>
      </c>
      <c r="E884" s="696" t="s">
        <v>4608</v>
      </c>
      <c r="F884" s="711">
        <v>7</v>
      </c>
      <c r="G884" s="711">
        <v>0</v>
      </c>
      <c r="H884" s="711"/>
      <c r="I884" s="711">
        <v>0</v>
      </c>
      <c r="J884" s="711">
        <v>8</v>
      </c>
      <c r="K884" s="711">
        <v>0</v>
      </c>
      <c r="L884" s="711"/>
      <c r="M884" s="711">
        <v>0</v>
      </c>
      <c r="N884" s="711">
        <v>13</v>
      </c>
      <c r="O884" s="711">
        <v>0</v>
      </c>
      <c r="P884" s="701"/>
      <c r="Q884" s="712">
        <v>0</v>
      </c>
    </row>
    <row r="885" spans="1:17" ht="14.4" customHeight="1" x14ac:dyDescent="0.3">
      <c r="A885" s="695" t="s">
        <v>556</v>
      </c>
      <c r="B885" s="696" t="s">
        <v>4800</v>
      </c>
      <c r="C885" s="696" t="s">
        <v>3589</v>
      </c>
      <c r="D885" s="696" t="s">
        <v>3668</v>
      </c>
      <c r="E885" s="696" t="s">
        <v>3669</v>
      </c>
      <c r="F885" s="711"/>
      <c r="G885" s="711"/>
      <c r="H885" s="711"/>
      <c r="I885" s="711"/>
      <c r="J885" s="711">
        <v>5</v>
      </c>
      <c r="K885" s="711">
        <v>2635</v>
      </c>
      <c r="L885" s="711"/>
      <c r="M885" s="711">
        <v>527</v>
      </c>
      <c r="N885" s="711"/>
      <c r="O885" s="711"/>
      <c r="P885" s="701"/>
      <c r="Q885" s="712"/>
    </row>
    <row r="886" spans="1:17" ht="14.4" customHeight="1" x14ac:dyDescent="0.3">
      <c r="A886" s="695" t="s">
        <v>556</v>
      </c>
      <c r="B886" s="696" t="s">
        <v>4800</v>
      </c>
      <c r="C886" s="696" t="s">
        <v>3589</v>
      </c>
      <c r="D886" s="696" t="s">
        <v>4446</v>
      </c>
      <c r="E886" s="696" t="s">
        <v>4447</v>
      </c>
      <c r="F886" s="711"/>
      <c r="G886" s="711"/>
      <c r="H886" s="711"/>
      <c r="I886" s="711"/>
      <c r="J886" s="711">
        <v>1</v>
      </c>
      <c r="K886" s="711">
        <v>4236</v>
      </c>
      <c r="L886" s="711"/>
      <c r="M886" s="711">
        <v>4236</v>
      </c>
      <c r="N886" s="711"/>
      <c r="O886" s="711"/>
      <c r="P886" s="701"/>
      <c r="Q886" s="712"/>
    </row>
    <row r="887" spans="1:17" ht="14.4" customHeight="1" x14ac:dyDescent="0.3">
      <c r="A887" s="695" t="s">
        <v>556</v>
      </c>
      <c r="B887" s="696" t="s">
        <v>4800</v>
      </c>
      <c r="C887" s="696" t="s">
        <v>3589</v>
      </c>
      <c r="D887" s="696" t="s">
        <v>4452</v>
      </c>
      <c r="E887" s="696" t="s">
        <v>4453</v>
      </c>
      <c r="F887" s="711">
        <v>1</v>
      </c>
      <c r="G887" s="711">
        <v>997</v>
      </c>
      <c r="H887" s="711">
        <v>1</v>
      </c>
      <c r="I887" s="711">
        <v>997</v>
      </c>
      <c r="J887" s="711"/>
      <c r="K887" s="711"/>
      <c r="L887" s="711"/>
      <c r="M887" s="711"/>
      <c r="N887" s="711"/>
      <c r="O887" s="711"/>
      <c r="P887" s="701"/>
      <c r="Q887" s="712"/>
    </row>
    <row r="888" spans="1:17" ht="14.4" customHeight="1" x14ac:dyDescent="0.3">
      <c r="A888" s="695" t="s">
        <v>556</v>
      </c>
      <c r="B888" s="696" t="s">
        <v>4800</v>
      </c>
      <c r="C888" s="696" t="s">
        <v>3589</v>
      </c>
      <c r="D888" s="696" t="s">
        <v>4801</v>
      </c>
      <c r="E888" s="696" t="s">
        <v>4802</v>
      </c>
      <c r="F888" s="711"/>
      <c r="G888" s="711"/>
      <c r="H888" s="711"/>
      <c r="I888" s="711"/>
      <c r="J888" s="711"/>
      <c r="K888" s="711"/>
      <c r="L888" s="711"/>
      <c r="M888" s="711"/>
      <c r="N888" s="711">
        <v>1</v>
      </c>
      <c r="O888" s="711">
        <v>20314</v>
      </c>
      <c r="P888" s="701"/>
      <c r="Q888" s="712">
        <v>20314</v>
      </c>
    </row>
    <row r="889" spans="1:17" ht="14.4" customHeight="1" x14ac:dyDescent="0.3">
      <c r="A889" s="695" t="s">
        <v>556</v>
      </c>
      <c r="B889" s="696" t="s">
        <v>4800</v>
      </c>
      <c r="C889" s="696" t="s">
        <v>3589</v>
      </c>
      <c r="D889" s="696" t="s">
        <v>4480</v>
      </c>
      <c r="E889" s="696" t="s">
        <v>4481</v>
      </c>
      <c r="F889" s="711"/>
      <c r="G889" s="711"/>
      <c r="H889" s="711"/>
      <c r="I889" s="711"/>
      <c r="J889" s="711">
        <v>1</v>
      </c>
      <c r="K889" s="711">
        <v>2206</v>
      </c>
      <c r="L889" s="711"/>
      <c r="M889" s="711">
        <v>2206</v>
      </c>
      <c r="N889" s="711"/>
      <c r="O889" s="711"/>
      <c r="P889" s="701"/>
      <c r="Q889" s="712"/>
    </row>
    <row r="890" spans="1:17" ht="14.4" customHeight="1" x14ac:dyDescent="0.3">
      <c r="A890" s="695" t="s">
        <v>556</v>
      </c>
      <c r="B890" s="696" t="s">
        <v>4800</v>
      </c>
      <c r="C890" s="696" t="s">
        <v>3589</v>
      </c>
      <c r="D890" s="696" t="s">
        <v>4803</v>
      </c>
      <c r="E890" s="696" t="s">
        <v>4804</v>
      </c>
      <c r="F890" s="711"/>
      <c r="G890" s="711"/>
      <c r="H890" s="711"/>
      <c r="I890" s="711"/>
      <c r="J890" s="711"/>
      <c r="K890" s="711"/>
      <c r="L890" s="711"/>
      <c r="M890" s="711"/>
      <c r="N890" s="711">
        <v>12</v>
      </c>
      <c r="O890" s="711">
        <v>780</v>
      </c>
      <c r="P890" s="701"/>
      <c r="Q890" s="712">
        <v>65</v>
      </c>
    </row>
    <row r="891" spans="1:17" ht="14.4" customHeight="1" x14ac:dyDescent="0.3">
      <c r="A891" s="695" t="s">
        <v>556</v>
      </c>
      <c r="B891" s="696" t="s">
        <v>4800</v>
      </c>
      <c r="C891" s="696" t="s">
        <v>3589</v>
      </c>
      <c r="D891" s="696" t="s">
        <v>4594</v>
      </c>
      <c r="E891" s="696" t="s">
        <v>4595</v>
      </c>
      <c r="F891" s="711"/>
      <c r="G891" s="711"/>
      <c r="H891" s="711"/>
      <c r="I891" s="711"/>
      <c r="J891" s="711">
        <v>3</v>
      </c>
      <c r="K891" s="711">
        <v>6375</v>
      </c>
      <c r="L891" s="711"/>
      <c r="M891" s="711">
        <v>2125</v>
      </c>
      <c r="N891" s="711"/>
      <c r="O891" s="711"/>
      <c r="P891" s="701"/>
      <c r="Q891" s="712"/>
    </row>
    <row r="892" spans="1:17" ht="14.4" customHeight="1" x14ac:dyDescent="0.3">
      <c r="A892" s="695" t="s">
        <v>556</v>
      </c>
      <c r="B892" s="696" t="s">
        <v>4800</v>
      </c>
      <c r="C892" s="696" t="s">
        <v>3589</v>
      </c>
      <c r="D892" s="696" t="s">
        <v>663</v>
      </c>
      <c r="E892" s="696" t="s">
        <v>4604</v>
      </c>
      <c r="F892" s="711"/>
      <c r="G892" s="711"/>
      <c r="H892" s="711"/>
      <c r="I892" s="711"/>
      <c r="J892" s="711"/>
      <c r="K892" s="711"/>
      <c r="L892" s="711"/>
      <c r="M892" s="711"/>
      <c r="N892" s="711">
        <v>1</v>
      </c>
      <c r="O892" s="711">
        <v>1186</v>
      </c>
      <c r="P892" s="701"/>
      <c r="Q892" s="712">
        <v>1186</v>
      </c>
    </row>
    <row r="893" spans="1:17" ht="14.4" customHeight="1" x14ac:dyDescent="0.3">
      <c r="A893" s="695" t="s">
        <v>556</v>
      </c>
      <c r="B893" s="696" t="s">
        <v>4800</v>
      </c>
      <c r="C893" s="696" t="s">
        <v>3589</v>
      </c>
      <c r="D893" s="696" t="s">
        <v>3736</v>
      </c>
      <c r="E893" s="696" t="s">
        <v>3737</v>
      </c>
      <c r="F893" s="711">
        <v>1</v>
      </c>
      <c r="G893" s="711">
        <v>847</v>
      </c>
      <c r="H893" s="711">
        <v>1</v>
      </c>
      <c r="I893" s="711">
        <v>847</v>
      </c>
      <c r="J893" s="711"/>
      <c r="K893" s="711"/>
      <c r="L893" s="711"/>
      <c r="M893" s="711"/>
      <c r="N893" s="711"/>
      <c r="O893" s="711"/>
      <c r="P893" s="701"/>
      <c r="Q893" s="712"/>
    </row>
    <row r="894" spans="1:17" ht="14.4" customHeight="1" x14ac:dyDescent="0.3">
      <c r="A894" s="695" t="s">
        <v>556</v>
      </c>
      <c r="B894" s="696" t="s">
        <v>4800</v>
      </c>
      <c r="C894" s="696" t="s">
        <v>3589</v>
      </c>
      <c r="D894" s="696" t="s">
        <v>3742</v>
      </c>
      <c r="E894" s="696" t="s">
        <v>3743</v>
      </c>
      <c r="F894" s="711">
        <v>1</v>
      </c>
      <c r="G894" s="711">
        <v>308</v>
      </c>
      <c r="H894" s="711">
        <v>1</v>
      </c>
      <c r="I894" s="711">
        <v>308</v>
      </c>
      <c r="J894" s="711"/>
      <c r="K894" s="711"/>
      <c r="L894" s="711"/>
      <c r="M894" s="711"/>
      <c r="N894" s="711"/>
      <c r="O894" s="711"/>
      <c r="P894" s="701"/>
      <c r="Q894" s="712"/>
    </row>
    <row r="895" spans="1:17" ht="14.4" customHeight="1" x14ac:dyDescent="0.3">
      <c r="A895" s="695" t="s">
        <v>556</v>
      </c>
      <c r="B895" s="696" t="s">
        <v>4800</v>
      </c>
      <c r="C895" s="696" t="s">
        <v>3589</v>
      </c>
      <c r="D895" s="696" t="s">
        <v>4614</v>
      </c>
      <c r="E895" s="696" t="s">
        <v>4615</v>
      </c>
      <c r="F895" s="711">
        <v>1</v>
      </c>
      <c r="G895" s="711">
        <v>805</v>
      </c>
      <c r="H895" s="711">
        <v>1</v>
      </c>
      <c r="I895" s="711">
        <v>805</v>
      </c>
      <c r="J895" s="711"/>
      <c r="K895" s="711"/>
      <c r="L895" s="711"/>
      <c r="M895" s="711"/>
      <c r="N895" s="711"/>
      <c r="O895" s="711"/>
      <c r="P895" s="701"/>
      <c r="Q895" s="712"/>
    </row>
    <row r="896" spans="1:17" ht="14.4" customHeight="1" x14ac:dyDescent="0.3">
      <c r="A896" s="695" t="s">
        <v>556</v>
      </c>
      <c r="B896" s="696" t="s">
        <v>4800</v>
      </c>
      <c r="C896" s="696" t="s">
        <v>3589</v>
      </c>
      <c r="D896" s="696" t="s">
        <v>4805</v>
      </c>
      <c r="E896" s="696" t="s">
        <v>4806</v>
      </c>
      <c r="F896" s="711">
        <v>1</v>
      </c>
      <c r="G896" s="711">
        <v>1229</v>
      </c>
      <c r="H896" s="711">
        <v>1</v>
      </c>
      <c r="I896" s="711">
        <v>1229</v>
      </c>
      <c r="J896" s="711"/>
      <c r="K896" s="711"/>
      <c r="L896" s="711"/>
      <c r="M896" s="711"/>
      <c r="N896" s="711"/>
      <c r="O896" s="711"/>
      <c r="P896" s="701"/>
      <c r="Q896" s="712"/>
    </row>
    <row r="897" spans="1:17" ht="14.4" customHeight="1" x14ac:dyDescent="0.3">
      <c r="A897" s="695" t="s">
        <v>556</v>
      </c>
      <c r="B897" s="696" t="s">
        <v>4800</v>
      </c>
      <c r="C897" s="696" t="s">
        <v>3589</v>
      </c>
      <c r="D897" s="696" t="s">
        <v>4677</v>
      </c>
      <c r="E897" s="696" t="s">
        <v>4678</v>
      </c>
      <c r="F897" s="711"/>
      <c r="G897" s="711"/>
      <c r="H897" s="711"/>
      <c r="I897" s="711"/>
      <c r="J897" s="711"/>
      <c r="K897" s="711"/>
      <c r="L897" s="711"/>
      <c r="M897" s="711"/>
      <c r="N897" s="711">
        <v>1</v>
      </c>
      <c r="O897" s="711">
        <v>4949</v>
      </c>
      <c r="P897" s="701"/>
      <c r="Q897" s="712">
        <v>4949</v>
      </c>
    </row>
    <row r="898" spans="1:17" ht="14.4" customHeight="1" x14ac:dyDescent="0.3">
      <c r="A898" s="695" t="s">
        <v>556</v>
      </c>
      <c r="B898" s="696" t="s">
        <v>4800</v>
      </c>
      <c r="C898" s="696" t="s">
        <v>3589</v>
      </c>
      <c r="D898" s="696" t="s">
        <v>4683</v>
      </c>
      <c r="E898" s="696" t="s">
        <v>4684</v>
      </c>
      <c r="F898" s="711">
        <v>1</v>
      </c>
      <c r="G898" s="711">
        <v>1549</v>
      </c>
      <c r="H898" s="711">
        <v>1</v>
      </c>
      <c r="I898" s="711">
        <v>1549</v>
      </c>
      <c r="J898" s="711"/>
      <c r="K898" s="711"/>
      <c r="L898" s="711"/>
      <c r="M898" s="711"/>
      <c r="N898" s="711"/>
      <c r="O898" s="711"/>
      <c r="P898" s="701"/>
      <c r="Q898" s="712"/>
    </row>
    <row r="899" spans="1:17" ht="14.4" customHeight="1" x14ac:dyDescent="0.3">
      <c r="A899" s="695" t="s">
        <v>556</v>
      </c>
      <c r="B899" s="696" t="s">
        <v>4807</v>
      </c>
      <c r="C899" s="696" t="s">
        <v>3589</v>
      </c>
      <c r="D899" s="696" t="s">
        <v>4808</v>
      </c>
      <c r="E899" s="696" t="s">
        <v>4809</v>
      </c>
      <c r="F899" s="711">
        <v>3</v>
      </c>
      <c r="G899" s="711">
        <v>4302</v>
      </c>
      <c r="H899" s="711">
        <v>1</v>
      </c>
      <c r="I899" s="711">
        <v>1434</v>
      </c>
      <c r="J899" s="711"/>
      <c r="K899" s="711"/>
      <c r="L899" s="711"/>
      <c r="M899" s="711"/>
      <c r="N899" s="711"/>
      <c r="O899" s="711"/>
      <c r="P899" s="701"/>
      <c r="Q899" s="712"/>
    </row>
    <row r="900" spans="1:17" ht="14.4" customHeight="1" x14ac:dyDescent="0.3">
      <c r="A900" s="695" t="s">
        <v>556</v>
      </c>
      <c r="B900" s="696" t="s">
        <v>4810</v>
      </c>
      <c r="C900" s="696" t="s">
        <v>3589</v>
      </c>
      <c r="D900" s="696" t="s">
        <v>4811</v>
      </c>
      <c r="E900" s="696" t="s">
        <v>4812</v>
      </c>
      <c r="F900" s="711"/>
      <c r="G900" s="711"/>
      <c r="H900" s="711"/>
      <c r="I900" s="711"/>
      <c r="J900" s="711">
        <v>1</v>
      </c>
      <c r="K900" s="711">
        <v>3084</v>
      </c>
      <c r="L900" s="711"/>
      <c r="M900" s="711">
        <v>3084</v>
      </c>
      <c r="N900" s="711"/>
      <c r="O900" s="711"/>
      <c r="P900" s="701"/>
      <c r="Q900" s="712"/>
    </row>
    <row r="901" spans="1:17" ht="14.4" customHeight="1" x14ac:dyDescent="0.3">
      <c r="A901" s="695" t="s">
        <v>556</v>
      </c>
      <c r="B901" s="696" t="s">
        <v>4810</v>
      </c>
      <c r="C901" s="696" t="s">
        <v>3589</v>
      </c>
      <c r="D901" s="696" t="s">
        <v>4546</v>
      </c>
      <c r="E901" s="696" t="s">
        <v>4547</v>
      </c>
      <c r="F901" s="711"/>
      <c r="G901" s="711"/>
      <c r="H901" s="711"/>
      <c r="I901" s="711"/>
      <c r="J901" s="711">
        <v>1</v>
      </c>
      <c r="K901" s="711">
        <v>1892</v>
      </c>
      <c r="L901" s="711"/>
      <c r="M901" s="711">
        <v>1892</v>
      </c>
      <c r="N901" s="711"/>
      <c r="O901" s="711"/>
      <c r="P901" s="701"/>
      <c r="Q901" s="712"/>
    </row>
    <row r="902" spans="1:17" ht="14.4" customHeight="1" x14ac:dyDescent="0.3">
      <c r="A902" s="695" t="s">
        <v>556</v>
      </c>
      <c r="B902" s="696" t="s">
        <v>4813</v>
      </c>
      <c r="C902" s="696" t="s">
        <v>3589</v>
      </c>
      <c r="D902" s="696" t="s">
        <v>4814</v>
      </c>
      <c r="E902" s="696" t="s">
        <v>4815</v>
      </c>
      <c r="F902" s="711">
        <v>4</v>
      </c>
      <c r="G902" s="711">
        <v>684</v>
      </c>
      <c r="H902" s="711">
        <v>1</v>
      </c>
      <c r="I902" s="711">
        <v>171</v>
      </c>
      <c r="J902" s="711"/>
      <c r="K902" s="711"/>
      <c r="L902" s="711"/>
      <c r="M902" s="711"/>
      <c r="N902" s="711"/>
      <c r="O902" s="711"/>
      <c r="P902" s="701"/>
      <c r="Q902" s="712"/>
    </row>
    <row r="903" spans="1:17" ht="14.4" customHeight="1" x14ac:dyDescent="0.3">
      <c r="A903" s="695" t="s">
        <v>556</v>
      </c>
      <c r="B903" s="696" t="s">
        <v>4813</v>
      </c>
      <c r="C903" s="696" t="s">
        <v>3589</v>
      </c>
      <c r="D903" s="696" t="s">
        <v>4816</v>
      </c>
      <c r="E903" s="696" t="s">
        <v>4817</v>
      </c>
      <c r="F903" s="711">
        <v>1</v>
      </c>
      <c r="G903" s="711">
        <v>5098</v>
      </c>
      <c r="H903" s="711">
        <v>1</v>
      </c>
      <c r="I903" s="711">
        <v>5098</v>
      </c>
      <c r="J903" s="711"/>
      <c r="K903" s="711"/>
      <c r="L903" s="711"/>
      <c r="M903" s="711"/>
      <c r="N903" s="711"/>
      <c r="O903" s="711"/>
      <c r="P903" s="701"/>
      <c r="Q903" s="712"/>
    </row>
    <row r="904" spans="1:17" ht="14.4" customHeight="1" x14ac:dyDescent="0.3">
      <c r="A904" s="695" t="s">
        <v>556</v>
      </c>
      <c r="B904" s="696" t="s">
        <v>4813</v>
      </c>
      <c r="C904" s="696" t="s">
        <v>3589</v>
      </c>
      <c r="D904" s="696" t="s">
        <v>4818</v>
      </c>
      <c r="E904" s="696" t="s">
        <v>4819</v>
      </c>
      <c r="F904" s="711">
        <v>1</v>
      </c>
      <c r="G904" s="711">
        <v>599</v>
      </c>
      <c r="H904" s="711">
        <v>1</v>
      </c>
      <c r="I904" s="711">
        <v>599</v>
      </c>
      <c r="J904" s="711"/>
      <c r="K904" s="711"/>
      <c r="L904" s="711"/>
      <c r="M904" s="711"/>
      <c r="N904" s="711"/>
      <c r="O904" s="711"/>
      <c r="P904" s="701"/>
      <c r="Q904" s="712"/>
    </row>
    <row r="905" spans="1:17" ht="14.4" customHeight="1" x14ac:dyDescent="0.3">
      <c r="A905" s="695" t="s">
        <v>556</v>
      </c>
      <c r="B905" s="696" t="s">
        <v>4820</v>
      </c>
      <c r="C905" s="696" t="s">
        <v>3589</v>
      </c>
      <c r="D905" s="696" t="s">
        <v>4821</v>
      </c>
      <c r="E905" s="696" t="s">
        <v>4822</v>
      </c>
      <c r="F905" s="711"/>
      <c r="G905" s="711"/>
      <c r="H905" s="711"/>
      <c r="I905" s="711"/>
      <c r="J905" s="711"/>
      <c r="K905" s="711"/>
      <c r="L905" s="711"/>
      <c r="M905" s="711"/>
      <c r="N905" s="711">
        <v>1</v>
      </c>
      <c r="O905" s="711">
        <v>677</v>
      </c>
      <c r="P905" s="701"/>
      <c r="Q905" s="712">
        <v>677</v>
      </c>
    </row>
    <row r="906" spans="1:17" ht="14.4" customHeight="1" x14ac:dyDescent="0.3">
      <c r="A906" s="695" t="s">
        <v>4823</v>
      </c>
      <c r="B906" s="696" t="s">
        <v>3597</v>
      </c>
      <c r="C906" s="696" t="s">
        <v>3589</v>
      </c>
      <c r="D906" s="696" t="s">
        <v>3590</v>
      </c>
      <c r="E906" s="696" t="s">
        <v>3591</v>
      </c>
      <c r="F906" s="711">
        <v>1</v>
      </c>
      <c r="G906" s="711">
        <v>249</v>
      </c>
      <c r="H906" s="711">
        <v>1</v>
      </c>
      <c r="I906" s="711">
        <v>249</v>
      </c>
      <c r="J906" s="711"/>
      <c r="K906" s="711"/>
      <c r="L906" s="711"/>
      <c r="M906" s="711"/>
      <c r="N906" s="711"/>
      <c r="O906" s="711"/>
      <c r="P906" s="701"/>
      <c r="Q906" s="712"/>
    </row>
    <row r="907" spans="1:17" ht="14.4" customHeight="1" x14ac:dyDescent="0.3">
      <c r="A907" s="695" t="s">
        <v>4823</v>
      </c>
      <c r="B907" s="696" t="s">
        <v>3597</v>
      </c>
      <c r="C907" s="696" t="s">
        <v>3589</v>
      </c>
      <c r="D907" s="696" t="s">
        <v>3651</v>
      </c>
      <c r="E907" s="696" t="s">
        <v>3652</v>
      </c>
      <c r="F907" s="711"/>
      <c r="G907" s="711"/>
      <c r="H907" s="711"/>
      <c r="I907" s="711"/>
      <c r="J907" s="711">
        <v>2</v>
      </c>
      <c r="K907" s="711">
        <v>232</v>
      </c>
      <c r="L907" s="711"/>
      <c r="M907" s="711">
        <v>116</v>
      </c>
      <c r="N907" s="711"/>
      <c r="O907" s="711"/>
      <c r="P907" s="701"/>
      <c r="Q907" s="712"/>
    </row>
    <row r="908" spans="1:17" ht="14.4" customHeight="1" x14ac:dyDescent="0.3">
      <c r="A908" s="695" t="s">
        <v>4823</v>
      </c>
      <c r="B908" s="696" t="s">
        <v>3597</v>
      </c>
      <c r="C908" s="696" t="s">
        <v>3589</v>
      </c>
      <c r="D908" s="696" t="s">
        <v>3662</v>
      </c>
      <c r="E908" s="696" t="s">
        <v>3663</v>
      </c>
      <c r="F908" s="711"/>
      <c r="G908" s="711"/>
      <c r="H908" s="711"/>
      <c r="I908" s="711"/>
      <c r="J908" s="711">
        <v>1</v>
      </c>
      <c r="K908" s="711">
        <v>116</v>
      </c>
      <c r="L908" s="711"/>
      <c r="M908" s="711">
        <v>116</v>
      </c>
      <c r="N908" s="711">
        <v>5</v>
      </c>
      <c r="O908" s="711">
        <v>580</v>
      </c>
      <c r="P908" s="701"/>
      <c r="Q908" s="712">
        <v>116</v>
      </c>
    </row>
    <row r="909" spans="1:17" ht="14.4" customHeight="1" thickBot="1" x14ac:dyDescent="0.35">
      <c r="A909" s="703" t="s">
        <v>4823</v>
      </c>
      <c r="B909" s="704" t="s">
        <v>3597</v>
      </c>
      <c r="C909" s="704" t="s">
        <v>3589</v>
      </c>
      <c r="D909" s="704" t="s">
        <v>3706</v>
      </c>
      <c r="E909" s="704" t="s">
        <v>3707</v>
      </c>
      <c r="F909" s="713"/>
      <c r="G909" s="713"/>
      <c r="H909" s="713"/>
      <c r="I909" s="713"/>
      <c r="J909" s="713"/>
      <c r="K909" s="713"/>
      <c r="L909" s="713"/>
      <c r="M909" s="713"/>
      <c r="N909" s="713">
        <v>2</v>
      </c>
      <c r="O909" s="713">
        <v>464</v>
      </c>
      <c r="P909" s="709"/>
      <c r="Q909" s="714">
        <v>232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4" customWidth="1"/>
    <col min="2" max="4" width="7.88671875" style="364" customWidth="1"/>
    <col min="5" max="5" width="7.88671875" style="373" customWidth="1"/>
    <col min="6" max="8" width="7.88671875" style="364" customWidth="1"/>
    <col min="9" max="9" width="7.88671875" style="374" customWidth="1"/>
    <col min="10" max="13" width="7.88671875" style="364" customWidth="1"/>
    <col min="14" max="16384" width="9.33203125" style="364"/>
  </cols>
  <sheetData>
    <row r="1" spans="1:13" ht="18.600000000000001" customHeight="1" thickBot="1" x14ac:dyDescent="0.4">
      <c r="A1" s="559" t="s">
        <v>136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thickBot="1" x14ac:dyDescent="0.35">
      <c r="A2" s="386" t="s">
        <v>321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</row>
    <row r="3" spans="1:13" ht="14.4" customHeight="1" thickBot="1" x14ac:dyDescent="0.35">
      <c r="A3" s="560" t="s">
        <v>70</v>
      </c>
      <c r="B3" s="527" t="s">
        <v>71</v>
      </c>
      <c r="C3" s="528"/>
      <c r="D3" s="528"/>
      <c r="E3" s="529"/>
      <c r="F3" s="527" t="s">
        <v>315</v>
      </c>
      <c r="G3" s="528"/>
      <c r="H3" s="528"/>
      <c r="I3" s="529"/>
      <c r="J3" s="123"/>
      <c r="K3" s="124"/>
      <c r="L3" s="123"/>
      <c r="M3" s="125"/>
    </row>
    <row r="4" spans="1:13" ht="14.4" customHeight="1" thickBot="1" x14ac:dyDescent="0.35">
      <c r="A4" s="561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216.14099999999999</v>
      </c>
      <c r="C5" s="114">
        <v>202.499</v>
      </c>
      <c r="D5" s="114">
        <v>129.70699999999999</v>
      </c>
      <c r="E5" s="131">
        <v>0.6001036360523917</v>
      </c>
      <c r="F5" s="132">
        <v>180</v>
      </c>
      <c r="G5" s="114">
        <v>188</v>
      </c>
      <c r="H5" s="114">
        <v>122</v>
      </c>
      <c r="I5" s="133">
        <v>0.67777777777777781</v>
      </c>
      <c r="J5" s="123"/>
      <c r="K5" s="123"/>
      <c r="L5" s="7">
        <f>D5-B5</f>
        <v>-86.433999999999997</v>
      </c>
      <c r="M5" s="8">
        <f>H5-F5</f>
        <v>-58</v>
      </c>
    </row>
    <row r="6" spans="1:13" ht="14.4" hidden="1" customHeight="1" outlineLevel="1" x14ac:dyDescent="0.3">
      <c r="A6" s="119" t="s">
        <v>170</v>
      </c>
      <c r="B6" s="122">
        <v>59.197000000000003</v>
      </c>
      <c r="C6" s="113">
        <v>35.506999999999998</v>
      </c>
      <c r="D6" s="113">
        <v>51.37</v>
      </c>
      <c r="E6" s="134">
        <v>0.86778046184772872</v>
      </c>
      <c r="F6" s="135">
        <v>72</v>
      </c>
      <c r="G6" s="113">
        <v>52</v>
      </c>
      <c r="H6" s="113">
        <v>63</v>
      </c>
      <c r="I6" s="136">
        <v>0.875</v>
      </c>
      <c r="J6" s="123"/>
      <c r="K6" s="123"/>
      <c r="L6" s="5">
        <f t="shared" ref="L6:L11" si="0">D6-B6</f>
        <v>-7.8270000000000053</v>
      </c>
      <c r="M6" s="6">
        <f t="shared" ref="M6:M13" si="1">H6-F6</f>
        <v>-9</v>
      </c>
    </row>
    <row r="7" spans="1:13" ht="14.4" hidden="1" customHeight="1" outlineLevel="1" x14ac:dyDescent="0.3">
      <c r="A7" s="119" t="s">
        <v>171</v>
      </c>
      <c r="B7" s="122">
        <v>103.756</v>
      </c>
      <c r="C7" s="113">
        <v>138.57499999999999</v>
      </c>
      <c r="D7" s="113">
        <v>143.21199999999999</v>
      </c>
      <c r="E7" s="134">
        <v>1.3802768032692083</v>
      </c>
      <c r="F7" s="135">
        <v>148</v>
      </c>
      <c r="G7" s="113">
        <v>159</v>
      </c>
      <c r="H7" s="113">
        <v>155</v>
      </c>
      <c r="I7" s="136">
        <v>1.0472972972972974</v>
      </c>
      <c r="J7" s="123"/>
      <c r="K7" s="123"/>
      <c r="L7" s="5">
        <f t="shared" si="0"/>
        <v>39.455999999999989</v>
      </c>
      <c r="M7" s="6">
        <f t="shared" si="1"/>
        <v>7</v>
      </c>
    </row>
    <row r="8" spans="1:13" ht="14.4" hidden="1" customHeight="1" outlineLevel="1" x14ac:dyDescent="0.3">
      <c r="A8" s="119" t="s">
        <v>172</v>
      </c>
      <c r="B8" s="122">
        <v>18.494</v>
      </c>
      <c r="C8" s="113">
        <v>13.843</v>
      </c>
      <c r="D8" s="113">
        <v>15.422000000000001</v>
      </c>
      <c r="E8" s="134">
        <v>0.83389207310479074</v>
      </c>
      <c r="F8" s="135">
        <v>16</v>
      </c>
      <c r="G8" s="113">
        <v>14</v>
      </c>
      <c r="H8" s="113">
        <v>13</v>
      </c>
      <c r="I8" s="136">
        <v>0.8125</v>
      </c>
      <c r="J8" s="123"/>
      <c r="K8" s="123"/>
      <c r="L8" s="5">
        <f t="shared" si="0"/>
        <v>-3.0719999999999992</v>
      </c>
      <c r="M8" s="6">
        <f t="shared" si="1"/>
        <v>-3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1.0589999999999999</v>
      </c>
      <c r="D9" s="113">
        <v>0</v>
      </c>
      <c r="E9" s="134" t="s">
        <v>558</v>
      </c>
      <c r="F9" s="135">
        <v>0</v>
      </c>
      <c r="G9" s="113">
        <v>1</v>
      </c>
      <c r="H9" s="113">
        <v>0</v>
      </c>
      <c r="I9" s="136" t="s">
        <v>558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46.390999999999998</v>
      </c>
      <c r="C10" s="113">
        <v>64.242000000000004</v>
      </c>
      <c r="D10" s="113">
        <v>35.256</v>
      </c>
      <c r="E10" s="134">
        <v>0.7599749951499214</v>
      </c>
      <c r="F10" s="135">
        <v>52</v>
      </c>
      <c r="G10" s="113">
        <v>79</v>
      </c>
      <c r="H10" s="113">
        <v>42</v>
      </c>
      <c r="I10" s="136">
        <v>0.80769230769230771</v>
      </c>
      <c r="J10" s="123"/>
      <c r="K10" s="123"/>
      <c r="L10" s="5">
        <f t="shared" si="0"/>
        <v>-11.134999999999998</v>
      </c>
      <c r="M10" s="6">
        <f t="shared" si="1"/>
        <v>-10</v>
      </c>
    </row>
    <row r="11" spans="1:13" ht="14.4" hidden="1" customHeight="1" outlineLevel="1" x14ac:dyDescent="0.3">
      <c r="A11" s="119" t="s">
        <v>175</v>
      </c>
      <c r="B11" s="122">
        <v>17.494</v>
      </c>
      <c r="C11" s="113">
        <v>15.584</v>
      </c>
      <c r="D11" s="113">
        <v>12.122999999999999</v>
      </c>
      <c r="E11" s="134">
        <v>0.69298045044015089</v>
      </c>
      <c r="F11" s="135">
        <v>16</v>
      </c>
      <c r="G11" s="113">
        <v>14</v>
      </c>
      <c r="H11" s="113">
        <v>20</v>
      </c>
      <c r="I11" s="136">
        <v>1.25</v>
      </c>
      <c r="J11" s="123"/>
      <c r="K11" s="123"/>
      <c r="L11" s="5">
        <f t="shared" si="0"/>
        <v>-5.3710000000000004</v>
      </c>
      <c r="M11" s="6">
        <f t="shared" si="1"/>
        <v>4</v>
      </c>
    </row>
    <row r="12" spans="1:13" ht="14.4" hidden="1" customHeight="1" outlineLevel="1" thickBot="1" x14ac:dyDescent="0.35">
      <c r="A12" s="247" t="s">
        <v>234</v>
      </c>
      <c r="B12" s="248">
        <v>5.4349999999999996</v>
      </c>
      <c r="C12" s="249">
        <v>3.5009999999999999</v>
      </c>
      <c r="D12" s="249">
        <v>1.6060000000000001</v>
      </c>
      <c r="E12" s="250"/>
      <c r="F12" s="251">
        <v>4</v>
      </c>
      <c r="G12" s="249">
        <v>6</v>
      </c>
      <c r="H12" s="249">
        <v>2</v>
      </c>
      <c r="I12" s="252"/>
      <c r="J12" s="123"/>
      <c r="K12" s="123"/>
      <c r="L12" s="253">
        <f>D12-B12</f>
        <v>-3.8289999999999997</v>
      </c>
      <c r="M12" s="254">
        <f>H12-F12</f>
        <v>-2</v>
      </c>
    </row>
    <row r="13" spans="1:13" ht="14.4" customHeight="1" collapsed="1" thickBot="1" x14ac:dyDescent="0.35">
      <c r="A13" s="120" t="s">
        <v>3</v>
      </c>
      <c r="B13" s="115">
        <f>SUM(B5:B12)</f>
        <v>466.90799999999996</v>
      </c>
      <c r="C13" s="116">
        <f>SUM(C5:C12)</f>
        <v>474.81000000000006</v>
      </c>
      <c r="D13" s="116">
        <f>SUM(D5:D12)</f>
        <v>388.69599999999997</v>
      </c>
      <c r="E13" s="137">
        <f>IF(OR(D13=0,B13=0),0,D13/B13)</f>
        <v>0.8324894840096978</v>
      </c>
      <c r="F13" s="138">
        <f>SUM(F5:F12)</f>
        <v>488</v>
      </c>
      <c r="G13" s="116">
        <f>SUM(G5:G12)</f>
        <v>513</v>
      </c>
      <c r="H13" s="116">
        <f>SUM(H5:H12)</f>
        <v>417</v>
      </c>
      <c r="I13" s="139">
        <f>IF(OR(H13=0,F13=0),0,H13/F13)</f>
        <v>0.85450819672131151</v>
      </c>
      <c r="J13" s="123"/>
      <c r="K13" s="123"/>
      <c r="L13" s="129">
        <f>D13-B13</f>
        <v>-78.211999999999989</v>
      </c>
      <c r="M13" s="140">
        <f t="shared" si="1"/>
        <v>-71</v>
      </c>
    </row>
    <row r="14" spans="1:13" ht="14.4" customHeight="1" x14ac:dyDescent="0.3">
      <c r="A14" s="141"/>
      <c r="B14" s="553"/>
      <c r="C14" s="553"/>
      <c r="D14" s="553"/>
      <c r="E14" s="553"/>
      <c r="F14" s="553"/>
      <c r="G14" s="553"/>
      <c r="H14" s="553"/>
      <c r="I14" s="553"/>
      <c r="J14" s="123"/>
      <c r="K14" s="123"/>
      <c r="L14" s="123"/>
      <c r="M14" s="125"/>
    </row>
    <row r="15" spans="1:13" ht="14.4" customHeight="1" thickBot="1" x14ac:dyDescent="0.35">
      <c r="A15" s="141"/>
      <c r="B15" s="366"/>
      <c r="C15" s="367"/>
      <c r="D15" s="367"/>
      <c r="E15" s="367"/>
      <c r="F15" s="366"/>
      <c r="G15" s="367"/>
      <c r="H15" s="367"/>
      <c r="I15" s="367"/>
      <c r="J15" s="123"/>
      <c r="K15" s="123"/>
      <c r="L15" s="123"/>
      <c r="M15" s="125"/>
    </row>
    <row r="16" spans="1:13" ht="14.4" customHeight="1" thickBot="1" x14ac:dyDescent="0.35">
      <c r="A16" s="548" t="s">
        <v>230</v>
      </c>
      <c r="B16" s="550" t="s">
        <v>71</v>
      </c>
      <c r="C16" s="551"/>
      <c r="D16" s="551"/>
      <c r="E16" s="552"/>
      <c r="F16" s="550" t="s">
        <v>315</v>
      </c>
      <c r="G16" s="551"/>
      <c r="H16" s="551"/>
      <c r="I16" s="552"/>
      <c r="J16" s="555" t="s">
        <v>180</v>
      </c>
      <c r="K16" s="556"/>
      <c r="L16" s="158"/>
      <c r="M16" s="158"/>
    </row>
    <row r="17" spans="1:13" ht="14.4" customHeight="1" thickBot="1" x14ac:dyDescent="0.35">
      <c r="A17" s="549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57" t="s">
        <v>181</v>
      </c>
      <c r="K17" s="55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216.14099999999999</v>
      </c>
      <c r="C18" s="114">
        <v>202.499</v>
      </c>
      <c r="D18" s="114">
        <v>129.70699999999999</v>
      </c>
      <c r="E18" s="131">
        <v>0.6001036360523917</v>
      </c>
      <c r="F18" s="121">
        <v>180</v>
      </c>
      <c r="G18" s="114">
        <v>188</v>
      </c>
      <c r="H18" s="114">
        <v>122</v>
      </c>
      <c r="I18" s="133">
        <v>0.67777777777777781</v>
      </c>
      <c r="J18" s="541">
        <f>0.97*0.976</f>
        <v>0.94672000000000001</v>
      </c>
      <c r="K18" s="542"/>
      <c r="L18" s="147">
        <f>D18-B18</f>
        <v>-86.433999999999997</v>
      </c>
      <c r="M18" s="148">
        <f>H18-F18</f>
        <v>-58</v>
      </c>
    </row>
    <row r="19" spans="1:13" ht="14.4" hidden="1" customHeight="1" outlineLevel="1" x14ac:dyDescent="0.3">
      <c r="A19" s="119" t="s">
        <v>170</v>
      </c>
      <c r="B19" s="122">
        <v>59.197000000000003</v>
      </c>
      <c r="C19" s="113">
        <v>35.506999999999998</v>
      </c>
      <c r="D19" s="113">
        <v>51.37</v>
      </c>
      <c r="E19" s="134">
        <v>0.86778046184772872</v>
      </c>
      <c r="F19" s="122">
        <v>72</v>
      </c>
      <c r="G19" s="113">
        <v>52</v>
      </c>
      <c r="H19" s="113">
        <v>63</v>
      </c>
      <c r="I19" s="136">
        <v>0.875</v>
      </c>
      <c r="J19" s="541">
        <f>0.97*1.096</f>
        <v>1.0631200000000001</v>
      </c>
      <c r="K19" s="542"/>
      <c r="L19" s="149">
        <f t="shared" ref="L19:L26" si="2">D19-B19</f>
        <v>-7.8270000000000053</v>
      </c>
      <c r="M19" s="150">
        <f t="shared" ref="M19:M26" si="3">H19-F19</f>
        <v>-9</v>
      </c>
    </row>
    <row r="20" spans="1:13" ht="14.4" hidden="1" customHeight="1" outlineLevel="1" x14ac:dyDescent="0.3">
      <c r="A20" s="119" t="s">
        <v>171</v>
      </c>
      <c r="B20" s="122">
        <v>103.756</v>
      </c>
      <c r="C20" s="113">
        <v>138.57499999999999</v>
      </c>
      <c r="D20" s="113">
        <v>143.21199999999999</v>
      </c>
      <c r="E20" s="134">
        <v>1.3802768032692083</v>
      </c>
      <c r="F20" s="122">
        <v>148</v>
      </c>
      <c r="G20" s="113">
        <v>159</v>
      </c>
      <c r="H20" s="113">
        <v>155</v>
      </c>
      <c r="I20" s="136">
        <v>1.0472972972972974</v>
      </c>
      <c r="J20" s="541">
        <f>0.97*1.047</f>
        <v>1.01559</v>
      </c>
      <c r="K20" s="542"/>
      <c r="L20" s="149">
        <f t="shared" si="2"/>
        <v>39.455999999999989</v>
      </c>
      <c r="M20" s="150">
        <f t="shared" si="3"/>
        <v>7</v>
      </c>
    </row>
    <row r="21" spans="1:13" ht="14.4" hidden="1" customHeight="1" outlineLevel="1" x14ac:dyDescent="0.3">
      <c r="A21" s="119" t="s">
        <v>172</v>
      </c>
      <c r="B21" s="122">
        <v>18.494</v>
      </c>
      <c r="C21" s="113">
        <v>13.843</v>
      </c>
      <c r="D21" s="113">
        <v>15.422000000000001</v>
      </c>
      <c r="E21" s="134">
        <v>0.83389207310479074</v>
      </c>
      <c r="F21" s="122">
        <v>16</v>
      </c>
      <c r="G21" s="113">
        <v>14</v>
      </c>
      <c r="H21" s="113">
        <v>13</v>
      </c>
      <c r="I21" s="136">
        <v>0.8125</v>
      </c>
      <c r="J21" s="541">
        <f>0.97*1.091</f>
        <v>1.05827</v>
      </c>
      <c r="K21" s="542"/>
      <c r="L21" s="149">
        <f t="shared" si="2"/>
        <v>-3.0719999999999992</v>
      </c>
      <c r="M21" s="150">
        <f t="shared" si="3"/>
        <v>-3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1.0589999999999999</v>
      </c>
      <c r="D22" s="113">
        <v>0</v>
      </c>
      <c r="E22" s="134" t="s">
        <v>558</v>
      </c>
      <c r="F22" s="122">
        <v>0</v>
      </c>
      <c r="G22" s="113">
        <v>1</v>
      </c>
      <c r="H22" s="113">
        <v>0</v>
      </c>
      <c r="I22" s="136" t="s">
        <v>558</v>
      </c>
      <c r="J22" s="541">
        <f>0.97*1</f>
        <v>0.97</v>
      </c>
      <c r="K22" s="542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46.390999999999998</v>
      </c>
      <c r="C23" s="113">
        <v>64.242000000000004</v>
      </c>
      <c r="D23" s="113">
        <v>35.256</v>
      </c>
      <c r="E23" s="134">
        <v>0.7599749951499214</v>
      </c>
      <c r="F23" s="122">
        <v>52</v>
      </c>
      <c r="G23" s="113">
        <v>79</v>
      </c>
      <c r="H23" s="113">
        <v>42</v>
      </c>
      <c r="I23" s="136">
        <v>0.80769230769230771</v>
      </c>
      <c r="J23" s="541">
        <f>0.97*1.096</f>
        <v>1.0631200000000001</v>
      </c>
      <c r="K23" s="542"/>
      <c r="L23" s="149">
        <f t="shared" si="2"/>
        <v>-11.134999999999998</v>
      </c>
      <c r="M23" s="150">
        <f t="shared" si="3"/>
        <v>-10</v>
      </c>
    </row>
    <row r="24" spans="1:13" ht="14.4" hidden="1" customHeight="1" outlineLevel="1" x14ac:dyDescent="0.3">
      <c r="A24" s="119" t="s">
        <v>175</v>
      </c>
      <c r="B24" s="122">
        <v>17.494</v>
      </c>
      <c r="C24" s="113">
        <v>15.584</v>
      </c>
      <c r="D24" s="113">
        <v>12.122999999999999</v>
      </c>
      <c r="E24" s="134">
        <v>0.69298045044015089</v>
      </c>
      <c r="F24" s="122">
        <v>16</v>
      </c>
      <c r="G24" s="113">
        <v>14</v>
      </c>
      <c r="H24" s="113">
        <v>20</v>
      </c>
      <c r="I24" s="136">
        <v>1.25</v>
      </c>
      <c r="J24" s="541">
        <f>0.97*0.989</f>
        <v>0.95933000000000002</v>
      </c>
      <c r="K24" s="542"/>
      <c r="L24" s="149">
        <f t="shared" si="2"/>
        <v>-5.3710000000000004</v>
      </c>
      <c r="M24" s="150">
        <f t="shared" si="3"/>
        <v>4</v>
      </c>
    </row>
    <row r="25" spans="1:13" ht="14.4" hidden="1" customHeight="1" outlineLevel="1" thickBot="1" x14ac:dyDescent="0.35">
      <c r="A25" s="247" t="s">
        <v>234</v>
      </c>
      <c r="B25" s="248">
        <v>5.4349999999999996</v>
      </c>
      <c r="C25" s="249">
        <v>3.5009999999999999</v>
      </c>
      <c r="D25" s="249">
        <v>1.6060000000000001</v>
      </c>
      <c r="E25" s="250"/>
      <c r="F25" s="248">
        <v>4</v>
      </c>
      <c r="G25" s="249">
        <v>6</v>
      </c>
      <c r="H25" s="249">
        <v>2</v>
      </c>
      <c r="I25" s="252"/>
      <c r="J25" s="368"/>
      <c r="K25" s="369"/>
      <c r="L25" s="255">
        <f>D25-B25</f>
        <v>-3.8289999999999997</v>
      </c>
      <c r="M25" s="256">
        <f>H25-F25</f>
        <v>-2</v>
      </c>
    </row>
    <row r="26" spans="1:13" ht="14.4" customHeight="1" collapsed="1" thickBot="1" x14ac:dyDescent="0.35">
      <c r="A26" s="151" t="s">
        <v>3</v>
      </c>
      <c r="B26" s="152">
        <f>SUM(B18:B25)</f>
        <v>466.90799999999996</v>
      </c>
      <c r="C26" s="153">
        <f>SUM(C18:C25)</f>
        <v>474.81000000000006</v>
      </c>
      <c r="D26" s="153">
        <f>SUM(D18:D25)</f>
        <v>388.69599999999997</v>
      </c>
      <c r="E26" s="154">
        <f>IF(OR(D26=0,B26=0),0,D26/B26)</f>
        <v>0.8324894840096978</v>
      </c>
      <c r="F26" s="152">
        <f>SUM(F18:F25)</f>
        <v>488</v>
      </c>
      <c r="G26" s="153">
        <f>SUM(G18:G25)</f>
        <v>513</v>
      </c>
      <c r="H26" s="153">
        <f>SUM(H18:H25)</f>
        <v>417</v>
      </c>
      <c r="I26" s="155">
        <f>IF(OR(H26=0,F26=0),0,H26/F26)</f>
        <v>0.85450819672131151</v>
      </c>
      <c r="J26" s="123"/>
      <c r="K26" s="123"/>
      <c r="L26" s="145">
        <f t="shared" si="2"/>
        <v>-78.211999999999989</v>
      </c>
      <c r="M26" s="156">
        <f t="shared" si="3"/>
        <v>-71</v>
      </c>
    </row>
    <row r="27" spans="1:13" ht="14.4" customHeight="1" x14ac:dyDescent="0.3">
      <c r="A27" s="157"/>
      <c r="B27" s="553" t="s">
        <v>232</v>
      </c>
      <c r="C27" s="554"/>
      <c r="D27" s="554"/>
      <c r="E27" s="554"/>
      <c r="F27" s="553" t="s">
        <v>233</v>
      </c>
      <c r="G27" s="554"/>
      <c r="H27" s="554"/>
      <c r="I27" s="554"/>
      <c r="J27" s="158"/>
      <c r="K27" s="158"/>
      <c r="L27" s="158"/>
      <c r="M27" s="159"/>
    </row>
    <row r="28" spans="1:13" ht="14.4" customHeight="1" thickBot="1" x14ac:dyDescent="0.35">
      <c r="A28" s="157"/>
      <c r="B28" s="366"/>
      <c r="C28" s="367"/>
      <c r="D28" s="367"/>
      <c r="E28" s="367"/>
      <c r="F28" s="366"/>
      <c r="G28" s="367"/>
      <c r="H28" s="367"/>
      <c r="I28" s="367"/>
      <c r="J28" s="158"/>
      <c r="K28" s="158"/>
      <c r="L28" s="158"/>
      <c r="M28" s="159"/>
    </row>
    <row r="29" spans="1:13" ht="14.4" customHeight="1" thickBot="1" x14ac:dyDescent="0.35">
      <c r="A29" s="543" t="s">
        <v>231</v>
      </c>
      <c r="B29" s="545" t="s">
        <v>71</v>
      </c>
      <c r="C29" s="546"/>
      <c r="D29" s="546"/>
      <c r="E29" s="547"/>
      <c r="F29" s="546" t="s">
        <v>315</v>
      </c>
      <c r="G29" s="546"/>
      <c r="H29" s="546"/>
      <c r="I29" s="547"/>
      <c r="J29" s="158"/>
      <c r="K29" s="158"/>
      <c r="L29" s="158"/>
      <c r="M29" s="159"/>
    </row>
    <row r="30" spans="1:13" ht="14.4" customHeight="1" thickBot="1" x14ac:dyDescent="0.35">
      <c r="A30" s="544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558</v>
      </c>
      <c r="F31" s="132">
        <v>0</v>
      </c>
      <c r="G31" s="114">
        <v>0</v>
      </c>
      <c r="H31" s="114">
        <v>0</v>
      </c>
      <c r="I31" s="133" t="s">
        <v>558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558</v>
      </c>
      <c r="F32" s="135">
        <v>0</v>
      </c>
      <c r="G32" s="113">
        <v>0</v>
      </c>
      <c r="H32" s="113">
        <v>0</v>
      </c>
      <c r="I32" s="136" t="s">
        <v>558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558</v>
      </c>
      <c r="F33" s="135">
        <v>0</v>
      </c>
      <c r="G33" s="113">
        <v>0</v>
      </c>
      <c r="H33" s="113">
        <v>0</v>
      </c>
      <c r="I33" s="136" t="s">
        <v>558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558</v>
      </c>
      <c r="F34" s="135">
        <v>0</v>
      </c>
      <c r="G34" s="113">
        <v>0</v>
      </c>
      <c r="H34" s="113">
        <v>0</v>
      </c>
      <c r="I34" s="136" t="s">
        <v>558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558</v>
      </c>
      <c r="F35" s="135">
        <v>0</v>
      </c>
      <c r="G35" s="113">
        <v>0</v>
      </c>
      <c r="H35" s="113">
        <v>0</v>
      </c>
      <c r="I35" s="136" t="s">
        <v>558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558</v>
      </c>
      <c r="F36" s="135">
        <v>0</v>
      </c>
      <c r="G36" s="113">
        <v>0</v>
      </c>
      <c r="H36" s="113">
        <v>0</v>
      </c>
      <c r="I36" s="136" t="s">
        <v>558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558</v>
      </c>
      <c r="F37" s="135">
        <v>0</v>
      </c>
      <c r="G37" s="113">
        <v>0</v>
      </c>
      <c r="H37" s="113">
        <v>0</v>
      </c>
      <c r="I37" s="136" t="s">
        <v>558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7" t="s">
        <v>234</v>
      </c>
      <c r="B38" s="248">
        <v>0</v>
      </c>
      <c r="C38" s="249">
        <v>0</v>
      </c>
      <c r="D38" s="249">
        <v>0</v>
      </c>
      <c r="E38" s="250"/>
      <c r="F38" s="251">
        <v>0</v>
      </c>
      <c r="G38" s="249">
        <v>0</v>
      </c>
      <c r="H38" s="249">
        <v>0</v>
      </c>
      <c r="I38" s="252"/>
      <c r="J38" s="158"/>
      <c r="K38" s="158"/>
      <c r="L38" s="255">
        <f>D38-B38</f>
        <v>0</v>
      </c>
      <c r="M38" s="256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70"/>
      <c r="B40" s="370"/>
      <c r="C40" s="370"/>
      <c r="D40" s="370"/>
      <c r="E40" s="371"/>
      <c r="F40" s="370"/>
      <c r="G40" s="370"/>
      <c r="H40" s="370"/>
      <c r="I40" s="372"/>
      <c r="J40" s="370"/>
      <c r="K40" s="370"/>
      <c r="L40" s="370"/>
      <c r="M40" s="370"/>
    </row>
    <row r="41" spans="1:13" ht="14.4" customHeight="1" x14ac:dyDescent="0.3">
      <c r="A41" s="265" t="s">
        <v>318</v>
      </c>
      <c r="B41" s="370"/>
      <c r="C41" s="370"/>
      <c r="D41" s="370"/>
      <c r="E41" s="371"/>
      <c r="F41" s="370"/>
      <c r="G41" s="370"/>
      <c r="H41" s="370"/>
      <c r="I41" s="372"/>
      <c r="J41" s="370"/>
      <c r="K41" s="370"/>
      <c r="L41" s="370"/>
      <c r="M41" s="370"/>
    </row>
    <row r="42" spans="1:13" ht="14.4" customHeight="1" x14ac:dyDescent="0.25">
      <c r="A42" s="452" t="s">
        <v>314</v>
      </c>
    </row>
    <row r="43" spans="1:13" ht="14.4" customHeight="1" x14ac:dyDescent="0.25">
      <c r="A43" s="453" t="s">
        <v>320</v>
      </c>
    </row>
    <row r="44" spans="1:13" ht="14.4" customHeight="1" x14ac:dyDescent="0.25">
      <c r="A44" s="452" t="s">
        <v>316</v>
      </c>
    </row>
    <row r="45" spans="1:13" ht="14.4" customHeight="1" x14ac:dyDescent="0.25">
      <c r="A45" s="453" t="s">
        <v>317</v>
      </c>
    </row>
    <row r="46" spans="1:13" ht="14.4" customHeight="1" x14ac:dyDescent="0.3">
      <c r="A46" s="246" t="s">
        <v>319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9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88" t="s">
        <v>115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x14ac:dyDescent="0.3">
      <c r="A2" s="386" t="s">
        <v>321</v>
      </c>
      <c r="B2" s="205"/>
      <c r="C2" s="205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5"/>
      <c r="C3" s="375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5"/>
      <c r="C4" s="375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5"/>
      <c r="C5" s="375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5"/>
      <c r="C6" s="375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5"/>
      <c r="C7" s="375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5"/>
      <c r="C8" s="375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5"/>
      <c r="C9" s="375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5"/>
      <c r="C10" s="375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5"/>
      <c r="C11" s="375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5"/>
      <c r="C12" s="375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5"/>
      <c r="C13" s="375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5"/>
      <c r="C14" s="375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5"/>
      <c r="C15" s="375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5"/>
      <c r="C16" s="375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5"/>
      <c r="C17" s="375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5"/>
      <c r="C18" s="375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5"/>
      <c r="C19" s="375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5"/>
      <c r="C20" s="375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5"/>
      <c r="C21" s="375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5"/>
      <c r="C22" s="375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5"/>
      <c r="C23" s="375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5"/>
      <c r="C24" s="375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5"/>
      <c r="C25" s="375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5"/>
      <c r="C26" s="375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5"/>
      <c r="C27" s="375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5"/>
      <c r="C28" s="375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5"/>
      <c r="C29" s="375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5"/>
      <c r="C30" s="375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62" t="s">
        <v>83</v>
      </c>
      <c r="C31" s="563"/>
      <c r="D31" s="563"/>
      <c r="E31" s="56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6"/>
      <c r="H32" s="376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6">
        <v>828.21</v>
      </c>
      <c r="C33" s="206">
        <v>645</v>
      </c>
      <c r="D33" s="84">
        <f>IF(C33="","",C33-B33)</f>
        <v>-183.21000000000004</v>
      </c>
      <c r="E33" s="85">
        <f>IF(C33="","",C33/B33)</f>
        <v>0.77878798855362763</v>
      </c>
      <c r="F33" s="86">
        <v>72.81</v>
      </c>
      <c r="G33" s="376">
        <v>0</v>
      </c>
      <c r="H33" s="377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7">
        <v>1434.98</v>
      </c>
      <c r="C34" s="207">
        <v>1186</v>
      </c>
      <c r="D34" s="87">
        <f t="shared" ref="D34:D45" si="0">IF(C34="","",C34-B34)</f>
        <v>-248.98000000000002</v>
      </c>
      <c r="E34" s="88">
        <f t="shared" ref="E34:E45" si="1">IF(C34="","",C34/B34)</f>
        <v>0.82649235529415044</v>
      </c>
      <c r="F34" s="89">
        <v>184.59</v>
      </c>
      <c r="G34" s="376">
        <v>1</v>
      </c>
      <c r="H34" s="377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7">
        <v>2488.35</v>
      </c>
      <c r="C35" s="207">
        <v>1996</v>
      </c>
      <c r="D35" s="87">
        <f t="shared" si="0"/>
        <v>-492.34999999999991</v>
      </c>
      <c r="E35" s="88">
        <f t="shared" si="1"/>
        <v>0.80213796290714734</v>
      </c>
      <c r="F35" s="89">
        <v>313.02999999999997</v>
      </c>
      <c r="G35" s="378"/>
      <c r="H35" s="378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7"/>
      <c r="C36" s="207"/>
      <c r="D36" s="87" t="str">
        <f t="shared" si="0"/>
        <v/>
      </c>
      <c r="E36" s="88" t="str">
        <f t="shared" si="1"/>
        <v/>
      </c>
      <c r="F36" s="89"/>
      <c r="G36" s="378"/>
      <c r="H36" s="378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7"/>
      <c r="C37" s="207"/>
      <c r="D37" s="87" t="str">
        <f t="shared" si="0"/>
        <v/>
      </c>
      <c r="E37" s="88" t="str">
        <f t="shared" si="1"/>
        <v/>
      </c>
      <c r="F37" s="89"/>
      <c r="G37" s="378"/>
      <c r="H37" s="378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7"/>
      <c r="C38" s="207"/>
      <c r="D38" s="87" t="str">
        <f t="shared" si="0"/>
        <v/>
      </c>
      <c r="E38" s="88" t="str">
        <f t="shared" si="1"/>
        <v/>
      </c>
      <c r="F38" s="89"/>
      <c r="G38" s="378"/>
      <c r="H38" s="378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7"/>
      <c r="C39" s="207"/>
      <c r="D39" s="87" t="str">
        <f t="shared" si="0"/>
        <v/>
      </c>
      <c r="E39" s="88" t="str">
        <f t="shared" si="1"/>
        <v/>
      </c>
      <c r="F39" s="89"/>
      <c r="G39" s="378"/>
      <c r="H39" s="378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7"/>
      <c r="C40" s="207"/>
      <c r="D40" s="87" t="str">
        <f t="shared" si="0"/>
        <v/>
      </c>
      <c r="E40" s="88" t="str">
        <f t="shared" si="1"/>
        <v/>
      </c>
      <c r="F40" s="89"/>
      <c r="G40" s="378"/>
      <c r="H40" s="378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7"/>
      <c r="C41" s="207"/>
      <c r="D41" s="87" t="str">
        <f t="shared" si="0"/>
        <v/>
      </c>
      <c r="E41" s="88" t="str">
        <f t="shared" si="1"/>
        <v/>
      </c>
      <c r="F41" s="89"/>
      <c r="G41" s="378"/>
      <c r="H41" s="378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7"/>
      <c r="C42" s="207"/>
      <c r="D42" s="87" t="str">
        <f t="shared" si="0"/>
        <v/>
      </c>
      <c r="E42" s="88" t="str">
        <f t="shared" si="1"/>
        <v/>
      </c>
      <c r="F42" s="89"/>
      <c r="G42" s="378"/>
      <c r="H42" s="378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7"/>
      <c r="C43" s="207"/>
      <c r="D43" s="87" t="str">
        <f t="shared" si="0"/>
        <v/>
      </c>
      <c r="E43" s="88" t="str">
        <f t="shared" si="1"/>
        <v/>
      </c>
      <c r="F43" s="89"/>
      <c r="G43" s="378"/>
      <c r="H43" s="378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7"/>
      <c r="C44" s="207"/>
      <c r="D44" s="87" t="str">
        <f t="shared" si="0"/>
        <v/>
      </c>
      <c r="E44" s="88" t="str">
        <f t="shared" si="1"/>
        <v/>
      </c>
      <c r="F44" s="89"/>
      <c r="G44" s="378"/>
      <c r="H44" s="378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8"/>
      <c r="C45" s="208"/>
      <c r="D45" s="90" t="str">
        <f t="shared" si="0"/>
        <v/>
      </c>
      <c r="E45" s="91" t="str">
        <f t="shared" si="1"/>
        <v/>
      </c>
      <c r="F45" s="92"/>
      <c r="G45" s="378"/>
      <c r="H45" s="378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16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20" customWidth="1"/>
    <col min="3" max="3" width="5.88671875" style="220" customWidth="1"/>
    <col min="4" max="4" width="7.6640625" style="220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20" customWidth="1"/>
    <col min="20" max="20" width="9.6640625" style="220" customWidth="1"/>
    <col min="21" max="21" width="7.6640625" style="220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4" customFormat="1" ht="18.600000000000001" customHeight="1" thickBot="1" x14ac:dyDescent="0.4">
      <c r="A1" s="521" t="s">
        <v>5049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</row>
    <row r="2" spans="1:23" ht="14.4" customHeight="1" thickBot="1" x14ac:dyDescent="0.35">
      <c r="A2" s="386" t="s">
        <v>321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79"/>
      <c r="Q2" s="379"/>
      <c r="R2" s="379"/>
      <c r="S2" s="380"/>
      <c r="T2" s="380"/>
      <c r="U2" s="380"/>
      <c r="V2" s="379"/>
      <c r="W2" s="381"/>
    </row>
    <row r="3" spans="1:23" s="94" customFormat="1" ht="14.4" customHeight="1" x14ac:dyDescent="0.3">
      <c r="A3" s="571" t="s">
        <v>75</v>
      </c>
      <c r="B3" s="572">
        <v>2012</v>
      </c>
      <c r="C3" s="573"/>
      <c r="D3" s="574"/>
      <c r="E3" s="572">
        <v>2013</v>
      </c>
      <c r="F3" s="573"/>
      <c r="G3" s="574"/>
      <c r="H3" s="572">
        <v>2014</v>
      </c>
      <c r="I3" s="573"/>
      <c r="J3" s="574"/>
      <c r="K3" s="575" t="s">
        <v>76</v>
      </c>
      <c r="L3" s="567" t="s">
        <v>77</v>
      </c>
      <c r="M3" s="567" t="s">
        <v>78</v>
      </c>
      <c r="N3" s="567" t="s">
        <v>79</v>
      </c>
      <c r="O3" s="273" t="s">
        <v>80</v>
      </c>
      <c r="P3" s="568" t="s">
        <v>81</v>
      </c>
      <c r="Q3" s="569" t="s">
        <v>82</v>
      </c>
      <c r="R3" s="570"/>
      <c r="S3" s="565" t="s">
        <v>83</v>
      </c>
      <c r="T3" s="566"/>
      <c r="U3" s="566"/>
      <c r="V3" s="566"/>
      <c r="W3" s="221" t="s">
        <v>83</v>
      </c>
    </row>
    <row r="4" spans="1:23" s="95" customFormat="1" ht="14.4" customHeight="1" thickBot="1" x14ac:dyDescent="0.35">
      <c r="A4" s="800"/>
      <c r="B4" s="801" t="s">
        <v>84</v>
      </c>
      <c r="C4" s="802" t="s">
        <v>72</v>
      </c>
      <c r="D4" s="803" t="s">
        <v>85</v>
      </c>
      <c r="E4" s="801" t="s">
        <v>84</v>
      </c>
      <c r="F4" s="802" t="s">
        <v>72</v>
      </c>
      <c r="G4" s="803" t="s">
        <v>85</v>
      </c>
      <c r="H4" s="801" t="s">
        <v>84</v>
      </c>
      <c r="I4" s="802" t="s">
        <v>72</v>
      </c>
      <c r="J4" s="803" t="s">
        <v>85</v>
      </c>
      <c r="K4" s="804"/>
      <c r="L4" s="805"/>
      <c r="M4" s="805"/>
      <c r="N4" s="805"/>
      <c r="O4" s="806"/>
      <c r="P4" s="807"/>
      <c r="Q4" s="808" t="s">
        <v>73</v>
      </c>
      <c r="R4" s="809" t="s">
        <v>72</v>
      </c>
      <c r="S4" s="810" t="s">
        <v>86</v>
      </c>
      <c r="T4" s="811" t="s">
        <v>87</v>
      </c>
      <c r="U4" s="811" t="s">
        <v>88</v>
      </c>
      <c r="V4" s="812" t="s">
        <v>2</v>
      </c>
      <c r="W4" s="813" t="s">
        <v>89</v>
      </c>
    </row>
    <row r="5" spans="1:23" ht="14.4" customHeight="1" x14ac:dyDescent="0.3">
      <c r="A5" s="842" t="s">
        <v>4825</v>
      </c>
      <c r="B5" s="404"/>
      <c r="C5" s="814"/>
      <c r="D5" s="815"/>
      <c r="E5" s="816">
        <v>1</v>
      </c>
      <c r="F5" s="817">
        <v>14.55</v>
      </c>
      <c r="G5" s="818">
        <v>15</v>
      </c>
      <c r="H5" s="819"/>
      <c r="I5" s="820"/>
      <c r="J5" s="821"/>
      <c r="K5" s="822">
        <v>10.28</v>
      </c>
      <c r="L5" s="819">
        <v>6</v>
      </c>
      <c r="M5" s="819">
        <v>54</v>
      </c>
      <c r="N5" s="823">
        <v>17.899999999999999</v>
      </c>
      <c r="O5" s="819" t="s">
        <v>4826</v>
      </c>
      <c r="P5" s="824" t="s">
        <v>4827</v>
      </c>
      <c r="Q5" s="825">
        <f>H5-B5</f>
        <v>0</v>
      </c>
      <c r="R5" s="825">
        <f>I5-C5</f>
        <v>0</v>
      </c>
      <c r="S5" s="404" t="str">
        <f>IF(H5=0,"",H5*N5)</f>
        <v/>
      </c>
      <c r="T5" s="404" t="str">
        <f>IF(H5=0,"",H5*J5)</f>
        <v/>
      </c>
      <c r="U5" s="404" t="str">
        <f>IF(H5=0,"",T5-S5)</f>
        <v/>
      </c>
      <c r="V5" s="826" t="str">
        <f>IF(H5=0,"",T5/S5)</f>
        <v/>
      </c>
      <c r="W5" s="827"/>
    </row>
    <row r="6" spans="1:23" ht="14.4" customHeight="1" x14ac:dyDescent="0.3">
      <c r="A6" s="843" t="s">
        <v>4828</v>
      </c>
      <c r="B6" s="793">
        <v>1</v>
      </c>
      <c r="C6" s="794">
        <v>0.42</v>
      </c>
      <c r="D6" s="795">
        <v>2</v>
      </c>
      <c r="E6" s="798">
        <v>1</v>
      </c>
      <c r="F6" s="778">
        <v>0.5</v>
      </c>
      <c r="G6" s="779">
        <v>3</v>
      </c>
      <c r="H6" s="774">
        <v>3</v>
      </c>
      <c r="I6" s="775">
        <v>1.24</v>
      </c>
      <c r="J6" s="776">
        <v>2.2999999999999998</v>
      </c>
      <c r="K6" s="780">
        <v>0.41</v>
      </c>
      <c r="L6" s="777">
        <v>1</v>
      </c>
      <c r="M6" s="777">
        <v>11</v>
      </c>
      <c r="N6" s="781">
        <v>3.55</v>
      </c>
      <c r="O6" s="777" t="s">
        <v>4826</v>
      </c>
      <c r="P6" s="796" t="s">
        <v>4829</v>
      </c>
      <c r="Q6" s="782">
        <f t="shared" ref="Q6:R69" si="0">H6-B6</f>
        <v>2</v>
      </c>
      <c r="R6" s="782">
        <f t="shared" si="0"/>
        <v>0.82000000000000006</v>
      </c>
      <c r="S6" s="793">
        <f t="shared" ref="S6:S69" si="1">IF(H6=0,"",H6*N6)</f>
        <v>10.649999999999999</v>
      </c>
      <c r="T6" s="793">
        <f t="shared" ref="T6:T69" si="2">IF(H6=0,"",H6*J6)</f>
        <v>6.8999999999999995</v>
      </c>
      <c r="U6" s="793">
        <f t="shared" ref="U6:U69" si="3">IF(H6=0,"",T6-S6)</f>
        <v>-3.7499999999999991</v>
      </c>
      <c r="V6" s="797">
        <f t="shared" ref="V6:V69" si="4">IF(H6=0,"",T6/S6)</f>
        <v>0.647887323943662</v>
      </c>
      <c r="W6" s="783"/>
    </row>
    <row r="7" spans="1:23" ht="14.4" customHeight="1" x14ac:dyDescent="0.3">
      <c r="A7" s="844" t="s">
        <v>4830</v>
      </c>
      <c r="B7" s="828"/>
      <c r="C7" s="829"/>
      <c r="D7" s="799"/>
      <c r="E7" s="830"/>
      <c r="F7" s="831"/>
      <c r="G7" s="784"/>
      <c r="H7" s="832">
        <v>1</v>
      </c>
      <c r="I7" s="833">
        <v>0.48</v>
      </c>
      <c r="J7" s="785">
        <v>4</v>
      </c>
      <c r="K7" s="834">
        <v>0.48</v>
      </c>
      <c r="L7" s="835">
        <v>1</v>
      </c>
      <c r="M7" s="835">
        <v>12</v>
      </c>
      <c r="N7" s="836">
        <v>3.85</v>
      </c>
      <c r="O7" s="835" t="s">
        <v>4826</v>
      </c>
      <c r="P7" s="837" t="s">
        <v>4831</v>
      </c>
      <c r="Q7" s="838">
        <f t="shared" si="0"/>
        <v>1</v>
      </c>
      <c r="R7" s="838">
        <f t="shared" si="0"/>
        <v>0.48</v>
      </c>
      <c r="S7" s="828">
        <f t="shared" si="1"/>
        <v>3.85</v>
      </c>
      <c r="T7" s="828">
        <f t="shared" si="2"/>
        <v>4</v>
      </c>
      <c r="U7" s="828">
        <f t="shared" si="3"/>
        <v>0.14999999999999991</v>
      </c>
      <c r="V7" s="839">
        <f t="shared" si="4"/>
        <v>1.0389610389610389</v>
      </c>
      <c r="W7" s="786"/>
    </row>
    <row r="8" spans="1:23" ht="14.4" customHeight="1" x14ac:dyDescent="0.3">
      <c r="A8" s="843" t="s">
        <v>4832</v>
      </c>
      <c r="B8" s="793">
        <v>1</v>
      </c>
      <c r="C8" s="794">
        <v>1.17</v>
      </c>
      <c r="D8" s="795">
        <v>4</v>
      </c>
      <c r="E8" s="774">
        <v>3</v>
      </c>
      <c r="F8" s="775">
        <v>4.08</v>
      </c>
      <c r="G8" s="776">
        <v>4.3</v>
      </c>
      <c r="H8" s="777">
        <v>1</v>
      </c>
      <c r="I8" s="778">
        <v>1.17</v>
      </c>
      <c r="J8" s="779">
        <v>3</v>
      </c>
      <c r="K8" s="780">
        <v>1.17</v>
      </c>
      <c r="L8" s="777">
        <v>2</v>
      </c>
      <c r="M8" s="777">
        <v>21</v>
      </c>
      <c r="N8" s="781">
        <v>7.1</v>
      </c>
      <c r="O8" s="777" t="s">
        <v>4826</v>
      </c>
      <c r="P8" s="796" t="s">
        <v>4833</v>
      </c>
      <c r="Q8" s="782">
        <f t="shared" si="0"/>
        <v>0</v>
      </c>
      <c r="R8" s="782">
        <f t="shared" si="0"/>
        <v>0</v>
      </c>
      <c r="S8" s="793">
        <f t="shared" si="1"/>
        <v>7.1</v>
      </c>
      <c r="T8" s="793">
        <f t="shared" si="2"/>
        <v>3</v>
      </c>
      <c r="U8" s="793">
        <f t="shared" si="3"/>
        <v>-4.0999999999999996</v>
      </c>
      <c r="V8" s="797">
        <f t="shared" si="4"/>
        <v>0.42253521126760568</v>
      </c>
      <c r="W8" s="783"/>
    </row>
    <row r="9" spans="1:23" ht="14.4" customHeight="1" x14ac:dyDescent="0.3">
      <c r="A9" s="843" t="s">
        <v>4834</v>
      </c>
      <c r="B9" s="793"/>
      <c r="C9" s="794"/>
      <c r="D9" s="795"/>
      <c r="E9" s="774">
        <v>1</v>
      </c>
      <c r="F9" s="775">
        <v>0.57999999999999996</v>
      </c>
      <c r="G9" s="776">
        <v>2</v>
      </c>
      <c r="H9" s="777"/>
      <c r="I9" s="778"/>
      <c r="J9" s="779"/>
      <c r="K9" s="780">
        <v>0.61</v>
      </c>
      <c r="L9" s="777">
        <v>2</v>
      </c>
      <c r="M9" s="777">
        <v>18</v>
      </c>
      <c r="N9" s="781">
        <v>6.15</v>
      </c>
      <c r="O9" s="777" t="s">
        <v>4826</v>
      </c>
      <c r="P9" s="796" t="s">
        <v>4835</v>
      </c>
      <c r="Q9" s="782">
        <f t="shared" si="0"/>
        <v>0</v>
      </c>
      <c r="R9" s="782">
        <f t="shared" si="0"/>
        <v>0</v>
      </c>
      <c r="S9" s="793" t="str">
        <f t="shared" si="1"/>
        <v/>
      </c>
      <c r="T9" s="793" t="str">
        <f t="shared" si="2"/>
        <v/>
      </c>
      <c r="U9" s="793" t="str">
        <f t="shared" si="3"/>
        <v/>
      </c>
      <c r="V9" s="797" t="str">
        <f t="shared" si="4"/>
        <v/>
      </c>
      <c r="W9" s="783"/>
    </row>
    <row r="10" spans="1:23" ht="14.4" customHeight="1" x14ac:dyDescent="0.3">
      <c r="A10" s="843" t="s">
        <v>4836</v>
      </c>
      <c r="B10" s="793"/>
      <c r="C10" s="794"/>
      <c r="D10" s="795"/>
      <c r="E10" s="798"/>
      <c r="F10" s="778"/>
      <c r="G10" s="779"/>
      <c r="H10" s="774">
        <v>1</v>
      </c>
      <c r="I10" s="775">
        <v>0.48</v>
      </c>
      <c r="J10" s="776">
        <v>3</v>
      </c>
      <c r="K10" s="780">
        <v>0.48</v>
      </c>
      <c r="L10" s="777">
        <v>2</v>
      </c>
      <c r="M10" s="777">
        <v>22</v>
      </c>
      <c r="N10" s="781">
        <v>7.19</v>
      </c>
      <c r="O10" s="777" t="s">
        <v>4826</v>
      </c>
      <c r="P10" s="796" t="s">
        <v>4837</v>
      </c>
      <c r="Q10" s="782">
        <f t="shared" si="0"/>
        <v>1</v>
      </c>
      <c r="R10" s="782">
        <f t="shared" si="0"/>
        <v>0.48</v>
      </c>
      <c r="S10" s="793">
        <f t="shared" si="1"/>
        <v>7.19</v>
      </c>
      <c r="T10" s="793">
        <f t="shared" si="2"/>
        <v>3</v>
      </c>
      <c r="U10" s="793">
        <f t="shared" si="3"/>
        <v>-4.1900000000000004</v>
      </c>
      <c r="V10" s="797">
        <f t="shared" si="4"/>
        <v>0.41724617524339358</v>
      </c>
      <c r="W10" s="783"/>
    </row>
    <row r="11" spans="1:23" ht="14.4" customHeight="1" x14ac:dyDescent="0.3">
      <c r="A11" s="843" t="s">
        <v>4838</v>
      </c>
      <c r="B11" s="793">
        <v>1</v>
      </c>
      <c r="C11" s="794">
        <v>0.7</v>
      </c>
      <c r="D11" s="795">
        <v>3</v>
      </c>
      <c r="E11" s="774">
        <v>2</v>
      </c>
      <c r="F11" s="775">
        <v>1.55</v>
      </c>
      <c r="G11" s="776">
        <v>4</v>
      </c>
      <c r="H11" s="777"/>
      <c r="I11" s="778"/>
      <c r="J11" s="779"/>
      <c r="K11" s="780">
        <v>0.7</v>
      </c>
      <c r="L11" s="777">
        <v>2</v>
      </c>
      <c r="M11" s="777">
        <v>21</v>
      </c>
      <c r="N11" s="781">
        <v>7</v>
      </c>
      <c r="O11" s="777" t="s">
        <v>4826</v>
      </c>
      <c r="P11" s="796" t="s">
        <v>4839</v>
      </c>
      <c r="Q11" s="782">
        <f t="shared" si="0"/>
        <v>-1</v>
      </c>
      <c r="R11" s="782">
        <f t="shared" si="0"/>
        <v>-0.7</v>
      </c>
      <c r="S11" s="793" t="str">
        <f t="shared" si="1"/>
        <v/>
      </c>
      <c r="T11" s="793" t="str">
        <f t="shared" si="2"/>
        <v/>
      </c>
      <c r="U11" s="793" t="str">
        <f t="shared" si="3"/>
        <v/>
      </c>
      <c r="V11" s="797" t="str">
        <f t="shared" si="4"/>
        <v/>
      </c>
      <c r="W11" s="783"/>
    </row>
    <row r="12" spans="1:23" ht="14.4" customHeight="1" x14ac:dyDescent="0.3">
      <c r="A12" s="844" t="s">
        <v>4840</v>
      </c>
      <c r="B12" s="828">
        <v>2</v>
      </c>
      <c r="C12" s="829">
        <v>2.2200000000000002</v>
      </c>
      <c r="D12" s="799">
        <v>3.5</v>
      </c>
      <c r="E12" s="832">
        <v>1</v>
      </c>
      <c r="F12" s="833">
        <v>1.26</v>
      </c>
      <c r="G12" s="787">
        <v>4</v>
      </c>
      <c r="H12" s="835">
        <v>2</v>
      </c>
      <c r="I12" s="831">
        <v>2.2200000000000002</v>
      </c>
      <c r="J12" s="784">
        <v>7.5</v>
      </c>
      <c r="K12" s="834">
        <v>1.1100000000000001</v>
      </c>
      <c r="L12" s="835">
        <v>3</v>
      </c>
      <c r="M12" s="835">
        <v>30</v>
      </c>
      <c r="N12" s="836">
        <v>9.93</v>
      </c>
      <c r="O12" s="835" t="s">
        <v>4826</v>
      </c>
      <c r="P12" s="837" t="s">
        <v>4841</v>
      </c>
      <c r="Q12" s="838">
        <f t="shared" si="0"/>
        <v>0</v>
      </c>
      <c r="R12" s="838">
        <f t="shared" si="0"/>
        <v>0</v>
      </c>
      <c r="S12" s="828">
        <f t="shared" si="1"/>
        <v>19.86</v>
      </c>
      <c r="T12" s="828">
        <f t="shared" si="2"/>
        <v>15</v>
      </c>
      <c r="U12" s="828">
        <f t="shared" si="3"/>
        <v>-4.8599999999999994</v>
      </c>
      <c r="V12" s="839">
        <f t="shared" si="4"/>
        <v>0.75528700906344415</v>
      </c>
      <c r="W12" s="786">
        <v>2</v>
      </c>
    </row>
    <row r="13" spans="1:23" ht="14.4" customHeight="1" x14ac:dyDescent="0.3">
      <c r="A13" s="843" t="s">
        <v>4842</v>
      </c>
      <c r="B13" s="793">
        <v>23</v>
      </c>
      <c r="C13" s="794">
        <v>5.15</v>
      </c>
      <c r="D13" s="795">
        <v>2.7</v>
      </c>
      <c r="E13" s="774">
        <v>37</v>
      </c>
      <c r="F13" s="775">
        <v>9.02</v>
      </c>
      <c r="G13" s="776">
        <v>2.5</v>
      </c>
      <c r="H13" s="777">
        <v>23</v>
      </c>
      <c r="I13" s="778">
        <v>5.13</v>
      </c>
      <c r="J13" s="779">
        <v>2.8</v>
      </c>
      <c r="K13" s="780">
        <v>0.22</v>
      </c>
      <c r="L13" s="777">
        <v>1</v>
      </c>
      <c r="M13" s="777">
        <v>9</v>
      </c>
      <c r="N13" s="781">
        <v>3.05</v>
      </c>
      <c r="O13" s="777" t="s">
        <v>4826</v>
      </c>
      <c r="P13" s="796" t="s">
        <v>4843</v>
      </c>
      <c r="Q13" s="782">
        <f t="shared" si="0"/>
        <v>0</v>
      </c>
      <c r="R13" s="782">
        <f t="shared" si="0"/>
        <v>-2.0000000000000462E-2</v>
      </c>
      <c r="S13" s="793">
        <f t="shared" si="1"/>
        <v>70.149999999999991</v>
      </c>
      <c r="T13" s="793">
        <f t="shared" si="2"/>
        <v>64.399999999999991</v>
      </c>
      <c r="U13" s="793">
        <f t="shared" si="3"/>
        <v>-5.75</v>
      </c>
      <c r="V13" s="797">
        <f t="shared" si="4"/>
        <v>0.91803278688524592</v>
      </c>
      <c r="W13" s="783">
        <v>3</v>
      </c>
    </row>
    <row r="14" spans="1:23" ht="14.4" customHeight="1" x14ac:dyDescent="0.3">
      <c r="A14" s="844" t="s">
        <v>4844</v>
      </c>
      <c r="B14" s="828">
        <v>7</v>
      </c>
      <c r="C14" s="829">
        <v>1.77</v>
      </c>
      <c r="D14" s="799">
        <v>3.6</v>
      </c>
      <c r="E14" s="832">
        <v>5</v>
      </c>
      <c r="F14" s="833">
        <v>1.35</v>
      </c>
      <c r="G14" s="787">
        <v>3</v>
      </c>
      <c r="H14" s="835">
        <v>6</v>
      </c>
      <c r="I14" s="831">
        <v>1.5</v>
      </c>
      <c r="J14" s="784">
        <v>2.2999999999999998</v>
      </c>
      <c r="K14" s="834">
        <v>0.25</v>
      </c>
      <c r="L14" s="835">
        <v>1</v>
      </c>
      <c r="M14" s="835">
        <v>11</v>
      </c>
      <c r="N14" s="836">
        <v>3.54</v>
      </c>
      <c r="O14" s="835" t="s">
        <v>4826</v>
      </c>
      <c r="P14" s="837" t="s">
        <v>4845</v>
      </c>
      <c r="Q14" s="838">
        <f t="shared" si="0"/>
        <v>-1</v>
      </c>
      <c r="R14" s="838">
        <f t="shared" si="0"/>
        <v>-0.27</v>
      </c>
      <c r="S14" s="828">
        <f t="shared" si="1"/>
        <v>21.240000000000002</v>
      </c>
      <c r="T14" s="828">
        <f t="shared" si="2"/>
        <v>13.799999999999999</v>
      </c>
      <c r="U14" s="828">
        <f t="shared" si="3"/>
        <v>-7.4400000000000031</v>
      </c>
      <c r="V14" s="839">
        <f t="shared" si="4"/>
        <v>0.64971751412429368</v>
      </c>
      <c r="W14" s="786"/>
    </row>
    <row r="15" spans="1:23" ht="14.4" customHeight="1" x14ac:dyDescent="0.3">
      <c r="A15" s="844" t="s">
        <v>4846</v>
      </c>
      <c r="B15" s="828"/>
      <c r="C15" s="829"/>
      <c r="D15" s="799"/>
      <c r="E15" s="832"/>
      <c r="F15" s="833"/>
      <c r="G15" s="787"/>
      <c r="H15" s="835">
        <v>1</v>
      </c>
      <c r="I15" s="831">
        <v>0.44</v>
      </c>
      <c r="J15" s="784">
        <v>3</v>
      </c>
      <c r="K15" s="834">
        <v>0.44</v>
      </c>
      <c r="L15" s="835">
        <v>2</v>
      </c>
      <c r="M15" s="835">
        <v>15</v>
      </c>
      <c r="N15" s="836">
        <v>5.12</v>
      </c>
      <c r="O15" s="835" t="s">
        <v>4826</v>
      </c>
      <c r="P15" s="837" t="s">
        <v>4847</v>
      </c>
      <c r="Q15" s="838">
        <f t="shared" si="0"/>
        <v>1</v>
      </c>
      <c r="R15" s="838">
        <f t="shared" si="0"/>
        <v>0.44</v>
      </c>
      <c r="S15" s="828">
        <f t="shared" si="1"/>
        <v>5.12</v>
      </c>
      <c r="T15" s="828">
        <f t="shared" si="2"/>
        <v>3</v>
      </c>
      <c r="U15" s="828">
        <f t="shared" si="3"/>
        <v>-2.12</v>
      </c>
      <c r="V15" s="839">
        <f t="shared" si="4"/>
        <v>0.5859375</v>
      </c>
      <c r="W15" s="786"/>
    </row>
    <row r="16" spans="1:23" ht="14.4" customHeight="1" x14ac:dyDescent="0.3">
      <c r="A16" s="843" t="s">
        <v>4848</v>
      </c>
      <c r="B16" s="788">
        <v>1</v>
      </c>
      <c r="C16" s="789">
        <v>0.51</v>
      </c>
      <c r="D16" s="790">
        <v>2</v>
      </c>
      <c r="E16" s="798"/>
      <c r="F16" s="778"/>
      <c r="G16" s="779"/>
      <c r="H16" s="777"/>
      <c r="I16" s="778"/>
      <c r="J16" s="779"/>
      <c r="K16" s="780">
        <v>0.38</v>
      </c>
      <c r="L16" s="777">
        <v>1</v>
      </c>
      <c r="M16" s="777">
        <v>13</v>
      </c>
      <c r="N16" s="781">
        <v>4.28</v>
      </c>
      <c r="O16" s="777" t="s">
        <v>4826</v>
      </c>
      <c r="P16" s="796" t="s">
        <v>4849</v>
      </c>
      <c r="Q16" s="782">
        <f t="shared" si="0"/>
        <v>-1</v>
      </c>
      <c r="R16" s="782">
        <f t="shared" si="0"/>
        <v>-0.51</v>
      </c>
      <c r="S16" s="793" t="str">
        <f t="shared" si="1"/>
        <v/>
      </c>
      <c r="T16" s="793" t="str">
        <f t="shared" si="2"/>
        <v/>
      </c>
      <c r="U16" s="793" t="str">
        <f t="shared" si="3"/>
        <v/>
      </c>
      <c r="V16" s="797" t="str">
        <f t="shared" si="4"/>
        <v/>
      </c>
      <c r="W16" s="783"/>
    </row>
    <row r="17" spans="1:23" ht="14.4" customHeight="1" x14ac:dyDescent="0.3">
      <c r="A17" s="843" t="s">
        <v>4850</v>
      </c>
      <c r="B17" s="788">
        <v>1</v>
      </c>
      <c r="C17" s="789">
        <v>0.26</v>
      </c>
      <c r="D17" s="790">
        <v>3</v>
      </c>
      <c r="E17" s="798"/>
      <c r="F17" s="778"/>
      <c r="G17" s="779"/>
      <c r="H17" s="777"/>
      <c r="I17" s="778"/>
      <c r="J17" s="779"/>
      <c r="K17" s="780">
        <v>0.26</v>
      </c>
      <c r="L17" s="777">
        <v>1</v>
      </c>
      <c r="M17" s="777">
        <v>12</v>
      </c>
      <c r="N17" s="781">
        <v>4.03</v>
      </c>
      <c r="O17" s="777" t="s">
        <v>4826</v>
      </c>
      <c r="P17" s="796" t="s">
        <v>4851</v>
      </c>
      <c r="Q17" s="782">
        <f t="shared" si="0"/>
        <v>-1</v>
      </c>
      <c r="R17" s="782">
        <f t="shared" si="0"/>
        <v>-0.26</v>
      </c>
      <c r="S17" s="793" t="str">
        <f t="shared" si="1"/>
        <v/>
      </c>
      <c r="T17" s="793" t="str">
        <f t="shared" si="2"/>
        <v/>
      </c>
      <c r="U17" s="793" t="str">
        <f t="shared" si="3"/>
        <v/>
      </c>
      <c r="V17" s="797" t="str">
        <f t="shared" si="4"/>
        <v/>
      </c>
      <c r="W17" s="783"/>
    </row>
    <row r="18" spans="1:23" ht="14.4" customHeight="1" x14ac:dyDescent="0.3">
      <c r="A18" s="843" t="s">
        <v>4852</v>
      </c>
      <c r="B18" s="788">
        <v>2</v>
      </c>
      <c r="C18" s="789">
        <v>2.5499999999999998</v>
      </c>
      <c r="D18" s="790">
        <v>2</v>
      </c>
      <c r="E18" s="798"/>
      <c r="F18" s="778"/>
      <c r="G18" s="779"/>
      <c r="H18" s="777"/>
      <c r="I18" s="778"/>
      <c r="J18" s="779"/>
      <c r="K18" s="780">
        <v>1.28</v>
      </c>
      <c r="L18" s="777">
        <v>2</v>
      </c>
      <c r="M18" s="777">
        <v>19</v>
      </c>
      <c r="N18" s="781">
        <v>6.37</v>
      </c>
      <c r="O18" s="777" t="s">
        <v>4826</v>
      </c>
      <c r="P18" s="796" t="s">
        <v>4853</v>
      </c>
      <c r="Q18" s="782">
        <f t="shared" si="0"/>
        <v>-2</v>
      </c>
      <c r="R18" s="782">
        <f t="shared" si="0"/>
        <v>-2.5499999999999998</v>
      </c>
      <c r="S18" s="793" t="str">
        <f t="shared" si="1"/>
        <v/>
      </c>
      <c r="T18" s="793" t="str">
        <f t="shared" si="2"/>
        <v/>
      </c>
      <c r="U18" s="793" t="str">
        <f t="shared" si="3"/>
        <v/>
      </c>
      <c r="V18" s="797" t="str">
        <f t="shared" si="4"/>
        <v/>
      </c>
      <c r="W18" s="783"/>
    </row>
    <row r="19" spans="1:23" ht="14.4" customHeight="1" x14ac:dyDescent="0.3">
      <c r="A19" s="844" t="s">
        <v>4854</v>
      </c>
      <c r="B19" s="840">
        <v>1</v>
      </c>
      <c r="C19" s="841">
        <v>1.35</v>
      </c>
      <c r="D19" s="791">
        <v>3</v>
      </c>
      <c r="E19" s="830"/>
      <c r="F19" s="831"/>
      <c r="G19" s="784"/>
      <c r="H19" s="835"/>
      <c r="I19" s="831"/>
      <c r="J19" s="784"/>
      <c r="K19" s="834">
        <v>1.35</v>
      </c>
      <c r="L19" s="835">
        <v>3</v>
      </c>
      <c r="M19" s="835">
        <v>23</v>
      </c>
      <c r="N19" s="836">
        <v>7.78</v>
      </c>
      <c r="O19" s="835" t="s">
        <v>4826</v>
      </c>
      <c r="P19" s="837" t="s">
        <v>4855</v>
      </c>
      <c r="Q19" s="838">
        <f t="shared" si="0"/>
        <v>-1</v>
      </c>
      <c r="R19" s="838">
        <f t="shared" si="0"/>
        <v>-1.35</v>
      </c>
      <c r="S19" s="828" t="str">
        <f t="shared" si="1"/>
        <v/>
      </c>
      <c r="T19" s="828" t="str">
        <f t="shared" si="2"/>
        <v/>
      </c>
      <c r="U19" s="828" t="str">
        <f t="shared" si="3"/>
        <v/>
      </c>
      <c r="V19" s="839" t="str">
        <f t="shared" si="4"/>
        <v/>
      </c>
      <c r="W19" s="786"/>
    </row>
    <row r="20" spans="1:23" ht="14.4" customHeight="1" x14ac:dyDescent="0.3">
      <c r="A20" s="843" t="s">
        <v>4856</v>
      </c>
      <c r="B20" s="788">
        <v>1</v>
      </c>
      <c r="C20" s="789">
        <v>0.48</v>
      </c>
      <c r="D20" s="790">
        <v>2</v>
      </c>
      <c r="E20" s="798"/>
      <c r="F20" s="778"/>
      <c r="G20" s="779"/>
      <c r="H20" s="777"/>
      <c r="I20" s="778"/>
      <c r="J20" s="779"/>
      <c r="K20" s="780">
        <v>0.48</v>
      </c>
      <c r="L20" s="777">
        <v>1</v>
      </c>
      <c r="M20" s="777">
        <v>11</v>
      </c>
      <c r="N20" s="781">
        <v>3.79</v>
      </c>
      <c r="O20" s="777" t="s">
        <v>4826</v>
      </c>
      <c r="P20" s="796" t="s">
        <v>4857</v>
      </c>
      <c r="Q20" s="782">
        <f t="shared" si="0"/>
        <v>-1</v>
      </c>
      <c r="R20" s="782">
        <f t="shared" si="0"/>
        <v>-0.48</v>
      </c>
      <c r="S20" s="793" t="str">
        <f t="shared" si="1"/>
        <v/>
      </c>
      <c r="T20" s="793" t="str">
        <f t="shared" si="2"/>
        <v/>
      </c>
      <c r="U20" s="793" t="str">
        <f t="shared" si="3"/>
        <v/>
      </c>
      <c r="V20" s="797" t="str">
        <f t="shared" si="4"/>
        <v/>
      </c>
      <c r="W20" s="783"/>
    </row>
    <row r="21" spans="1:23" ht="14.4" customHeight="1" x14ac:dyDescent="0.3">
      <c r="A21" s="844" t="s">
        <v>4858</v>
      </c>
      <c r="B21" s="840">
        <v>1</v>
      </c>
      <c r="C21" s="841">
        <v>0.56000000000000005</v>
      </c>
      <c r="D21" s="791">
        <v>3</v>
      </c>
      <c r="E21" s="830">
        <v>1</v>
      </c>
      <c r="F21" s="831">
        <v>0.52</v>
      </c>
      <c r="G21" s="784">
        <v>3</v>
      </c>
      <c r="H21" s="835">
        <v>1</v>
      </c>
      <c r="I21" s="831">
        <v>0.56000000000000005</v>
      </c>
      <c r="J21" s="784">
        <v>3</v>
      </c>
      <c r="K21" s="834">
        <v>0.56000000000000005</v>
      </c>
      <c r="L21" s="835">
        <v>2</v>
      </c>
      <c r="M21" s="835">
        <v>15</v>
      </c>
      <c r="N21" s="836">
        <v>4.9000000000000004</v>
      </c>
      <c r="O21" s="835" t="s">
        <v>4826</v>
      </c>
      <c r="P21" s="837" t="s">
        <v>4859</v>
      </c>
      <c r="Q21" s="838">
        <f t="shared" si="0"/>
        <v>0</v>
      </c>
      <c r="R21" s="838">
        <f t="shared" si="0"/>
        <v>0</v>
      </c>
      <c r="S21" s="828">
        <f t="shared" si="1"/>
        <v>4.9000000000000004</v>
      </c>
      <c r="T21" s="828">
        <f t="shared" si="2"/>
        <v>3</v>
      </c>
      <c r="U21" s="828">
        <f t="shared" si="3"/>
        <v>-1.9000000000000004</v>
      </c>
      <c r="V21" s="839">
        <f t="shared" si="4"/>
        <v>0.61224489795918358</v>
      </c>
      <c r="W21" s="786"/>
    </row>
    <row r="22" spans="1:23" ht="14.4" customHeight="1" x14ac:dyDescent="0.3">
      <c r="A22" s="843" t="s">
        <v>4860</v>
      </c>
      <c r="B22" s="793"/>
      <c r="C22" s="794"/>
      <c r="D22" s="795"/>
      <c r="E22" s="774">
        <v>1</v>
      </c>
      <c r="F22" s="775">
        <v>1.42</v>
      </c>
      <c r="G22" s="776">
        <v>7</v>
      </c>
      <c r="H22" s="777"/>
      <c r="I22" s="778"/>
      <c r="J22" s="779"/>
      <c r="K22" s="780">
        <v>1.48</v>
      </c>
      <c r="L22" s="777">
        <v>4</v>
      </c>
      <c r="M22" s="777">
        <v>36</v>
      </c>
      <c r="N22" s="781">
        <v>11.87</v>
      </c>
      <c r="O22" s="777" t="s">
        <v>4826</v>
      </c>
      <c r="P22" s="796" t="s">
        <v>4861</v>
      </c>
      <c r="Q22" s="782">
        <f t="shared" si="0"/>
        <v>0</v>
      </c>
      <c r="R22" s="782">
        <f t="shared" si="0"/>
        <v>0</v>
      </c>
      <c r="S22" s="793" t="str">
        <f t="shared" si="1"/>
        <v/>
      </c>
      <c r="T22" s="793" t="str">
        <f t="shared" si="2"/>
        <v/>
      </c>
      <c r="U22" s="793" t="str">
        <f t="shared" si="3"/>
        <v/>
      </c>
      <c r="V22" s="797" t="str">
        <f t="shared" si="4"/>
        <v/>
      </c>
      <c r="W22" s="783"/>
    </row>
    <row r="23" spans="1:23" ht="14.4" customHeight="1" x14ac:dyDescent="0.3">
      <c r="A23" s="843" t="s">
        <v>4862</v>
      </c>
      <c r="B23" s="793"/>
      <c r="C23" s="794"/>
      <c r="D23" s="795"/>
      <c r="E23" s="774">
        <v>1</v>
      </c>
      <c r="F23" s="775">
        <v>1.81</v>
      </c>
      <c r="G23" s="776">
        <v>11</v>
      </c>
      <c r="H23" s="777"/>
      <c r="I23" s="778"/>
      <c r="J23" s="779"/>
      <c r="K23" s="780">
        <v>1.84</v>
      </c>
      <c r="L23" s="777">
        <v>4</v>
      </c>
      <c r="M23" s="777">
        <v>32</v>
      </c>
      <c r="N23" s="781">
        <v>10.8</v>
      </c>
      <c r="O23" s="777" t="s">
        <v>4826</v>
      </c>
      <c r="P23" s="796" t="s">
        <v>4863</v>
      </c>
      <c r="Q23" s="782">
        <f t="shared" si="0"/>
        <v>0</v>
      </c>
      <c r="R23" s="782">
        <f t="shared" si="0"/>
        <v>0</v>
      </c>
      <c r="S23" s="793" t="str">
        <f t="shared" si="1"/>
        <v/>
      </c>
      <c r="T23" s="793" t="str">
        <f t="shared" si="2"/>
        <v/>
      </c>
      <c r="U23" s="793" t="str">
        <f t="shared" si="3"/>
        <v/>
      </c>
      <c r="V23" s="797" t="str">
        <f t="shared" si="4"/>
        <v/>
      </c>
      <c r="W23" s="783"/>
    </row>
    <row r="24" spans="1:23" ht="14.4" customHeight="1" x14ac:dyDescent="0.3">
      <c r="A24" s="843" t="s">
        <v>4864</v>
      </c>
      <c r="B24" s="793">
        <v>1</v>
      </c>
      <c r="C24" s="794">
        <v>0.4</v>
      </c>
      <c r="D24" s="795">
        <v>5</v>
      </c>
      <c r="E24" s="774">
        <v>5</v>
      </c>
      <c r="F24" s="775">
        <v>2.11</v>
      </c>
      <c r="G24" s="776">
        <v>3.6</v>
      </c>
      <c r="H24" s="777">
        <v>1</v>
      </c>
      <c r="I24" s="778">
        <v>0.38</v>
      </c>
      <c r="J24" s="779">
        <v>5</v>
      </c>
      <c r="K24" s="780">
        <v>0.38</v>
      </c>
      <c r="L24" s="777">
        <v>2</v>
      </c>
      <c r="M24" s="777">
        <v>18</v>
      </c>
      <c r="N24" s="781">
        <v>5.96</v>
      </c>
      <c r="O24" s="777" t="s">
        <v>4826</v>
      </c>
      <c r="P24" s="796" t="s">
        <v>4865</v>
      </c>
      <c r="Q24" s="782">
        <f t="shared" si="0"/>
        <v>0</v>
      </c>
      <c r="R24" s="782">
        <f t="shared" si="0"/>
        <v>-2.0000000000000018E-2</v>
      </c>
      <c r="S24" s="793">
        <f t="shared" si="1"/>
        <v>5.96</v>
      </c>
      <c r="T24" s="793">
        <f t="shared" si="2"/>
        <v>5</v>
      </c>
      <c r="U24" s="793">
        <f t="shared" si="3"/>
        <v>-0.96</v>
      </c>
      <c r="V24" s="797">
        <f t="shared" si="4"/>
        <v>0.83892617449664431</v>
      </c>
      <c r="W24" s="783"/>
    </row>
    <row r="25" spans="1:23" ht="14.4" customHeight="1" x14ac:dyDescent="0.3">
      <c r="A25" s="844" t="s">
        <v>4866</v>
      </c>
      <c r="B25" s="828">
        <v>1</v>
      </c>
      <c r="C25" s="829">
        <v>0.59</v>
      </c>
      <c r="D25" s="799">
        <v>6</v>
      </c>
      <c r="E25" s="832">
        <v>2</v>
      </c>
      <c r="F25" s="833">
        <v>0.9</v>
      </c>
      <c r="G25" s="787">
        <v>2</v>
      </c>
      <c r="H25" s="835">
        <v>3</v>
      </c>
      <c r="I25" s="831">
        <v>1.37</v>
      </c>
      <c r="J25" s="784">
        <v>3.3</v>
      </c>
      <c r="K25" s="834">
        <v>0.57999999999999996</v>
      </c>
      <c r="L25" s="835">
        <v>3</v>
      </c>
      <c r="M25" s="835">
        <v>23</v>
      </c>
      <c r="N25" s="836">
        <v>7.74</v>
      </c>
      <c r="O25" s="835" t="s">
        <v>4826</v>
      </c>
      <c r="P25" s="837" t="s">
        <v>4867</v>
      </c>
      <c r="Q25" s="838">
        <f t="shared" si="0"/>
        <v>2</v>
      </c>
      <c r="R25" s="838">
        <f t="shared" si="0"/>
        <v>0.78000000000000014</v>
      </c>
      <c r="S25" s="828">
        <f t="shared" si="1"/>
        <v>23.22</v>
      </c>
      <c r="T25" s="828">
        <f t="shared" si="2"/>
        <v>9.8999999999999986</v>
      </c>
      <c r="U25" s="828">
        <f t="shared" si="3"/>
        <v>-13.32</v>
      </c>
      <c r="V25" s="839">
        <f t="shared" si="4"/>
        <v>0.4263565891472868</v>
      </c>
      <c r="W25" s="786"/>
    </row>
    <row r="26" spans="1:23" ht="14.4" customHeight="1" x14ac:dyDescent="0.3">
      <c r="A26" s="844" t="s">
        <v>4868</v>
      </c>
      <c r="B26" s="828"/>
      <c r="C26" s="829"/>
      <c r="D26" s="799"/>
      <c r="E26" s="832"/>
      <c r="F26" s="833"/>
      <c r="G26" s="787"/>
      <c r="H26" s="835">
        <v>1</v>
      </c>
      <c r="I26" s="831">
        <v>1.18</v>
      </c>
      <c r="J26" s="784">
        <v>5</v>
      </c>
      <c r="K26" s="834">
        <v>1.18</v>
      </c>
      <c r="L26" s="835">
        <v>4</v>
      </c>
      <c r="M26" s="835">
        <v>32</v>
      </c>
      <c r="N26" s="836">
        <v>10.73</v>
      </c>
      <c r="O26" s="835" t="s">
        <v>4826</v>
      </c>
      <c r="P26" s="837" t="s">
        <v>4869</v>
      </c>
      <c r="Q26" s="838">
        <f t="shared" si="0"/>
        <v>1</v>
      </c>
      <c r="R26" s="838">
        <f t="shared" si="0"/>
        <v>1.18</v>
      </c>
      <c r="S26" s="828">
        <f t="shared" si="1"/>
        <v>10.73</v>
      </c>
      <c r="T26" s="828">
        <f t="shared" si="2"/>
        <v>5</v>
      </c>
      <c r="U26" s="828">
        <f t="shared" si="3"/>
        <v>-5.73</v>
      </c>
      <c r="V26" s="839">
        <f t="shared" si="4"/>
        <v>0.46598322460391423</v>
      </c>
      <c r="W26" s="786"/>
    </row>
    <row r="27" spans="1:23" ht="14.4" customHeight="1" x14ac:dyDescent="0.3">
      <c r="A27" s="843" t="s">
        <v>4870</v>
      </c>
      <c r="B27" s="788">
        <v>5</v>
      </c>
      <c r="C27" s="789">
        <v>4.17</v>
      </c>
      <c r="D27" s="790">
        <v>4.2</v>
      </c>
      <c r="E27" s="798">
        <v>2</v>
      </c>
      <c r="F27" s="778">
        <v>1.79</v>
      </c>
      <c r="G27" s="779">
        <v>6.5</v>
      </c>
      <c r="H27" s="777">
        <v>1</v>
      </c>
      <c r="I27" s="778">
        <v>0.83</v>
      </c>
      <c r="J27" s="779">
        <v>5</v>
      </c>
      <c r="K27" s="780">
        <v>0.83</v>
      </c>
      <c r="L27" s="777">
        <v>3</v>
      </c>
      <c r="M27" s="777">
        <v>26</v>
      </c>
      <c r="N27" s="781">
        <v>8.6</v>
      </c>
      <c r="O27" s="777" t="s">
        <v>4826</v>
      </c>
      <c r="P27" s="796" t="s">
        <v>4871</v>
      </c>
      <c r="Q27" s="782">
        <f t="shared" si="0"/>
        <v>-4</v>
      </c>
      <c r="R27" s="782">
        <f t="shared" si="0"/>
        <v>-3.34</v>
      </c>
      <c r="S27" s="793">
        <f t="shared" si="1"/>
        <v>8.6</v>
      </c>
      <c r="T27" s="793">
        <f t="shared" si="2"/>
        <v>5</v>
      </c>
      <c r="U27" s="793">
        <f t="shared" si="3"/>
        <v>-3.5999999999999996</v>
      </c>
      <c r="V27" s="797">
        <f t="shared" si="4"/>
        <v>0.58139534883720934</v>
      </c>
      <c r="W27" s="783"/>
    </row>
    <row r="28" spans="1:23" ht="14.4" customHeight="1" x14ac:dyDescent="0.3">
      <c r="A28" s="844" t="s">
        <v>4872</v>
      </c>
      <c r="B28" s="840">
        <v>1</v>
      </c>
      <c r="C28" s="841">
        <v>0.89</v>
      </c>
      <c r="D28" s="791">
        <v>4</v>
      </c>
      <c r="E28" s="830"/>
      <c r="F28" s="831"/>
      <c r="G28" s="784"/>
      <c r="H28" s="835"/>
      <c r="I28" s="831"/>
      <c r="J28" s="784"/>
      <c r="K28" s="834">
        <v>0.89</v>
      </c>
      <c r="L28" s="835">
        <v>3</v>
      </c>
      <c r="M28" s="835">
        <v>30</v>
      </c>
      <c r="N28" s="836">
        <v>10.119999999999999</v>
      </c>
      <c r="O28" s="835" t="s">
        <v>4826</v>
      </c>
      <c r="P28" s="837" t="s">
        <v>4873</v>
      </c>
      <c r="Q28" s="838">
        <f t="shared" si="0"/>
        <v>-1</v>
      </c>
      <c r="R28" s="838">
        <f t="shared" si="0"/>
        <v>-0.89</v>
      </c>
      <c r="S28" s="828" t="str">
        <f t="shared" si="1"/>
        <v/>
      </c>
      <c r="T28" s="828" t="str">
        <f t="shared" si="2"/>
        <v/>
      </c>
      <c r="U28" s="828" t="str">
        <f t="shared" si="3"/>
        <v/>
      </c>
      <c r="V28" s="839" t="str">
        <f t="shared" si="4"/>
        <v/>
      </c>
      <c r="W28" s="786"/>
    </row>
    <row r="29" spans="1:23" ht="14.4" customHeight="1" x14ac:dyDescent="0.3">
      <c r="A29" s="843" t="s">
        <v>4874</v>
      </c>
      <c r="B29" s="793">
        <v>1</v>
      </c>
      <c r="C29" s="794">
        <v>0.41</v>
      </c>
      <c r="D29" s="795">
        <v>3</v>
      </c>
      <c r="E29" s="798"/>
      <c r="F29" s="778"/>
      <c r="G29" s="779"/>
      <c r="H29" s="774">
        <v>2</v>
      </c>
      <c r="I29" s="775">
        <v>0.83</v>
      </c>
      <c r="J29" s="776">
        <v>5</v>
      </c>
      <c r="K29" s="780">
        <v>0.41</v>
      </c>
      <c r="L29" s="777">
        <v>2</v>
      </c>
      <c r="M29" s="777">
        <v>16</v>
      </c>
      <c r="N29" s="781">
        <v>5.4</v>
      </c>
      <c r="O29" s="777" t="s">
        <v>4826</v>
      </c>
      <c r="P29" s="796" t="s">
        <v>4875</v>
      </c>
      <c r="Q29" s="782">
        <f t="shared" si="0"/>
        <v>1</v>
      </c>
      <c r="R29" s="782">
        <f t="shared" si="0"/>
        <v>0.42</v>
      </c>
      <c r="S29" s="793">
        <f t="shared" si="1"/>
        <v>10.8</v>
      </c>
      <c r="T29" s="793">
        <f t="shared" si="2"/>
        <v>10</v>
      </c>
      <c r="U29" s="793">
        <f t="shared" si="3"/>
        <v>-0.80000000000000071</v>
      </c>
      <c r="V29" s="797">
        <f t="shared" si="4"/>
        <v>0.92592592592592582</v>
      </c>
      <c r="W29" s="783">
        <v>1</v>
      </c>
    </row>
    <row r="30" spans="1:23" ht="14.4" customHeight="1" x14ac:dyDescent="0.3">
      <c r="A30" s="844" t="s">
        <v>4876</v>
      </c>
      <c r="B30" s="828"/>
      <c r="C30" s="829"/>
      <c r="D30" s="799"/>
      <c r="E30" s="830"/>
      <c r="F30" s="831"/>
      <c r="G30" s="784"/>
      <c r="H30" s="832">
        <v>1</v>
      </c>
      <c r="I30" s="833">
        <v>0.56999999999999995</v>
      </c>
      <c r="J30" s="787">
        <v>3</v>
      </c>
      <c r="K30" s="834">
        <v>0.56999999999999995</v>
      </c>
      <c r="L30" s="835">
        <v>3</v>
      </c>
      <c r="M30" s="835">
        <v>23</v>
      </c>
      <c r="N30" s="836">
        <v>7.67</v>
      </c>
      <c r="O30" s="835" t="s">
        <v>4826</v>
      </c>
      <c r="P30" s="837" t="s">
        <v>4877</v>
      </c>
      <c r="Q30" s="838">
        <f t="shared" si="0"/>
        <v>1</v>
      </c>
      <c r="R30" s="838">
        <f t="shared" si="0"/>
        <v>0.56999999999999995</v>
      </c>
      <c r="S30" s="828">
        <f t="shared" si="1"/>
        <v>7.67</v>
      </c>
      <c r="T30" s="828">
        <f t="shared" si="2"/>
        <v>3</v>
      </c>
      <c r="U30" s="828">
        <f t="shared" si="3"/>
        <v>-4.67</v>
      </c>
      <c r="V30" s="839">
        <f t="shared" si="4"/>
        <v>0.39113428943937417</v>
      </c>
      <c r="W30" s="786"/>
    </row>
    <row r="31" spans="1:23" ht="14.4" customHeight="1" x14ac:dyDescent="0.3">
      <c r="A31" s="843" t="s">
        <v>4878</v>
      </c>
      <c r="B31" s="793">
        <v>1</v>
      </c>
      <c r="C31" s="794">
        <v>1.91</v>
      </c>
      <c r="D31" s="795">
        <v>4</v>
      </c>
      <c r="E31" s="774">
        <v>2</v>
      </c>
      <c r="F31" s="775">
        <v>4.07</v>
      </c>
      <c r="G31" s="776">
        <v>5</v>
      </c>
      <c r="H31" s="777"/>
      <c r="I31" s="778"/>
      <c r="J31" s="779"/>
      <c r="K31" s="780">
        <v>1.91</v>
      </c>
      <c r="L31" s="777">
        <v>3</v>
      </c>
      <c r="M31" s="777">
        <v>24</v>
      </c>
      <c r="N31" s="781">
        <v>8.0399999999999991</v>
      </c>
      <c r="O31" s="777" t="s">
        <v>4826</v>
      </c>
      <c r="P31" s="796" t="s">
        <v>4879</v>
      </c>
      <c r="Q31" s="782">
        <f t="shared" si="0"/>
        <v>-1</v>
      </c>
      <c r="R31" s="782">
        <f t="shared" si="0"/>
        <v>-1.91</v>
      </c>
      <c r="S31" s="793" t="str">
        <f t="shared" si="1"/>
        <v/>
      </c>
      <c r="T31" s="793" t="str">
        <f t="shared" si="2"/>
        <v/>
      </c>
      <c r="U31" s="793" t="str">
        <f t="shared" si="3"/>
        <v/>
      </c>
      <c r="V31" s="797" t="str">
        <f t="shared" si="4"/>
        <v/>
      </c>
      <c r="W31" s="783"/>
    </row>
    <row r="32" spans="1:23" ht="14.4" customHeight="1" x14ac:dyDescent="0.3">
      <c r="A32" s="844" t="s">
        <v>4880</v>
      </c>
      <c r="B32" s="828">
        <v>1</v>
      </c>
      <c r="C32" s="829">
        <v>3.55</v>
      </c>
      <c r="D32" s="799">
        <v>35</v>
      </c>
      <c r="E32" s="832"/>
      <c r="F32" s="833"/>
      <c r="G32" s="787"/>
      <c r="H32" s="835"/>
      <c r="I32" s="831"/>
      <c r="J32" s="784"/>
      <c r="K32" s="834">
        <v>3.55</v>
      </c>
      <c r="L32" s="835">
        <v>5</v>
      </c>
      <c r="M32" s="835">
        <v>41</v>
      </c>
      <c r="N32" s="836">
        <v>13.79</v>
      </c>
      <c r="O32" s="835" t="s">
        <v>4826</v>
      </c>
      <c r="P32" s="837" t="s">
        <v>4881</v>
      </c>
      <c r="Q32" s="838">
        <f t="shared" si="0"/>
        <v>-1</v>
      </c>
      <c r="R32" s="838">
        <f t="shared" si="0"/>
        <v>-3.55</v>
      </c>
      <c r="S32" s="828" t="str">
        <f t="shared" si="1"/>
        <v/>
      </c>
      <c r="T32" s="828" t="str">
        <f t="shared" si="2"/>
        <v/>
      </c>
      <c r="U32" s="828" t="str">
        <f t="shared" si="3"/>
        <v/>
      </c>
      <c r="V32" s="839" t="str">
        <f t="shared" si="4"/>
        <v/>
      </c>
      <c r="W32" s="786"/>
    </row>
    <row r="33" spans="1:23" ht="14.4" customHeight="1" x14ac:dyDescent="0.3">
      <c r="A33" s="843" t="s">
        <v>4882</v>
      </c>
      <c r="B33" s="793"/>
      <c r="C33" s="794"/>
      <c r="D33" s="795"/>
      <c r="E33" s="798"/>
      <c r="F33" s="778"/>
      <c r="G33" s="779"/>
      <c r="H33" s="774">
        <v>1</v>
      </c>
      <c r="I33" s="775">
        <v>4.8499999999999996</v>
      </c>
      <c r="J33" s="776">
        <v>14</v>
      </c>
      <c r="K33" s="780">
        <v>3.17</v>
      </c>
      <c r="L33" s="777">
        <v>5</v>
      </c>
      <c r="M33" s="777">
        <v>44</v>
      </c>
      <c r="N33" s="781">
        <v>14.72</v>
      </c>
      <c r="O33" s="777" t="s">
        <v>4826</v>
      </c>
      <c r="P33" s="796" t="s">
        <v>4883</v>
      </c>
      <c r="Q33" s="782">
        <f t="shared" si="0"/>
        <v>1</v>
      </c>
      <c r="R33" s="782">
        <f t="shared" si="0"/>
        <v>4.8499999999999996</v>
      </c>
      <c r="S33" s="793">
        <f t="shared" si="1"/>
        <v>14.72</v>
      </c>
      <c r="T33" s="793">
        <f t="shared" si="2"/>
        <v>14</v>
      </c>
      <c r="U33" s="793">
        <f t="shared" si="3"/>
        <v>-0.72000000000000064</v>
      </c>
      <c r="V33" s="797">
        <f t="shared" si="4"/>
        <v>0.95108695652173914</v>
      </c>
      <c r="W33" s="783"/>
    </row>
    <row r="34" spans="1:23" ht="14.4" customHeight="1" x14ac:dyDescent="0.3">
      <c r="A34" s="843" t="s">
        <v>4884</v>
      </c>
      <c r="B34" s="793"/>
      <c r="C34" s="794"/>
      <c r="D34" s="795"/>
      <c r="E34" s="798"/>
      <c r="F34" s="778"/>
      <c r="G34" s="779"/>
      <c r="H34" s="774">
        <v>2</v>
      </c>
      <c r="I34" s="775">
        <v>0.6</v>
      </c>
      <c r="J34" s="776">
        <v>3.5</v>
      </c>
      <c r="K34" s="780">
        <v>0.3</v>
      </c>
      <c r="L34" s="777">
        <v>1</v>
      </c>
      <c r="M34" s="777">
        <v>12</v>
      </c>
      <c r="N34" s="781">
        <v>3.96</v>
      </c>
      <c r="O34" s="777" t="s">
        <v>4826</v>
      </c>
      <c r="P34" s="796" t="s">
        <v>4885</v>
      </c>
      <c r="Q34" s="782">
        <f t="shared" si="0"/>
        <v>2</v>
      </c>
      <c r="R34" s="782">
        <f t="shared" si="0"/>
        <v>0.6</v>
      </c>
      <c r="S34" s="793">
        <f t="shared" si="1"/>
        <v>7.92</v>
      </c>
      <c r="T34" s="793">
        <f t="shared" si="2"/>
        <v>7</v>
      </c>
      <c r="U34" s="793">
        <f t="shared" si="3"/>
        <v>-0.91999999999999993</v>
      </c>
      <c r="V34" s="797">
        <f t="shared" si="4"/>
        <v>0.88383838383838387</v>
      </c>
      <c r="W34" s="783"/>
    </row>
    <row r="35" spans="1:23" ht="14.4" customHeight="1" x14ac:dyDescent="0.3">
      <c r="A35" s="843" t="s">
        <v>4886</v>
      </c>
      <c r="B35" s="788">
        <v>3</v>
      </c>
      <c r="C35" s="789">
        <v>8.8699999999999992</v>
      </c>
      <c r="D35" s="790">
        <v>5.3</v>
      </c>
      <c r="E35" s="798"/>
      <c r="F35" s="778"/>
      <c r="G35" s="779"/>
      <c r="H35" s="777">
        <v>1</v>
      </c>
      <c r="I35" s="778">
        <v>2.96</v>
      </c>
      <c r="J35" s="779">
        <v>6</v>
      </c>
      <c r="K35" s="780">
        <v>2.96</v>
      </c>
      <c r="L35" s="777">
        <v>3</v>
      </c>
      <c r="M35" s="777">
        <v>27</v>
      </c>
      <c r="N35" s="781">
        <v>8.89</v>
      </c>
      <c r="O35" s="777" t="s">
        <v>4826</v>
      </c>
      <c r="P35" s="796" t="s">
        <v>4887</v>
      </c>
      <c r="Q35" s="782">
        <f t="shared" si="0"/>
        <v>-2</v>
      </c>
      <c r="R35" s="782">
        <f t="shared" si="0"/>
        <v>-5.9099999999999993</v>
      </c>
      <c r="S35" s="793">
        <f t="shared" si="1"/>
        <v>8.89</v>
      </c>
      <c r="T35" s="793">
        <f t="shared" si="2"/>
        <v>6</v>
      </c>
      <c r="U35" s="793">
        <f t="shared" si="3"/>
        <v>-2.8900000000000006</v>
      </c>
      <c r="V35" s="797">
        <f t="shared" si="4"/>
        <v>0.67491563554555678</v>
      </c>
      <c r="W35" s="783"/>
    </row>
    <row r="36" spans="1:23" ht="14.4" customHeight="1" x14ac:dyDescent="0.3">
      <c r="A36" s="843" t="s">
        <v>4888</v>
      </c>
      <c r="B36" s="793"/>
      <c r="C36" s="794"/>
      <c r="D36" s="795"/>
      <c r="E36" s="774">
        <v>3</v>
      </c>
      <c r="F36" s="775">
        <v>8.01</v>
      </c>
      <c r="G36" s="776">
        <v>18.3</v>
      </c>
      <c r="H36" s="777"/>
      <c r="I36" s="778"/>
      <c r="J36" s="779"/>
      <c r="K36" s="780">
        <v>2.12</v>
      </c>
      <c r="L36" s="777">
        <v>6</v>
      </c>
      <c r="M36" s="777">
        <v>57</v>
      </c>
      <c r="N36" s="781">
        <v>18.88</v>
      </c>
      <c r="O36" s="777" t="s">
        <v>4826</v>
      </c>
      <c r="P36" s="796" t="s">
        <v>4889</v>
      </c>
      <c r="Q36" s="782">
        <f t="shared" si="0"/>
        <v>0</v>
      </c>
      <c r="R36" s="782">
        <f t="shared" si="0"/>
        <v>0</v>
      </c>
      <c r="S36" s="793" t="str">
        <f t="shared" si="1"/>
        <v/>
      </c>
      <c r="T36" s="793" t="str">
        <f t="shared" si="2"/>
        <v/>
      </c>
      <c r="U36" s="793" t="str">
        <f t="shared" si="3"/>
        <v/>
      </c>
      <c r="V36" s="797" t="str">
        <f t="shared" si="4"/>
        <v/>
      </c>
      <c r="W36" s="783"/>
    </row>
    <row r="37" spans="1:23" ht="14.4" customHeight="1" x14ac:dyDescent="0.3">
      <c r="A37" s="843" t="s">
        <v>4890</v>
      </c>
      <c r="B37" s="788">
        <v>10</v>
      </c>
      <c r="C37" s="789">
        <v>20.99</v>
      </c>
      <c r="D37" s="790">
        <v>6.3</v>
      </c>
      <c r="E37" s="798">
        <v>15</v>
      </c>
      <c r="F37" s="778">
        <v>32.479999999999997</v>
      </c>
      <c r="G37" s="779">
        <v>8.1</v>
      </c>
      <c r="H37" s="777">
        <v>8</v>
      </c>
      <c r="I37" s="778">
        <v>16.73</v>
      </c>
      <c r="J37" s="779">
        <v>6.3</v>
      </c>
      <c r="K37" s="780">
        <v>2.0299999999999998</v>
      </c>
      <c r="L37" s="777">
        <v>4</v>
      </c>
      <c r="M37" s="777">
        <v>35</v>
      </c>
      <c r="N37" s="781">
        <v>11.7</v>
      </c>
      <c r="O37" s="777" t="s">
        <v>4826</v>
      </c>
      <c r="P37" s="796" t="s">
        <v>4891</v>
      </c>
      <c r="Q37" s="782">
        <f t="shared" si="0"/>
        <v>-2</v>
      </c>
      <c r="R37" s="782">
        <f t="shared" si="0"/>
        <v>-4.259999999999998</v>
      </c>
      <c r="S37" s="793">
        <f t="shared" si="1"/>
        <v>93.6</v>
      </c>
      <c r="T37" s="793">
        <f t="shared" si="2"/>
        <v>50.4</v>
      </c>
      <c r="U37" s="793">
        <f t="shared" si="3"/>
        <v>-43.199999999999996</v>
      </c>
      <c r="V37" s="797">
        <f t="shared" si="4"/>
        <v>0.53846153846153844</v>
      </c>
      <c r="W37" s="783"/>
    </row>
    <row r="38" spans="1:23" ht="14.4" customHeight="1" x14ac:dyDescent="0.3">
      <c r="A38" s="844" t="s">
        <v>4892</v>
      </c>
      <c r="B38" s="840">
        <v>10</v>
      </c>
      <c r="C38" s="841">
        <v>24.52</v>
      </c>
      <c r="D38" s="791">
        <v>9.5</v>
      </c>
      <c r="E38" s="830">
        <v>2</v>
      </c>
      <c r="F38" s="831">
        <v>4.2300000000000004</v>
      </c>
      <c r="G38" s="784">
        <v>4.5</v>
      </c>
      <c r="H38" s="835">
        <v>6</v>
      </c>
      <c r="I38" s="831">
        <v>13.68</v>
      </c>
      <c r="J38" s="784">
        <v>7.5</v>
      </c>
      <c r="K38" s="834">
        <v>2.36</v>
      </c>
      <c r="L38" s="835">
        <v>4</v>
      </c>
      <c r="M38" s="835">
        <v>40</v>
      </c>
      <c r="N38" s="836">
        <v>13.34</v>
      </c>
      <c r="O38" s="835" t="s">
        <v>4826</v>
      </c>
      <c r="P38" s="837" t="s">
        <v>4893</v>
      </c>
      <c r="Q38" s="838">
        <f t="shared" si="0"/>
        <v>-4</v>
      </c>
      <c r="R38" s="838">
        <f t="shared" si="0"/>
        <v>-10.84</v>
      </c>
      <c r="S38" s="828">
        <f t="shared" si="1"/>
        <v>80.039999999999992</v>
      </c>
      <c r="T38" s="828">
        <f t="shared" si="2"/>
        <v>45</v>
      </c>
      <c r="U38" s="828">
        <f t="shared" si="3"/>
        <v>-35.039999999999992</v>
      </c>
      <c r="V38" s="839">
        <f t="shared" si="4"/>
        <v>0.56221889055472274</v>
      </c>
      <c r="W38" s="786">
        <v>3</v>
      </c>
    </row>
    <row r="39" spans="1:23" ht="14.4" customHeight="1" x14ac:dyDescent="0.3">
      <c r="A39" s="844" t="s">
        <v>4894</v>
      </c>
      <c r="B39" s="840"/>
      <c r="C39" s="841"/>
      <c r="D39" s="791"/>
      <c r="E39" s="830"/>
      <c r="F39" s="831"/>
      <c r="G39" s="784"/>
      <c r="H39" s="835">
        <v>1</v>
      </c>
      <c r="I39" s="831">
        <v>3.45</v>
      </c>
      <c r="J39" s="784">
        <v>9</v>
      </c>
      <c r="K39" s="834">
        <v>3.45</v>
      </c>
      <c r="L39" s="835">
        <v>7</v>
      </c>
      <c r="M39" s="835">
        <v>64</v>
      </c>
      <c r="N39" s="836">
        <v>21.42</v>
      </c>
      <c r="O39" s="835" t="s">
        <v>4826</v>
      </c>
      <c r="P39" s="837" t="s">
        <v>4895</v>
      </c>
      <c r="Q39" s="838">
        <f t="shared" si="0"/>
        <v>1</v>
      </c>
      <c r="R39" s="838">
        <f t="shared" si="0"/>
        <v>3.45</v>
      </c>
      <c r="S39" s="828">
        <f t="shared" si="1"/>
        <v>21.42</v>
      </c>
      <c r="T39" s="828">
        <f t="shared" si="2"/>
        <v>9</v>
      </c>
      <c r="U39" s="828">
        <f t="shared" si="3"/>
        <v>-12.420000000000002</v>
      </c>
      <c r="V39" s="839">
        <f t="shared" si="4"/>
        <v>0.42016806722689071</v>
      </c>
      <c r="W39" s="786"/>
    </row>
    <row r="40" spans="1:23" ht="14.4" customHeight="1" x14ac:dyDescent="0.3">
      <c r="A40" s="843" t="s">
        <v>4896</v>
      </c>
      <c r="B40" s="793"/>
      <c r="C40" s="794"/>
      <c r="D40" s="795"/>
      <c r="E40" s="798">
        <v>1</v>
      </c>
      <c r="F40" s="778">
        <v>0.92</v>
      </c>
      <c r="G40" s="779">
        <v>6</v>
      </c>
      <c r="H40" s="774">
        <v>2</v>
      </c>
      <c r="I40" s="775">
        <v>1.42</v>
      </c>
      <c r="J40" s="776">
        <v>3.5</v>
      </c>
      <c r="K40" s="780">
        <v>0.66</v>
      </c>
      <c r="L40" s="777">
        <v>2</v>
      </c>
      <c r="M40" s="777">
        <v>17</v>
      </c>
      <c r="N40" s="781">
        <v>5.65</v>
      </c>
      <c r="O40" s="777" t="s">
        <v>4826</v>
      </c>
      <c r="P40" s="796" t="s">
        <v>4897</v>
      </c>
      <c r="Q40" s="782">
        <f t="shared" si="0"/>
        <v>2</v>
      </c>
      <c r="R40" s="782">
        <f t="shared" si="0"/>
        <v>1.42</v>
      </c>
      <c r="S40" s="793">
        <f t="shared" si="1"/>
        <v>11.3</v>
      </c>
      <c r="T40" s="793">
        <f t="shared" si="2"/>
        <v>7</v>
      </c>
      <c r="U40" s="793">
        <f t="shared" si="3"/>
        <v>-4.3000000000000007</v>
      </c>
      <c r="V40" s="797">
        <f t="shared" si="4"/>
        <v>0.61946902654867253</v>
      </c>
      <c r="W40" s="783"/>
    </row>
    <row r="41" spans="1:23" ht="14.4" customHeight="1" x14ac:dyDescent="0.3">
      <c r="A41" s="844" t="s">
        <v>4898</v>
      </c>
      <c r="B41" s="828">
        <v>2</v>
      </c>
      <c r="C41" s="829">
        <v>4.0199999999999996</v>
      </c>
      <c r="D41" s="799">
        <v>29.5</v>
      </c>
      <c r="E41" s="830">
        <v>1</v>
      </c>
      <c r="F41" s="831">
        <v>2.17</v>
      </c>
      <c r="G41" s="784">
        <v>20</v>
      </c>
      <c r="H41" s="832">
        <v>1</v>
      </c>
      <c r="I41" s="833">
        <v>2.15</v>
      </c>
      <c r="J41" s="785">
        <v>25</v>
      </c>
      <c r="K41" s="834">
        <v>1.48</v>
      </c>
      <c r="L41" s="835">
        <v>4</v>
      </c>
      <c r="M41" s="835">
        <v>40</v>
      </c>
      <c r="N41" s="836">
        <v>13.26</v>
      </c>
      <c r="O41" s="835" t="s">
        <v>4826</v>
      </c>
      <c r="P41" s="837" t="s">
        <v>4897</v>
      </c>
      <c r="Q41" s="838">
        <f t="shared" si="0"/>
        <v>-1</v>
      </c>
      <c r="R41" s="838">
        <f t="shared" si="0"/>
        <v>-1.8699999999999997</v>
      </c>
      <c r="S41" s="828">
        <f t="shared" si="1"/>
        <v>13.26</v>
      </c>
      <c r="T41" s="828">
        <f t="shared" si="2"/>
        <v>25</v>
      </c>
      <c r="U41" s="828">
        <f t="shared" si="3"/>
        <v>11.74</v>
      </c>
      <c r="V41" s="839">
        <f t="shared" si="4"/>
        <v>1.8853695324283559</v>
      </c>
      <c r="W41" s="786">
        <v>12</v>
      </c>
    </row>
    <row r="42" spans="1:23" ht="14.4" customHeight="1" x14ac:dyDescent="0.3">
      <c r="A42" s="843" t="s">
        <v>4899</v>
      </c>
      <c r="B42" s="793">
        <v>56</v>
      </c>
      <c r="C42" s="794">
        <v>62.66</v>
      </c>
      <c r="D42" s="795">
        <v>4.3</v>
      </c>
      <c r="E42" s="774">
        <v>68</v>
      </c>
      <c r="F42" s="775">
        <v>73.5</v>
      </c>
      <c r="G42" s="776">
        <v>4.0999999999999996</v>
      </c>
      <c r="H42" s="777">
        <v>41</v>
      </c>
      <c r="I42" s="778">
        <v>45.45</v>
      </c>
      <c r="J42" s="779">
        <v>4.4000000000000004</v>
      </c>
      <c r="K42" s="780">
        <v>1.06</v>
      </c>
      <c r="L42" s="777">
        <v>2</v>
      </c>
      <c r="M42" s="777">
        <v>18</v>
      </c>
      <c r="N42" s="781">
        <v>6</v>
      </c>
      <c r="O42" s="777" t="s">
        <v>4826</v>
      </c>
      <c r="P42" s="796" t="s">
        <v>4900</v>
      </c>
      <c r="Q42" s="782">
        <f t="shared" si="0"/>
        <v>-15</v>
      </c>
      <c r="R42" s="782">
        <f t="shared" si="0"/>
        <v>-17.209999999999994</v>
      </c>
      <c r="S42" s="793">
        <f t="shared" si="1"/>
        <v>246</v>
      </c>
      <c r="T42" s="793">
        <f t="shared" si="2"/>
        <v>180.4</v>
      </c>
      <c r="U42" s="793">
        <f t="shared" si="3"/>
        <v>-65.599999999999994</v>
      </c>
      <c r="V42" s="797">
        <f t="shared" si="4"/>
        <v>0.73333333333333339</v>
      </c>
      <c r="W42" s="783">
        <v>19</v>
      </c>
    </row>
    <row r="43" spans="1:23" ht="14.4" customHeight="1" x14ac:dyDescent="0.3">
      <c r="A43" s="844" t="s">
        <v>4901</v>
      </c>
      <c r="B43" s="828">
        <v>2</v>
      </c>
      <c r="C43" s="829">
        <v>2.73</v>
      </c>
      <c r="D43" s="799">
        <v>6.5</v>
      </c>
      <c r="E43" s="832">
        <v>10</v>
      </c>
      <c r="F43" s="833">
        <v>12.18</v>
      </c>
      <c r="G43" s="787">
        <v>6.6</v>
      </c>
      <c r="H43" s="835">
        <v>3</v>
      </c>
      <c r="I43" s="831">
        <v>4.6500000000000004</v>
      </c>
      <c r="J43" s="785">
        <v>12.3</v>
      </c>
      <c r="K43" s="834">
        <v>1.22</v>
      </c>
      <c r="L43" s="835">
        <v>3</v>
      </c>
      <c r="M43" s="835">
        <v>24</v>
      </c>
      <c r="N43" s="836">
        <v>7.98</v>
      </c>
      <c r="O43" s="835" t="s">
        <v>4826</v>
      </c>
      <c r="P43" s="837" t="s">
        <v>4902</v>
      </c>
      <c r="Q43" s="838">
        <f t="shared" si="0"/>
        <v>1</v>
      </c>
      <c r="R43" s="838">
        <f t="shared" si="0"/>
        <v>1.9200000000000004</v>
      </c>
      <c r="S43" s="828">
        <f t="shared" si="1"/>
        <v>23.94</v>
      </c>
      <c r="T43" s="828">
        <f t="shared" si="2"/>
        <v>36.900000000000006</v>
      </c>
      <c r="U43" s="828">
        <f t="shared" si="3"/>
        <v>12.960000000000004</v>
      </c>
      <c r="V43" s="839">
        <f t="shared" si="4"/>
        <v>1.5413533834586468</v>
      </c>
      <c r="W43" s="786">
        <v>17</v>
      </c>
    </row>
    <row r="44" spans="1:23" ht="14.4" customHeight="1" x14ac:dyDescent="0.3">
      <c r="A44" s="844" t="s">
        <v>4903</v>
      </c>
      <c r="B44" s="828"/>
      <c r="C44" s="829"/>
      <c r="D44" s="799"/>
      <c r="E44" s="832">
        <v>1</v>
      </c>
      <c r="F44" s="833">
        <v>0.86</v>
      </c>
      <c r="G44" s="787">
        <v>2</v>
      </c>
      <c r="H44" s="835"/>
      <c r="I44" s="831"/>
      <c r="J44" s="784"/>
      <c r="K44" s="834">
        <v>1.94</v>
      </c>
      <c r="L44" s="835">
        <v>5</v>
      </c>
      <c r="M44" s="835">
        <v>46</v>
      </c>
      <c r="N44" s="836">
        <v>15.23</v>
      </c>
      <c r="O44" s="835" t="s">
        <v>4826</v>
      </c>
      <c r="P44" s="837" t="s">
        <v>4904</v>
      </c>
      <c r="Q44" s="838">
        <f t="shared" si="0"/>
        <v>0</v>
      </c>
      <c r="R44" s="838">
        <f t="shared" si="0"/>
        <v>0</v>
      </c>
      <c r="S44" s="828" t="str">
        <f t="shared" si="1"/>
        <v/>
      </c>
      <c r="T44" s="828" t="str">
        <f t="shared" si="2"/>
        <v/>
      </c>
      <c r="U44" s="828" t="str">
        <f t="shared" si="3"/>
        <v/>
      </c>
      <c r="V44" s="839" t="str">
        <f t="shared" si="4"/>
        <v/>
      </c>
      <c r="W44" s="786"/>
    </row>
    <row r="45" spans="1:23" ht="14.4" customHeight="1" x14ac:dyDescent="0.3">
      <c r="A45" s="843" t="s">
        <v>4905</v>
      </c>
      <c r="B45" s="788">
        <v>56</v>
      </c>
      <c r="C45" s="789">
        <v>23.71</v>
      </c>
      <c r="D45" s="790">
        <v>3.3</v>
      </c>
      <c r="E45" s="798">
        <v>48</v>
      </c>
      <c r="F45" s="778">
        <v>17.25</v>
      </c>
      <c r="G45" s="779">
        <v>3</v>
      </c>
      <c r="H45" s="777">
        <v>39</v>
      </c>
      <c r="I45" s="778">
        <v>16.16</v>
      </c>
      <c r="J45" s="779">
        <v>2.9</v>
      </c>
      <c r="K45" s="780">
        <v>0.39</v>
      </c>
      <c r="L45" s="777">
        <v>1</v>
      </c>
      <c r="M45" s="777">
        <v>10</v>
      </c>
      <c r="N45" s="781">
        <v>3.42</v>
      </c>
      <c r="O45" s="777" t="s">
        <v>4826</v>
      </c>
      <c r="P45" s="796" t="s">
        <v>4906</v>
      </c>
      <c r="Q45" s="782">
        <f t="shared" si="0"/>
        <v>-17</v>
      </c>
      <c r="R45" s="782">
        <f t="shared" si="0"/>
        <v>-7.5500000000000007</v>
      </c>
      <c r="S45" s="793">
        <f t="shared" si="1"/>
        <v>133.38</v>
      </c>
      <c r="T45" s="793">
        <f t="shared" si="2"/>
        <v>113.1</v>
      </c>
      <c r="U45" s="793">
        <f t="shared" si="3"/>
        <v>-20.28</v>
      </c>
      <c r="V45" s="797">
        <f t="shared" si="4"/>
        <v>0.84795321637426901</v>
      </c>
      <c r="W45" s="783">
        <v>6</v>
      </c>
    </row>
    <row r="46" spans="1:23" ht="14.4" customHeight="1" x14ac:dyDescent="0.3">
      <c r="A46" s="844" t="s">
        <v>4907</v>
      </c>
      <c r="B46" s="840">
        <v>9</v>
      </c>
      <c r="C46" s="841">
        <v>4.6900000000000004</v>
      </c>
      <c r="D46" s="791">
        <v>3.4</v>
      </c>
      <c r="E46" s="830">
        <v>12</v>
      </c>
      <c r="F46" s="831">
        <v>6.95</v>
      </c>
      <c r="G46" s="784">
        <v>5.3</v>
      </c>
      <c r="H46" s="835">
        <v>10</v>
      </c>
      <c r="I46" s="831">
        <v>6.5</v>
      </c>
      <c r="J46" s="785">
        <v>6.2</v>
      </c>
      <c r="K46" s="834">
        <v>0.45</v>
      </c>
      <c r="L46" s="835">
        <v>1</v>
      </c>
      <c r="M46" s="835">
        <v>12</v>
      </c>
      <c r="N46" s="836">
        <v>3.87</v>
      </c>
      <c r="O46" s="835" t="s">
        <v>4826</v>
      </c>
      <c r="P46" s="837" t="s">
        <v>4908</v>
      </c>
      <c r="Q46" s="838">
        <f t="shared" si="0"/>
        <v>1</v>
      </c>
      <c r="R46" s="838">
        <f t="shared" si="0"/>
        <v>1.8099999999999996</v>
      </c>
      <c r="S46" s="828">
        <f t="shared" si="1"/>
        <v>38.700000000000003</v>
      </c>
      <c r="T46" s="828">
        <f t="shared" si="2"/>
        <v>62</v>
      </c>
      <c r="U46" s="828">
        <f t="shared" si="3"/>
        <v>23.299999999999997</v>
      </c>
      <c r="V46" s="839">
        <f t="shared" si="4"/>
        <v>1.6020671834625322</v>
      </c>
      <c r="W46" s="786">
        <v>30</v>
      </c>
    </row>
    <row r="47" spans="1:23" ht="14.4" customHeight="1" x14ac:dyDescent="0.3">
      <c r="A47" s="844" t="s">
        <v>4909</v>
      </c>
      <c r="B47" s="840">
        <v>2</v>
      </c>
      <c r="C47" s="841">
        <v>2.2599999999999998</v>
      </c>
      <c r="D47" s="791">
        <v>14</v>
      </c>
      <c r="E47" s="830"/>
      <c r="F47" s="831"/>
      <c r="G47" s="784"/>
      <c r="H47" s="835"/>
      <c r="I47" s="831"/>
      <c r="J47" s="784"/>
      <c r="K47" s="834">
        <v>0.6</v>
      </c>
      <c r="L47" s="835">
        <v>2</v>
      </c>
      <c r="M47" s="835">
        <v>17</v>
      </c>
      <c r="N47" s="836">
        <v>5.72</v>
      </c>
      <c r="O47" s="835" t="s">
        <v>4826</v>
      </c>
      <c r="P47" s="837" t="s">
        <v>4910</v>
      </c>
      <c r="Q47" s="838">
        <f t="shared" si="0"/>
        <v>-2</v>
      </c>
      <c r="R47" s="838">
        <f t="shared" si="0"/>
        <v>-2.2599999999999998</v>
      </c>
      <c r="S47" s="828" t="str">
        <f t="shared" si="1"/>
        <v/>
      </c>
      <c r="T47" s="828" t="str">
        <f t="shared" si="2"/>
        <v/>
      </c>
      <c r="U47" s="828" t="str">
        <f t="shared" si="3"/>
        <v/>
      </c>
      <c r="V47" s="839" t="str">
        <f t="shared" si="4"/>
        <v/>
      </c>
      <c r="W47" s="786"/>
    </row>
    <row r="48" spans="1:23" ht="14.4" customHeight="1" x14ac:dyDescent="0.3">
      <c r="A48" s="843" t="s">
        <v>4911</v>
      </c>
      <c r="B48" s="788">
        <v>10</v>
      </c>
      <c r="C48" s="789">
        <v>8.93</v>
      </c>
      <c r="D48" s="790">
        <v>4</v>
      </c>
      <c r="E48" s="798">
        <v>1</v>
      </c>
      <c r="F48" s="778">
        <v>1.22</v>
      </c>
      <c r="G48" s="779">
        <v>5</v>
      </c>
      <c r="H48" s="777">
        <v>4</v>
      </c>
      <c r="I48" s="778">
        <v>2.88</v>
      </c>
      <c r="J48" s="779">
        <v>3.3</v>
      </c>
      <c r="K48" s="780">
        <v>0.66</v>
      </c>
      <c r="L48" s="777">
        <v>2</v>
      </c>
      <c r="M48" s="777">
        <v>15</v>
      </c>
      <c r="N48" s="781">
        <v>4.92</v>
      </c>
      <c r="O48" s="777" t="s">
        <v>4826</v>
      </c>
      <c r="P48" s="796" t="s">
        <v>4912</v>
      </c>
      <c r="Q48" s="782">
        <f t="shared" si="0"/>
        <v>-6</v>
      </c>
      <c r="R48" s="782">
        <f t="shared" si="0"/>
        <v>-6.05</v>
      </c>
      <c r="S48" s="793">
        <f t="shared" si="1"/>
        <v>19.68</v>
      </c>
      <c r="T48" s="793">
        <f t="shared" si="2"/>
        <v>13.2</v>
      </c>
      <c r="U48" s="793">
        <f t="shared" si="3"/>
        <v>-6.48</v>
      </c>
      <c r="V48" s="797">
        <f t="shared" si="4"/>
        <v>0.6707317073170731</v>
      </c>
      <c r="W48" s="783"/>
    </row>
    <row r="49" spans="1:23" ht="14.4" customHeight="1" x14ac:dyDescent="0.3">
      <c r="A49" s="844" t="s">
        <v>4913</v>
      </c>
      <c r="B49" s="840">
        <v>6</v>
      </c>
      <c r="C49" s="841">
        <v>6.39</v>
      </c>
      <c r="D49" s="791">
        <v>4.5</v>
      </c>
      <c r="E49" s="830">
        <v>4</v>
      </c>
      <c r="F49" s="831">
        <v>5.08</v>
      </c>
      <c r="G49" s="784">
        <v>6.5</v>
      </c>
      <c r="H49" s="835">
        <v>1</v>
      </c>
      <c r="I49" s="831">
        <v>2.72</v>
      </c>
      <c r="J49" s="785">
        <v>7</v>
      </c>
      <c r="K49" s="834">
        <v>1.05</v>
      </c>
      <c r="L49" s="835">
        <v>2</v>
      </c>
      <c r="M49" s="835">
        <v>21</v>
      </c>
      <c r="N49" s="836">
        <v>6.92</v>
      </c>
      <c r="O49" s="835" t="s">
        <v>4826</v>
      </c>
      <c r="P49" s="837" t="s">
        <v>4914</v>
      </c>
      <c r="Q49" s="838">
        <f t="shared" si="0"/>
        <v>-5</v>
      </c>
      <c r="R49" s="838">
        <f t="shared" si="0"/>
        <v>-3.6699999999999995</v>
      </c>
      <c r="S49" s="828">
        <f t="shared" si="1"/>
        <v>6.92</v>
      </c>
      <c r="T49" s="828">
        <f t="shared" si="2"/>
        <v>7</v>
      </c>
      <c r="U49" s="828">
        <f t="shared" si="3"/>
        <v>8.0000000000000071E-2</v>
      </c>
      <c r="V49" s="839">
        <f t="shared" si="4"/>
        <v>1.0115606936416186</v>
      </c>
      <c r="W49" s="786"/>
    </row>
    <row r="50" spans="1:23" ht="14.4" customHeight="1" x14ac:dyDescent="0.3">
      <c r="A50" s="844" t="s">
        <v>4915</v>
      </c>
      <c r="B50" s="840"/>
      <c r="C50" s="841"/>
      <c r="D50" s="791"/>
      <c r="E50" s="830"/>
      <c r="F50" s="831"/>
      <c r="G50" s="784"/>
      <c r="H50" s="835">
        <v>1</v>
      </c>
      <c r="I50" s="831">
        <v>2.2599999999999998</v>
      </c>
      <c r="J50" s="785">
        <v>48</v>
      </c>
      <c r="K50" s="834">
        <v>2.2000000000000002</v>
      </c>
      <c r="L50" s="835">
        <v>6</v>
      </c>
      <c r="M50" s="835">
        <v>50</v>
      </c>
      <c r="N50" s="836">
        <v>16.68</v>
      </c>
      <c r="O50" s="835" t="s">
        <v>4826</v>
      </c>
      <c r="P50" s="837" t="s">
        <v>4916</v>
      </c>
      <c r="Q50" s="838">
        <f t="shared" si="0"/>
        <v>1</v>
      </c>
      <c r="R50" s="838">
        <f t="shared" si="0"/>
        <v>2.2599999999999998</v>
      </c>
      <c r="S50" s="828">
        <f t="shared" si="1"/>
        <v>16.68</v>
      </c>
      <c r="T50" s="828">
        <f t="shared" si="2"/>
        <v>48</v>
      </c>
      <c r="U50" s="828">
        <f t="shared" si="3"/>
        <v>31.32</v>
      </c>
      <c r="V50" s="839">
        <f t="shared" si="4"/>
        <v>2.8776978417266186</v>
      </c>
      <c r="W50" s="786">
        <v>31</v>
      </c>
    </row>
    <row r="51" spans="1:23" ht="14.4" customHeight="1" x14ac:dyDescent="0.3">
      <c r="A51" s="843" t="s">
        <v>4917</v>
      </c>
      <c r="B51" s="793">
        <v>6</v>
      </c>
      <c r="C51" s="794">
        <v>4.3600000000000003</v>
      </c>
      <c r="D51" s="795">
        <v>4.7</v>
      </c>
      <c r="E51" s="798">
        <v>7</v>
      </c>
      <c r="F51" s="778">
        <v>4.92</v>
      </c>
      <c r="G51" s="779">
        <v>4</v>
      </c>
      <c r="H51" s="774">
        <v>9</v>
      </c>
      <c r="I51" s="775">
        <v>6.9</v>
      </c>
      <c r="J51" s="776">
        <v>4</v>
      </c>
      <c r="K51" s="780">
        <v>0.56999999999999995</v>
      </c>
      <c r="L51" s="777">
        <v>2</v>
      </c>
      <c r="M51" s="777">
        <v>14</v>
      </c>
      <c r="N51" s="781">
        <v>4.72</v>
      </c>
      <c r="O51" s="777" t="s">
        <v>4826</v>
      </c>
      <c r="P51" s="796" t="s">
        <v>4918</v>
      </c>
      <c r="Q51" s="782">
        <f t="shared" si="0"/>
        <v>3</v>
      </c>
      <c r="R51" s="782">
        <f t="shared" si="0"/>
        <v>2.54</v>
      </c>
      <c r="S51" s="793">
        <f t="shared" si="1"/>
        <v>42.48</v>
      </c>
      <c r="T51" s="793">
        <f t="shared" si="2"/>
        <v>36</v>
      </c>
      <c r="U51" s="793">
        <f t="shared" si="3"/>
        <v>-6.4799999999999969</v>
      </c>
      <c r="V51" s="797">
        <f t="shared" si="4"/>
        <v>0.84745762711864414</v>
      </c>
      <c r="W51" s="783">
        <v>3</v>
      </c>
    </row>
    <row r="52" spans="1:23" ht="14.4" customHeight="1" x14ac:dyDescent="0.3">
      <c r="A52" s="844" t="s">
        <v>4919</v>
      </c>
      <c r="B52" s="828">
        <v>2</v>
      </c>
      <c r="C52" s="829">
        <v>2.1800000000000002</v>
      </c>
      <c r="D52" s="799">
        <v>8.5</v>
      </c>
      <c r="E52" s="830">
        <v>2</v>
      </c>
      <c r="F52" s="831">
        <v>1.46</v>
      </c>
      <c r="G52" s="784">
        <v>7</v>
      </c>
      <c r="H52" s="832">
        <v>2</v>
      </c>
      <c r="I52" s="833">
        <v>1.92</v>
      </c>
      <c r="J52" s="785">
        <v>5.5</v>
      </c>
      <c r="K52" s="834">
        <v>0.62</v>
      </c>
      <c r="L52" s="835">
        <v>2</v>
      </c>
      <c r="M52" s="835">
        <v>16</v>
      </c>
      <c r="N52" s="836">
        <v>5.44</v>
      </c>
      <c r="O52" s="835" t="s">
        <v>4826</v>
      </c>
      <c r="P52" s="837" t="s">
        <v>4920</v>
      </c>
      <c r="Q52" s="838">
        <f t="shared" si="0"/>
        <v>0</v>
      </c>
      <c r="R52" s="838">
        <f t="shared" si="0"/>
        <v>-0.26000000000000023</v>
      </c>
      <c r="S52" s="828">
        <f t="shared" si="1"/>
        <v>10.88</v>
      </c>
      <c r="T52" s="828">
        <f t="shared" si="2"/>
        <v>11</v>
      </c>
      <c r="U52" s="828">
        <f t="shared" si="3"/>
        <v>0.11999999999999922</v>
      </c>
      <c r="V52" s="839">
        <f t="shared" si="4"/>
        <v>1.0110294117647058</v>
      </c>
      <c r="W52" s="786">
        <v>1</v>
      </c>
    </row>
    <row r="53" spans="1:23" ht="14.4" customHeight="1" x14ac:dyDescent="0.3">
      <c r="A53" s="843" t="s">
        <v>4921</v>
      </c>
      <c r="B53" s="793">
        <v>84</v>
      </c>
      <c r="C53" s="794">
        <v>72.180000000000007</v>
      </c>
      <c r="D53" s="795">
        <v>3.2</v>
      </c>
      <c r="E53" s="774">
        <v>109</v>
      </c>
      <c r="F53" s="775">
        <v>93.33</v>
      </c>
      <c r="G53" s="776">
        <v>3.1</v>
      </c>
      <c r="H53" s="777">
        <v>79</v>
      </c>
      <c r="I53" s="778">
        <v>65.45</v>
      </c>
      <c r="J53" s="779">
        <v>3</v>
      </c>
      <c r="K53" s="780">
        <v>0.81</v>
      </c>
      <c r="L53" s="777">
        <v>2</v>
      </c>
      <c r="M53" s="777">
        <v>14</v>
      </c>
      <c r="N53" s="781">
        <v>4.75</v>
      </c>
      <c r="O53" s="777" t="s">
        <v>4826</v>
      </c>
      <c r="P53" s="796" t="s">
        <v>4922</v>
      </c>
      <c r="Q53" s="782">
        <f t="shared" si="0"/>
        <v>-5</v>
      </c>
      <c r="R53" s="782">
        <f t="shared" si="0"/>
        <v>-6.730000000000004</v>
      </c>
      <c r="S53" s="793">
        <f t="shared" si="1"/>
        <v>375.25</v>
      </c>
      <c r="T53" s="793">
        <f t="shared" si="2"/>
        <v>237</v>
      </c>
      <c r="U53" s="793">
        <f t="shared" si="3"/>
        <v>-138.25</v>
      </c>
      <c r="V53" s="797">
        <f t="shared" si="4"/>
        <v>0.63157894736842102</v>
      </c>
      <c r="W53" s="783">
        <v>9</v>
      </c>
    </row>
    <row r="54" spans="1:23" ht="14.4" customHeight="1" x14ac:dyDescent="0.3">
      <c r="A54" s="844" t="s">
        <v>4923</v>
      </c>
      <c r="B54" s="828">
        <v>17</v>
      </c>
      <c r="C54" s="829">
        <v>23.38</v>
      </c>
      <c r="D54" s="799">
        <v>4.7</v>
      </c>
      <c r="E54" s="832">
        <v>15</v>
      </c>
      <c r="F54" s="833">
        <v>18.59</v>
      </c>
      <c r="G54" s="787">
        <v>4.7</v>
      </c>
      <c r="H54" s="835">
        <v>12</v>
      </c>
      <c r="I54" s="831">
        <v>15.15</v>
      </c>
      <c r="J54" s="785">
        <v>8.8000000000000007</v>
      </c>
      <c r="K54" s="834">
        <v>1.1200000000000001</v>
      </c>
      <c r="L54" s="835">
        <v>2</v>
      </c>
      <c r="M54" s="835">
        <v>20</v>
      </c>
      <c r="N54" s="836">
        <v>6.73</v>
      </c>
      <c r="O54" s="835" t="s">
        <v>4826</v>
      </c>
      <c r="P54" s="837" t="s">
        <v>4924</v>
      </c>
      <c r="Q54" s="838">
        <f t="shared" si="0"/>
        <v>-5</v>
      </c>
      <c r="R54" s="838">
        <f t="shared" si="0"/>
        <v>-8.2299999999999986</v>
      </c>
      <c r="S54" s="828">
        <f t="shared" si="1"/>
        <v>80.760000000000005</v>
      </c>
      <c r="T54" s="828">
        <f t="shared" si="2"/>
        <v>105.60000000000001</v>
      </c>
      <c r="U54" s="828">
        <f t="shared" si="3"/>
        <v>24.840000000000003</v>
      </c>
      <c r="V54" s="839">
        <f t="shared" si="4"/>
        <v>1.3075780089153046</v>
      </c>
      <c r="W54" s="786">
        <v>47</v>
      </c>
    </row>
    <row r="55" spans="1:23" ht="14.4" customHeight="1" x14ac:dyDescent="0.3">
      <c r="A55" s="844" t="s">
        <v>4925</v>
      </c>
      <c r="B55" s="828"/>
      <c r="C55" s="829"/>
      <c r="D55" s="799"/>
      <c r="E55" s="832">
        <v>1</v>
      </c>
      <c r="F55" s="833">
        <v>1.4</v>
      </c>
      <c r="G55" s="787">
        <v>3</v>
      </c>
      <c r="H55" s="835">
        <v>2</v>
      </c>
      <c r="I55" s="831">
        <v>2.83</v>
      </c>
      <c r="J55" s="784">
        <v>7</v>
      </c>
      <c r="K55" s="834">
        <v>1.58</v>
      </c>
      <c r="L55" s="835">
        <v>4</v>
      </c>
      <c r="M55" s="835">
        <v>32</v>
      </c>
      <c r="N55" s="836">
        <v>10.64</v>
      </c>
      <c r="O55" s="835" t="s">
        <v>4826</v>
      </c>
      <c r="P55" s="837" t="s">
        <v>4926</v>
      </c>
      <c r="Q55" s="838">
        <f t="shared" si="0"/>
        <v>2</v>
      </c>
      <c r="R55" s="838">
        <f t="shared" si="0"/>
        <v>2.83</v>
      </c>
      <c r="S55" s="828">
        <f t="shared" si="1"/>
        <v>21.28</v>
      </c>
      <c r="T55" s="828">
        <f t="shared" si="2"/>
        <v>14</v>
      </c>
      <c r="U55" s="828">
        <f t="shared" si="3"/>
        <v>-7.2800000000000011</v>
      </c>
      <c r="V55" s="839">
        <f t="shared" si="4"/>
        <v>0.6578947368421052</v>
      </c>
      <c r="W55" s="786"/>
    </row>
    <row r="56" spans="1:23" ht="14.4" customHeight="1" x14ac:dyDescent="0.3">
      <c r="A56" s="843" t="s">
        <v>4927</v>
      </c>
      <c r="B56" s="788">
        <v>18</v>
      </c>
      <c r="C56" s="789">
        <v>9.35</v>
      </c>
      <c r="D56" s="790">
        <v>2.2999999999999998</v>
      </c>
      <c r="E56" s="798">
        <v>11</v>
      </c>
      <c r="F56" s="778">
        <v>5.47</v>
      </c>
      <c r="G56" s="779">
        <v>2.6</v>
      </c>
      <c r="H56" s="777">
        <v>12</v>
      </c>
      <c r="I56" s="778">
        <v>6.15</v>
      </c>
      <c r="J56" s="779">
        <v>3.3</v>
      </c>
      <c r="K56" s="780">
        <v>0.51</v>
      </c>
      <c r="L56" s="777">
        <v>1</v>
      </c>
      <c r="M56" s="777">
        <v>13</v>
      </c>
      <c r="N56" s="781">
        <v>4.3099999999999996</v>
      </c>
      <c r="O56" s="777" t="s">
        <v>4826</v>
      </c>
      <c r="P56" s="796" t="s">
        <v>4928</v>
      </c>
      <c r="Q56" s="782">
        <f t="shared" si="0"/>
        <v>-6</v>
      </c>
      <c r="R56" s="782">
        <f t="shared" si="0"/>
        <v>-3.1999999999999993</v>
      </c>
      <c r="S56" s="793">
        <f t="shared" si="1"/>
        <v>51.72</v>
      </c>
      <c r="T56" s="793">
        <f t="shared" si="2"/>
        <v>39.599999999999994</v>
      </c>
      <c r="U56" s="793">
        <f t="shared" si="3"/>
        <v>-12.120000000000005</v>
      </c>
      <c r="V56" s="797">
        <f t="shared" si="4"/>
        <v>0.7656612529002319</v>
      </c>
      <c r="W56" s="783">
        <v>3</v>
      </c>
    </row>
    <row r="57" spans="1:23" ht="14.4" customHeight="1" x14ac:dyDescent="0.3">
      <c r="A57" s="844" t="s">
        <v>4929</v>
      </c>
      <c r="B57" s="840">
        <v>1</v>
      </c>
      <c r="C57" s="841">
        <v>0.74</v>
      </c>
      <c r="D57" s="791">
        <v>3</v>
      </c>
      <c r="E57" s="830"/>
      <c r="F57" s="831"/>
      <c r="G57" s="784"/>
      <c r="H57" s="835"/>
      <c r="I57" s="831"/>
      <c r="J57" s="784"/>
      <c r="K57" s="834">
        <v>0.74</v>
      </c>
      <c r="L57" s="835">
        <v>2</v>
      </c>
      <c r="M57" s="835">
        <v>22</v>
      </c>
      <c r="N57" s="836">
        <v>7.31</v>
      </c>
      <c r="O57" s="835" t="s">
        <v>4826</v>
      </c>
      <c r="P57" s="837" t="s">
        <v>4930</v>
      </c>
      <c r="Q57" s="838">
        <f t="shared" si="0"/>
        <v>-1</v>
      </c>
      <c r="R57" s="838">
        <f t="shared" si="0"/>
        <v>-0.74</v>
      </c>
      <c r="S57" s="828" t="str">
        <f t="shared" si="1"/>
        <v/>
      </c>
      <c r="T57" s="828" t="str">
        <f t="shared" si="2"/>
        <v/>
      </c>
      <c r="U57" s="828" t="str">
        <f t="shared" si="3"/>
        <v/>
      </c>
      <c r="V57" s="839" t="str">
        <f t="shared" si="4"/>
        <v/>
      </c>
      <c r="W57" s="786"/>
    </row>
    <row r="58" spans="1:23" ht="14.4" customHeight="1" x14ac:dyDescent="0.3">
      <c r="A58" s="843" t="s">
        <v>4931</v>
      </c>
      <c r="B58" s="788">
        <v>11</v>
      </c>
      <c r="C58" s="789">
        <v>8.9</v>
      </c>
      <c r="D58" s="790">
        <v>6.5</v>
      </c>
      <c r="E58" s="798">
        <v>3</v>
      </c>
      <c r="F58" s="778">
        <v>1.81</v>
      </c>
      <c r="G58" s="779">
        <v>3.3</v>
      </c>
      <c r="H58" s="777">
        <v>3</v>
      </c>
      <c r="I58" s="778">
        <v>2.2799999999999998</v>
      </c>
      <c r="J58" s="779">
        <v>3.7</v>
      </c>
      <c r="K58" s="780">
        <v>0.55000000000000004</v>
      </c>
      <c r="L58" s="777">
        <v>1</v>
      </c>
      <c r="M58" s="777">
        <v>13</v>
      </c>
      <c r="N58" s="781">
        <v>4.2699999999999996</v>
      </c>
      <c r="O58" s="777" t="s">
        <v>4826</v>
      </c>
      <c r="P58" s="796" t="s">
        <v>4932</v>
      </c>
      <c r="Q58" s="782">
        <f t="shared" si="0"/>
        <v>-8</v>
      </c>
      <c r="R58" s="782">
        <f t="shared" si="0"/>
        <v>-6.620000000000001</v>
      </c>
      <c r="S58" s="793">
        <f t="shared" si="1"/>
        <v>12.809999999999999</v>
      </c>
      <c r="T58" s="793">
        <f t="shared" si="2"/>
        <v>11.100000000000001</v>
      </c>
      <c r="U58" s="793">
        <f t="shared" si="3"/>
        <v>-1.7099999999999973</v>
      </c>
      <c r="V58" s="797">
        <f t="shared" si="4"/>
        <v>0.86651053864168637</v>
      </c>
      <c r="W58" s="783">
        <v>1</v>
      </c>
    </row>
    <row r="59" spans="1:23" ht="14.4" customHeight="1" x14ac:dyDescent="0.3">
      <c r="A59" s="844" t="s">
        <v>4933</v>
      </c>
      <c r="B59" s="840">
        <v>2</v>
      </c>
      <c r="C59" s="841">
        <v>2.0499999999999998</v>
      </c>
      <c r="D59" s="791">
        <v>11.5</v>
      </c>
      <c r="E59" s="830">
        <v>3</v>
      </c>
      <c r="F59" s="831">
        <v>4.32</v>
      </c>
      <c r="G59" s="784">
        <v>8.3000000000000007</v>
      </c>
      <c r="H59" s="835"/>
      <c r="I59" s="831"/>
      <c r="J59" s="784"/>
      <c r="K59" s="834">
        <v>0.96</v>
      </c>
      <c r="L59" s="835">
        <v>3</v>
      </c>
      <c r="M59" s="835">
        <v>24</v>
      </c>
      <c r="N59" s="836">
        <v>7.95</v>
      </c>
      <c r="O59" s="835" t="s">
        <v>4826</v>
      </c>
      <c r="P59" s="837" t="s">
        <v>4934</v>
      </c>
      <c r="Q59" s="838">
        <f t="shared" si="0"/>
        <v>-2</v>
      </c>
      <c r="R59" s="838">
        <f t="shared" si="0"/>
        <v>-2.0499999999999998</v>
      </c>
      <c r="S59" s="828" t="str">
        <f t="shared" si="1"/>
        <v/>
      </c>
      <c r="T59" s="828" t="str">
        <f t="shared" si="2"/>
        <v/>
      </c>
      <c r="U59" s="828" t="str">
        <f t="shared" si="3"/>
        <v/>
      </c>
      <c r="V59" s="839" t="str">
        <f t="shared" si="4"/>
        <v/>
      </c>
      <c r="W59" s="786"/>
    </row>
    <row r="60" spans="1:23" ht="14.4" customHeight="1" x14ac:dyDescent="0.3">
      <c r="A60" s="844" t="s">
        <v>4935</v>
      </c>
      <c r="B60" s="840">
        <v>1</v>
      </c>
      <c r="C60" s="841">
        <v>2.25</v>
      </c>
      <c r="D60" s="791">
        <v>28</v>
      </c>
      <c r="E60" s="830">
        <v>1</v>
      </c>
      <c r="F60" s="831">
        <v>1.7</v>
      </c>
      <c r="G60" s="784">
        <v>10</v>
      </c>
      <c r="H60" s="835"/>
      <c r="I60" s="831"/>
      <c r="J60" s="784"/>
      <c r="K60" s="834">
        <v>2.04</v>
      </c>
      <c r="L60" s="835">
        <v>5</v>
      </c>
      <c r="M60" s="835">
        <v>45</v>
      </c>
      <c r="N60" s="836">
        <v>15.13</v>
      </c>
      <c r="O60" s="835" t="s">
        <v>4826</v>
      </c>
      <c r="P60" s="837" t="s">
        <v>4936</v>
      </c>
      <c r="Q60" s="838">
        <f t="shared" si="0"/>
        <v>-1</v>
      </c>
      <c r="R60" s="838">
        <f t="shared" si="0"/>
        <v>-2.25</v>
      </c>
      <c r="S60" s="828" t="str">
        <f t="shared" si="1"/>
        <v/>
      </c>
      <c r="T60" s="828" t="str">
        <f t="shared" si="2"/>
        <v/>
      </c>
      <c r="U60" s="828" t="str">
        <f t="shared" si="3"/>
        <v/>
      </c>
      <c r="V60" s="839" t="str">
        <f t="shared" si="4"/>
        <v/>
      </c>
      <c r="W60" s="786"/>
    </row>
    <row r="61" spans="1:23" ht="14.4" customHeight="1" x14ac:dyDescent="0.3">
      <c r="A61" s="843" t="s">
        <v>4937</v>
      </c>
      <c r="B61" s="788">
        <v>48</v>
      </c>
      <c r="C61" s="789">
        <v>25.24</v>
      </c>
      <c r="D61" s="790">
        <v>3.3</v>
      </c>
      <c r="E61" s="798">
        <v>43</v>
      </c>
      <c r="F61" s="778">
        <v>22.49</v>
      </c>
      <c r="G61" s="779">
        <v>2.9</v>
      </c>
      <c r="H61" s="777">
        <v>44</v>
      </c>
      <c r="I61" s="778">
        <v>22.08</v>
      </c>
      <c r="J61" s="779">
        <v>3</v>
      </c>
      <c r="K61" s="780">
        <v>0.49</v>
      </c>
      <c r="L61" s="777">
        <v>1</v>
      </c>
      <c r="M61" s="777">
        <v>11</v>
      </c>
      <c r="N61" s="781">
        <v>3.63</v>
      </c>
      <c r="O61" s="777" t="s">
        <v>4826</v>
      </c>
      <c r="P61" s="796" t="s">
        <v>4938</v>
      </c>
      <c r="Q61" s="782">
        <f t="shared" si="0"/>
        <v>-4</v>
      </c>
      <c r="R61" s="782">
        <f t="shared" si="0"/>
        <v>-3.16</v>
      </c>
      <c r="S61" s="793">
        <f t="shared" si="1"/>
        <v>159.72</v>
      </c>
      <c r="T61" s="793">
        <f t="shared" si="2"/>
        <v>132</v>
      </c>
      <c r="U61" s="793">
        <f t="shared" si="3"/>
        <v>-27.72</v>
      </c>
      <c r="V61" s="797">
        <f t="shared" si="4"/>
        <v>0.82644628099173556</v>
      </c>
      <c r="W61" s="783">
        <v>5</v>
      </c>
    </row>
    <row r="62" spans="1:23" ht="14.4" customHeight="1" x14ac:dyDescent="0.3">
      <c r="A62" s="844" t="s">
        <v>4939</v>
      </c>
      <c r="B62" s="840">
        <v>3</v>
      </c>
      <c r="C62" s="841">
        <v>1.65</v>
      </c>
      <c r="D62" s="791">
        <v>6.3</v>
      </c>
      <c r="E62" s="830">
        <v>1</v>
      </c>
      <c r="F62" s="831">
        <v>0.54</v>
      </c>
      <c r="G62" s="784">
        <v>3</v>
      </c>
      <c r="H62" s="835">
        <v>1</v>
      </c>
      <c r="I62" s="831">
        <v>0.53</v>
      </c>
      <c r="J62" s="785">
        <v>5</v>
      </c>
      <c r="K62" s="834">
        <v>0.53</v>
      </c>
      <c r="L62" s="835">
        <v>1</v>
      </c>
      <c r="M62" s="835">
        <v>13</v>
      </c>
      <c r="N62" s="836">
        <v>4.17</v>
      </c>
      <c r="O62" s="835" t="s">
        <v>4826</v>
      </c>
      <c r="P62" s="837" t="s">
        <v>4940</v>
      </c>
      <c r="Q62" s="838">
        <f t="shared" si="0"/>
        <v>-2</v>
      </c>
      <c r="R62" s="838">
        <f t="shared" si="0"/>
        <v>-1.1199999999999999</v>
      </c>
      <c r="S62" s="828">
        <f t="shared" si="1"/>
        <v>4.17</v>
      </c>
      <c r="T62" s="828">
        <f t="shared" si="2"/>
        <v>5</v>
      </c>
      <c r="U62" s="828">
        <f t="shared" si="3"/>
        <v>0.83000000000000007</v>
      </c>
      <c r="V62" s="839">
        <f t="shared" si="4"/>
        <v>1.1990407673860912</v>
      </c>
      <c r="W62" s="786">
        <v>1</v>
      </c>
    </row>
    <row r="63" spans="1:23" ht="14.4" customHeight="1" x14ac:dyDescent="0.3">
      <c r="A63" s="843" t="s">
        <v>4941</v>
      </c>
      <c r="B63" s="793">
        <v>1</v>
      </c>
      <c r="C63" s="794">
        <v>0.54</v>
      </c>
      <c r="D63" s="795">
        <v>5</v>
      </c>
      <c r="E63" s="774">
        <v>1</v>
      </c>
      <c r="F63" s="775">
        <v>0.59</v>
      </c>
      <c r="G63" s="776">
        <v>4</v>
      </c>
      <c r="H63" s="777"/>
      <c r="I63" s="778"/>
      <c r="J63" s="779"/>
      <c r="K63" s="780">
        <v>0.54</v>
      </c>
      <c r="L63" s="777">
        <v>3</v>
      </c>
      <c r="M63" s="777">
        <v>24</v>
      </c>
      <c r="N63" s="781">
        <v>7.88</v>
      </c>
      <c r="O63" s="777" t="s">
        <v>4826</v>
      </c>
      <c r="P63" s="796" t="s">
        <v>4942</v>
      </c>
      <c r="Q63" s="782">
        <f t="shared" si="0"/>
        <v>-1</v>
      </c>
      <c r="R63" s="782">
        <f t="shared" si="0"/>
        <v>-0.54</v>
      </c>
      <c r="S63" s="793" t="str">
        <f t="shared" si="1"/>
        <v/>
      </c>
      <c r="T63" s="793" t="str">
        <f t="shared" si="2"/>
        <v/>
      </c>
      <c r="U63" s="793" t="str">
        <f t="shared" si="3"/>
        <v/>
      </c>
      <c r="V63" s="797" t="str">
        <f t="shared" si="4"/>
        <v/>
      </c>
      <c r="W63" s="783"/>
    </row>
    <row r="64" spans="1:23" ht="14.4" customHeight="1" x14ac:dyDescent="0.3">
      <c r="A64" s="843" t="s">
        <v>4943</v>
      </c>
      <c r="B64" s="788">
        <v>5</v>
      </c>
      <c r="C64" s="789">
        <v>2.37</v>
      </c>
      <c r="D64" s="790">
        <v>4.8</v>
      </c>
      <c r="E64" s="798"/>
      <c r="F64" s="778"/>
      <c r="G64" s="779"/>
      <c r="H64" s="777">
        <v>2</v>
      </c>
      <c r="I64" s="778">
        <v>1.02</v>
      </c>
      <c r="J64" s="779">
        <v>5</v>
      </c>
      <c r="K64" s="780">
        <v>0.51</v>
      </c>
      <c r="L64" s="777">
        <v>3</v>
      </c>
      <c r="M64" s="777">
        <v>25</v>
      </c>
      <c r="N64" s="781">
        <v>8.43</v>
      </c>
      <c r="O64" s="777" t="s">
        <v>4826</v>
      </c>
      <c r="P64" s="796" t="s">
        <v>4944</v>
      </c>
      <c r="Q64" s="782">
        <f t="shared" si="0"/>
        <v>-3</v>
      </c>
      <c r="R64" s="782">
        <f t="shared" si="0"/>
        <v>-1.35</v>
      </c>
      <c r="S64" s="793">
        <f t="shared" si="1"/>
        <v>16.86</v>
      </c>
      <c r="T64" s="793">
        <f t="shared" si="2"/>
        <v>10</v>
      </c>
      <c r="U64" s="793">
        <f t="shared" si="3"/>
        <v>-6.8599999999999994</v>
      </c>
      <c r="V64" s="797">
        <f t="shared" si="4"/>
        <v>0.59311981020166071</v>
      </c>
      <c r="W64" s="783"/>
    </row>
    <row r="65" spans="1:23" ht="14.4" customHeight="1" x14ac:dyDescent="0.3">
      <c r="A65" s="844" t="s">
        <v>4945</v>
      </c>
      <c r="B65" s="840"/>
      <c r="C65" s="841"/>
      <c r="D65" s="791"/>
      <c r="E65" s="830">
        <v>1</v>
      </c>
      <c r="F65" s="831">
        <v>0.71</v>
      </c>
      <c r="G65" s="784">
        <v>4</v>
      </c>
      <c r="H65" s="835"/>
      <c r="I65" s="831"/>
      <c r="J65" s="784"/>
      <c r="K65" s="834">
        <v>0.6</v>
      </c>
      <c r="L65" s="835">
        <v>3</v>
      </c>
      <c r="M65" s="835">
        <v>29</v>
      </c>
      <c r="N65" s="836">
        <v>9.64</v>
      </c>
      <c r="O65" s="835" t="s">
        <v>4826</v>
      </c>
      <c r="P65" s="837" t="s">
        <v>4946</v>
      </c>
      <c r="Q65" s="838">
        <f t="shared" si="0"/>
        <v>0</v>
      </c>
      <c r="R65" s="838">
        <f t="shared" si="0"/>
        <v>0</v>
      </c>
      <c r="S65" s="828" t="str">
        <f t="shared" si="1"/>
        <v/>
      </c>
      <c r="T65" s="828" t="str">
        <f t="shared" si="2"/>
        <v/>
      </c>
      <c r="U65" s="828" t="str">
        <f t="shared" si="3"/>
        <v/>
      </c>
      <c r="V65" s="839" t="str">
        <f t="shared" si="4"/>
        <v/>
      </c>
      <c r="W65" s="786"/>
    </row>
    <row r="66" spans="1:23" ht="14.4" customHeight="1" x14ac:dyDescent="0.3">
      <c r="A66" s="843" t="s">
        <v>4947</v>
      </c>
      <c r="B66" s="793">
        <v>11</v>
      </c>
      <c r="C66" s="794">
        <v>3.68</v>
      </c>
      <c r="D66" s="795">
        <v>3.1</v>
      </c>
      <c r="E66" s="774">
        <v>11</v>
      </c>
      <c r="F66" s="775">
        <v>3.96</v>
      </c>
      <c r="G66" s="776">
        <v>3.1</v>
      </c>
      <c r="H66" s="777">
        <v>5</v>
      </c>
      <c r="I66" s="778">
        <v>1.7</v>
      </c>
      <c r="J66" s="779">
        <v>3</v>
      </c>
      <c r="K66" s="780">
        <v>0.32</v>
      </c>
      <c r="L66" s="777">
        <v>1</v>
      </c>
      <c r="M66" s="777">
        <v>11</v>
      </c>
      <c r="N66" s="781">
        <v>3.7</v>
      </c>
      <c r="O66" s="777" t="s">
        <v>4826</v>
      </c>
      <c r="P66" s="796" t="s">
        <v>4948</v>
      </c>
      <c r="Q66" s="782">
        <f t="shared" si="0"/>
        <v>-6</v>
      </c>
      <c r="R66" s="782">
        <f t="shared" si="0"/>
        <v>-1.9800000000000002</v>
      </c>
      <c r="S66" s="793">
        <f t="shared" si="1"/>
        <v>18.5</v>
      </c>
      <c r="T66" s="793">
        <f t="shared" si="2"/>
        <v>15</v>
      </c>
      <c r="U66" s="793">
        <f t="shared" si="3"/>
        <v>-3.5</v>
      </c>
      <c r="V66" s="797">
        <f t="shared" si="4"/>
        <v>0.81081081081081086</v>
      </c>
      <c r="W66" s="783"/>
    </row>
    <row r="67" spans="1:23" ht="14.4" customHeight="1" x14ac:dyDescent="0.3">
      <c r="A67" s="844" t="s">
        <v>4949</v>
      </c>
      <c r="B67" s="828"/>
      <c r="C67" s="829"/>
      <c r="D67" s="799"/>
      <c r="E67" s="832">
        <v>1</v>
      </c>
      <c r="F67" s="833">
        <v>0.48</v>
      </c>
      <c r="G67" s="787">
        <v>2</v>
      </c>
      <c r="H67" s="835">
        <v>1</v>
      </c>
      <c r="I67" s="831">
        <v>0.22</v>
      </c>
      <c r="J67" s="784">
        <v>1</v>
      </c>
      <c r="K67" s="834">
        <v>0.44</v>
      </c>
      <c r="L67" s="835">
        <v>2</v>
      </c>
      <c r="M67" s="835">
        <v>18</v>
      </c>
      <c r="N67" s="836">
        <v>5.84</v>
      </c>
      <c r="O67" s="835" t="s">
        <v>4826</v>
      </c>
      <c r="P67" s="837" t="s">
        <v>4950</v>
      </c>
      <c r="Q67" s="838">
        <f t="shared" si="0"/>
        <v>1</v>
      </c>
      <c r="R67" s="838">
        <f t="shared" si="0"/>
        <v>0.22</v>
      </c>
      <c r="S67" s="828">
        <f t="shared" si="1"/>
        <v>5.84</v>
      </c>
      <c r="T67" s="828">
        <f t="shared" si="2"/>
        <v>1</v>
      </c>
      <c r="U67" s="828">
        <f t="shared" si="3"/>
        <v>-4.84</v>
      </c>
      <c r="V67" s="839">
        <f t="shared" si="4"/>
        <v>0.17123287671232876</v>
      </c>
      <c r="W67" s="786"/>
    </row>
    <row r="68" spans="1:23" ht="14.4" customHeight="1" x14ac:dyDescent="0.3">
      <c r="A68" s="843" t="s">
        <v>4951</v>
      </c>
      <c r="B68" s="793"/>
      <c r="C68" s="794"/>
      <c r="D68" s="795"/>
      <c r="E68" s="798">
        <v>1</v>
      </c>
      <c r="F68" s="778">
        <v>1.3</v>
      </c>
      <c r="G68" s="779">
        <v>4</v>
      </c>
      <c r="H68" s="774">
        <v>2</v>
      </c>
      <c r="I68" s="775">
        <v>1.58</v>
      </c>
      <c r="J68" s="792">
        <v>11.5</v>
      </c>
      <c r="K68" s="780">
        <v>0.83</v>
      </c>
      <c r="L68" s="777">
        <v>4</v>
      </c>
      <c r="M68" s="777">
        <v>34</v>
      </c>
      <c r="N68" s="781">
        <v>11.46</v>
      </c>
      <c r="O68" s="777" t="s">
        <v>4826</v>
      </c>
      <c r="P68" s="796" t="s">
        <v>4952</v>
      </c>
      <c r="Q68" s="782">
        <f t="shared" si="0"/>
        <v>2</v>
      </c>
      <c r="R68" s="782">
        <f t="shared" si="0"/>
        <v>1.58</v>
      </c>
      <c r="S68" s="793">
        <f t="shared" si="1"/>
        <v>22.92</v>
      </c>
      <c r="T68" s="793">
        <f t="shared" si="2"/>
        <v>23</v>
      </c>
      <c r="U68" s="793">
        <f t="shared" si="3"/>
        <v>7.9999999999998295E-2</v>
      </c>
      <c r="V68" s="797">
        <f t="shared" si="4"/>
        <v>1.0034904013961605</v>
      </c>
      <c r="W68" s="783">
        <v>10</v>
      </c>
    </row>
    <row r="69" spans="1:23" ht="14.4" customHeight="1" x14ac:dyDescent="0.3">
      <c r="A69" s="844" t="s">
        <v>4953</v>
      </c>
      <c r="B69" s="828">
        <v>1</v>
      </c>
      <c r="C69" s="829">
        <v>1.63</v>
      </c>
      <c r="D69" s="799">
        <v>14</v>
      </c>
      <c r="E69" s="830"/>
      <c r="F69" s="831"/>
      <c r="G69" s="784"/>
      <c r="H69" s="832"/>
      <c r="I69" s="833"/>
      <c r="J69" s="787"/>
      <c r="K69" s="834">
        <v>1.63</v>
      </c>
      <c r="L69" s="835">
        <v>6</v>
      </c>
      <c r="M69" s="835">
        <v>56</v>
      </c>
      <c r="N69" s="836">
        <v>18.670000000000002</v>
      </c>
      <c r="O69" s="835" t="s">
        <v>4826</v>
      </c>
      <c r="P69" s="837" t="s">
        <v>4954</v>
      </c>
      <c r="Q69" s="838">
        <f t="shared" si="0"/>
        <v>-1</v>
      </c>
      <c r="R69" s="838">
        <f t="shared" si="0"/>
        <v>-1.63</v>
      </c>
      <c r="S69" s="828" t="str">
        <f t="shared" si="1"/>
        <v/>
      </c>
      <c r="T69" s="828" t="str">
        <f t="shared" si="2"/>
        <v/>
      </c>
      <c r="U69" s="828" t="str">
        <f t="shared" si="3"/>
        <v/>
      </c>
      <c r="V69" s="839" t="str">
        <f t="shared" si="4"/>
        <v/>
      </c>
      <c r="W69" s="786"/>
    </row>
    <row r="70" spans="1:23" ht="14.4" customHeight="1" x14ac:dyDescent="0.3">
      <c r="A70" s="843" t="s">
        <v>4955</v>
      </c>
      <c r="B70" s="788">
        <v>2</v>
      </c>
      <c r="C70" s="789">
        <v>0.85</v>
      </c>
      <c r="D70" s="790">
        <v>3.5</v>
      </c>
      <c r="E70" s="798"/>
      <c r="F70" s="778"/>
      <c r="G70" s="779"/>
      <c r="H70" s="777">
        <v>1</v>
      </c>
      <c r="I70" s="778">
        <v>0.44</v>
      </c>
      <c r="J70" s="779">
        <v>4</v>
      </c>
      <c r="K70" s="780">
        <v>0.42</v>
      </c>
      <c r="L70" s="777">
        <v>2</v>
      </c>
      <c r="M70" s="777">
        <v>21</v>
      </c>
      <c r="N70" s="781">
        <v>7.08</v>
      </c>
      <c r="O70" s="777" t="s">
        <v>4826</v>
      </c>
      <c r="P70" s="796" t="s">
        <v>4956</v>
      </c>
      <c r="Q70" s="782">
        <f t="shared" ref="Q70:R116" si="5">H70-B70</f>
        <v>-1</v>
      </c>
      <c r="R70" s="782">
        <f t="shared" si="5"/>
        <v>-0.41</v>
      </c>
      <c r="S70" s="793">
        <f t="shared" ref="S70:S116" si="6">IF(H70=0,"",H70*N70)</f>
        <v>7.08</v>
      </c>
      <c r="T70" s="793">
        <f t="shared" ref="T70:T116" si="7">IF(H70=0,"",H70*J70)</f>
        <v>4</v>
      </c>
      <c r="U70" s="793">
        <f t="shared" ref="U70:U116" si="8">IF(H70=0,"",T70-S70)</f>
        <v>-3.08</v>
      </c>
      <c r="V70" s="797">
        <f t="shared" ref="V70:V116" si="9">IF(H70=0,"",T70/S70)</f>
        <v>0.56497175141242939</v>
      </c>
      <c r="W70" s="783"/>
    </row>
    <row r="71" spans="1:23" ht="14.4" customHeight="1" x14ac:dyDescent="0.3">
      <c r="A71" s="844" t="s">
        <v>4957</v>
      </c>
      <c r="B71" s="840">
        <v>3</v>
      </c>
      <c r="C71" s="841">
        <v>1.52</v>
      </c>
      <c r="D71" s="791">
        <v>7.7</v>
      </c>
      <c r="E71" s="830">
        <v>2</v>
      </c>
      <c r="F71" s="831">
        <v>1.05</v>
      </c>
      <c r="G71" s="784">
        <v>3</v>
      </c>
      <c r="H71" s="835">
        <v>2</v>
      </c>
      <c r="I71" s="831">
        <v>0.83</v>
      </c>
      <c r="J71" s="784">
        <v>4.5</v>
      </c>
      <c r="K71" s="834">
        <v>0.5</v>
      </c>
      <c r="L71" s="835">
        <v>3</v>
      </c>
      <c r="M71" s="835">
        <v>24</v>
      </c>
      <c r="N71" s="836">
        <v>8.1</v>
      </c>
      <c r="O71" s="835" t="s">
        <v>4826</v>
      </c>
      <c r="P71" s="837" t="s">
        <v>4958</v>
      </c>
      <c r="Q71" s="838">
        <f t="shared" si="5"/>
        <v>-1</v>
      </c>
      <c r="R71" s="838">
        <f t="shared" si="5"/>
        <v>-0.69000000000000006</v>
      </c>
      <c r="S71" s="828">
        <f t="shared" si="6"/>
        <v>16.2</v>
      </c>
      <c r="T71" s="828">
        <f t="shared" si="7"/>
        <v>9</v>
      </c>
      <c r="U71" s="828">
        <f t="shared" si="8"/>
        <v>-7.1999999999999993</v>
      </c>
      <c r="V71" s="839">
        <f t="shared" si="9"/>
        <v>0.55555555555555558</v>
      </c>
      <c r="W71" s="786"/>
    </row>
    <row r="72" spans="1:23" ht="14.4" customHeight="1" x14ac:dyDescent="0.3">
      <c r="A72" s="843" t="s">
        <v>4959</v>
      </c>
      <c r="B72" s="793"/>
      <c r="C72" s="794"/>
      <c r="D72" s="795"/>
      <c r="E72" s="798">
        <v>1</v>
      </c>
      <c r="F72" s="778">
        <v>0.79</v>
      </c>
      <c r="G72" s="779">
        <v>12</v>
      </c>
      <c r="H72" s="774">
        <v>4</v>
      </c>
      <c r="I72" s="775">
        <v>2.39</v>
      </c>
      <c r="J72" s="792">
        <v>11.5</v>
      </c>
      <c r="K72" s="780">
        <v>0.52</v>
      </c>
      <c r="L72" s="777">
        <v>3</v>
      </c>
      <c r="M72" s="777">
        <v>24</v>
      </c>
      <c r="N72" s="781">
        <v>7.95</v>
      </c>
      <c r="O72" s="777" t="s">
        <v>4826</v>
      </c>
      <c r="P72" s="796" t="s">
        <v>4960</v>
      </c>
      <c r="Q72" s="782">
        <f t="shared" si="5"/>
        <v>4</v>
      </c>
      <c r="R72" s="782">
        <f t="shared" si="5"/>
        <v>2.39</v>
      </c>
      <c r="S72" s="793">
        <f t="shared" si="6"/>
        <v>31.8</v>
      </c>
      <c r="T72" s="793">
        <f t="shared" si="7"/>
        <v>46</v>
      </c>
      <c r="U72" s="793">
        <f t="shared" si="8"/>
        <v>14.2</v>
      </c>
      <c r="V72" s="797">
        <f t="shared" si="9"/>
        <v>1.4465408805031446</v>
      </c>
      <c r="W72" s="783">
        <v>19</v>
      </c>
    </row>
    <row r="73" spans="1:23" ht="14.4" customHeight="1" x14ac:dyDescent="0.3">
      <c r="A73" s="844" t="s">
        <v>4961</v>
      </c>
      <c r="B73" s="828"/>
      <c r="C73" s="829"/>
      <c r="D73" s="799"/>
      <c r="E73" s="830">
        <v>2</v>
      </c>
      <c r="F73" s="831">
        <v>1.55</v>
      </c>
      <c r="G73" s="784">
        <v>15</v>
      </c>
      <c r="H73" s="832">
        <v>1</v>
      </c>
      <c r="I73" s="833">
        <v>0.45</v>
      </c>
      <c r="J73" s="787">
        <v>2</v>
      </c>
      <c r="K73" s="834">
        <v>0.65</v>
      </c>
      <c r="L73" s="835">
        <v>3</v>
      </c>
      <c r="M73" s="835">
        <v>27</v>
      </c>
      <c r="N73" s="836">
        <v>9.1199999999999992</v>
      </c>
      <c r="O73" s="835" t="s">
        <v>4826</v>
      </c>
      <c r="P73" s="837" t="s">
        <v>4962</v>
      </c>
      <c r="Q73" s="838">
        <f t="shared" si="5"/>
        <v>1</v>
      </c>
      <c r="R73" s="838">
        <f t="shared" si="5"/>
        <v>0.45</v>
      </c>
      <c r="S73" s="828">
        <f t="shared" si="6"/>
        <v>9.1199999999999992</v>
      </c>
      <c r="T73" s="828">
        <f t="shared" si="7"/>
        <v>2</v>
      </c>
      <c r="U73" s="828">
        <f t="shared" si="8"/>
        <v>-7.1199999999999992</v>
      </c>
      <c r="V73" s="839">
        <f t="shared" si="9"/>
        <v>0.2192982456140351</v>
      </c>
      <c r="W73" s="786"/>
    </row>
    <row r="74" spans="1:23" ht="14.4" customHeight="1" x14ac:dyDescent="0.3">
      <c r="A74" s="844" t="s">
        <v>4963</v>
      </c>
      <c r="B74" s="828"/>
      <c r="C74" s="829"/>
      <c r="D74" s="799"/>
      <c r="E74" s="830"/>
      <c r="F74" s="831"/>
      <c r="G74" s="784"/>
      <c r="H74" s="832">
        <v>1</v>
      </c>
      <c r="I74" s="833">
        <v>1.48</v>
      </c>
      <c r="J74" s="785">
        <v>21</v>
      </c>
      <c r="K74" s="834">
        <v>1.48</v>
      </c>
      <c r="L74" s="835">
        <v>6</v>
      </c>
      <c r="M74" s="835">
        <v>57</v>
      </c>
      <c r="N74" s="836">
        <v>19.149999999999999</v>
      </c>
      <c r="O74" s="835" t="s">
        <v>4826</v>
      </c>
      <c r="P74" s="837" t="s">
        <v>4964</v>
      </c>
      <c r="Q74" s="838">
        <f t="shared" si="5"/>
        <v>1</v>
      </c>
      <c r="R74" s="838">
        <f t="shared" si="5"/>
        <v>1.48</v>
      </c>
      <c r="S74" s="828">
        <f t="shared" si="6"/>
        <v>19.149999999999999</v>
      </c>
      <c r="T74" s="828">
        <f t="shared" si="7"/>
        <v>21</v>
      </c>
      <c r="U74" s="828">
        <f t="shared" si="8"/>
        <v>1.8500000000000014</v>
      </c>
      <c r="V74" s="839">
        <f t="shared" si="9"/>
        <v>1.0966057441253265</v>
      </c>
      <c r="W74" s="786">
        <v>2</v>
      </c>
    </row>
    <row r="75" spans="1:23" ht="14.4" customHeight="1" x14ac:dyDescent="0.3">
      <c r="A75" s="843" t="s">
        <v>4965</v>
      </c>
      <c r="B75" s="793">
        <v>3</v>
      </c>
      <c r="C75" s="794">
        <v>1.05</v>
      </c>
      <c r="D75" s="795">
        <v>3.3</v>
      </c>
      <c r="E75" s="774">
        <v>4</v>
      </c>
      <c r="F75" s="775">
        <v>1.51</v>
      </c>
      <c r="G75" s="776">
        <v>6.3</v>
      </c>
      <c r="H75" s="777">
        <v>1</v>
      </c>
      <c r="I75" s="778">
        <v>0.35</v>
      </c>
      <c r="J75" s="779">
        <v>2</v>
      </c>
      <c r="K75" s="780">
        <v>0.35</v>
      </c>
      <c r="L75" s="777">
        <v>2</v>
      </c>
      <c r="M75" s="777">
        <v>15</v>
      </c>
      <c r="N75" s="781">
        <v>4.93</v>
      </c>
      <c r="O75" s="777" t="s">
        <v>4826</v>
      </c>
      <c r="P75" s="796" t="s">
        <v>4966</v>
      </c>
      <c r="Q75" s="782">
        <f t="shared" si="5"/>
        <v>-2</v>
      </c>
      <c r="R75" s="782">
        <f t="shared" si="5"/>
        <v>-0.70000000000000007</v>
      </c>
      <c r="S75" s="793">
        <f t="shared" si="6"/>
        <v>4.93</v>
      </c>
      <c r="T75" s="793">
        <f t="shared" si="7"/>
        <v>2</v>
      </c>
      <c r="U75" s="793">
        <f t="shared" si="8"/>
        <v>-2.9299999999999997</v>
      </c>
      <c r="V75" s="797">
        <f t="shared" si="9"/>
        <v>0.40567951318458423</v>
      </c>
      <c r="W75" s="783"/>
    </row>
    <row r="76" spans="1:23" ht="14.4" customHeight="1" x14ac:dyDescent="0.3">
      <c r="A76" s="843" t="s">
        <v>4967</v>
      </c>
      <c r="B76" s="793">
        <v>3</v>
      </c>
      <c r="C76" s="794">
        <v>0.96</v>
      </c>
      <c r="D76" s="795">
        <v>6.3</v>
      </c>
      <c r="E76" s="774">
        <v>7</v>
      </c>
      <c r="F76" s="775">
        <v>2.86</v>
      </c>
      <c r="G76" s="776">
        <v>3</v>
      </c>
      <c r="H76" s="777">
        <v>4</v>
      </c>
      <c r="I76" s="778">
        <v>1.33</v>
      </c>
      <c r="J76" s="779">
        <v>2</v>
      </c>
      <c r="K76" s="780">
        <v>0.32</v>
      </c>
      <c r="L76" s="777">
        <v>1</v>
      </c>
      <c r="M76" s="777">
        <v>13</v>
      </c>
      <c r="N76" s="781">
        <v>4.34</v>
      </c>
      <c r="O76" s="777" t="s">
        <v>4826</v>
      </c>
      <c r="P76" s="796" t="s">
        <v>4968</v>
      </c>
      <c r="Q76" s="782">
        <f t="shared" si="5"/>
        <v>1</v>
      </c>
      <c r="R76" s="782">
        <f t="shared" si="5"/>
        <v>0.37000000000000011</v>
      </c>
      <c r="S76" s="793">
        <f t="shared" si="6"/>
        <v>17.36</v>
      </c>
      <c r="T76" s="793">
        <f t="shared" si="7"/>
        <v>8</v>
      </c>
      <c r="U76" s="793">
        <f t="shared" si="8"/>
        <v>-9.36</v>
      </c>
      <c r="V76" s="797">
        <f t="shared" si="9"/>
        <v>0.46082949308755761</v>
      </c>
      <c r="W76" s="783"/>
    </row>
    <row r="77" spans="1:23" ht="14.4" customHeight="1" x14ac:dyDescent="0.3">
      <c r="A77" s="844" t="s">
        <v>4969</v>
      </c>
      <c r="B77" s="828">
        <v>1</v>
      </c>
      <c r="C77" s="829">
        <v>0.49</v>
      </c>
      <c r="D77" s="799">
        <v>3</v>
      </c>
      <c r="E77" s="832">
        <v>1</v>
      </c>
      <c r="F77" s="833">
        <v>0.52</v>
      </c>
      <c r="G77" s="787">
        <v>2</v>
      </c>
      <c r="H77" s="835"/>
      <c r="I77" s="831"/>
      <c r="J77" s="784"/>
      <c r="K77" s="834">
        <v>0.49</v>
      </c>
      <c r="L77" s="835">
        <v>2</v>
      </c>
      <c r="M77" s="835">
        <v>20</v>
      </c>
      <c r="N77" s="836">
        <v>6.71</v>
      </c>
      <c r="O77" s="835" t="s">
        <v>4826</v>
      </c>
      <c r="P77" s="837" t="s">
        <v>4970</v>
      </c>
      <c r="Q77" s="838">
        <f t="shared" si="5"/>
        <v>-1</v>
      </c>
      <c r="R77" s="838">
        <f t="shared" si="5"/>
        <v>-0.49</v>
      </c>
      <c r="S77" s="828" t="str">
        <f t="shared" si="6"/>
        <v/>
      </c>
      <c r="T77" s="828" t="str">
        <f t="shared" si="7"/>
        <v/>
      </c>
      <c r="U77" s="828" t="str">
        <f t="shared" si="8"/>
        <v/>
      </c>
      <c r="V77" s="839" t="str">
        <f t="shared" si="9"/>
        <v/>
      </c>
      <c r="W77" s="786"/>
    </row>
    <row r="78" spans="1:23" ht="14.4" customHeight="1" x14ac:dyDescent="0.3">
      <c r="A78" s="843" t="s">
        <v>4971</v>
      </c>
      <c r="B78" s="788">
        <v>3</v>
      </c>
      <c r="C78" s="789">
        <v>3.5</v>
      </c>
      <c r="D78" s="790">
        <v>25.3</v>
      </c>
      <c r="E78" s="798"/>
      <c r="F78" s="778"/>
      <c r="G78" s="779"/>
      <c r="H78" s="777">
        <v>1</v>
      </c>
      <c r="I78" s="778">
        <v>1.28</v>
      </c>
      <c r="J78" s="792">
        <v>30</v>
      </c>
      <c r="K78" s="780">
        <v>0.95</v>
      </c>
      <c r="L78" s="777">
        <v>3</v>
      </c>
      <c r="M78" s="777">
        <v>31</v>
      </c>
      <c r="N78" s="781">
        <v>10.34</v>
      </c>
      <c r="O78" s="777" t="s">
        <v>4826</v>
      </c>
      <c r="P78" s="796" t="s">
        <v>4972</v>
      </c>
      <c r="Q78" s="782">
        <f t="shared" si="5"/>
        <v>-2</v>
      </c>
      <c r="R78" s="782">
        <f t="shared" si="5"/>
        <v>-2.2199999999999998</v>
      </c>
      <c r="S78" s="793">
        <f t="shared" si="6"/>
        <v>10.34</v>
      </c>
      <c r="T78" s="793">
        <f t="shared" si="7"/>
        <v>30</v>
      </c>
      <c r="U78" s="793">
        <f t="shared" si="8"/>
        <v>19.66</v>
      </c>
      <c r="V78" s="797">
        <f t="shared" si="9"/>
        <v>2.9013539651837523</v>
      </c>
      <c r="W78" s="783">
        <v>20</v>
      </c>
    </row>
    <row r="79" spans="1:23" ht="14.4" customHeight="1" x14ac:dyDescent="0.3">
      <c r="A79" s="844" t="s">
        <v>4973</v>
      </c>
      <c r="B79" s="840"/>
      <c r="C79" s="841"/>
      <c r="D79" s="791"/>
      <c r="E79" s="830">
        <v>1</v>
      </c>
      <c r="F79" s="831">
        <v>1.93</v>
      </c>
      <c r="G79" s="784">
        <v>17</v>
      </c>
      <c r="H79" s="835"/>
      <c r="I79" s="831"/>
      <c r="J79" s="784"/>
      <c r="K79" s="834">
        <v>2.2599999999999998</v>
      </c>
      <c r="L79" s="835">
        <v>7</v>
      </c>
      <c r="M79" s="835">
        <v>67</v>
      </c>
      <c r="N79" s="836">
        <v>22.18</v>
      </c>
      <c r="O79" s="835" t="s">
        <v>4826</v>
      </c>
      <c r="P79" s="837" t="s">
        <v>4974</v>
      </c>
      <c r="Q79" s="838">
        <f t="shared" si="5"/>
        <v>0</v>
      </c>
      <c r="R79" s="838">
        <f t="shared" si="5"/>
        <v>0</v>
      </c>
      <c r="S79" s="828" t="str">
        <f t="shared" si="6"/>
        <v/>
      </c>
      <c r="T79" s="828" t="str">
        <f t="shared" si="7"/>
        <v/>
      </c>
      <c r="U79" s="828" t="str">
        <f t="shared" si="8"/>
        <v/>
      </c>
      <c r="V79" s="839" t="str">
        <f t="shared" si="9"/>
        <v/>
      </c>
      <c r="W79" s="786"/>
    </row>
    <row r="80" spans="1:23" ht="14.4" customHeight="1" x14ac:dyDescent="0.3">
      <c r="A80" s="843" t="s">
        <v>4975</v>
      </c>
      <c r="B80" s="793">
        <v>1</v>
      </c>
      <c r="C80" s="794">
        <v>0.48</v>
      </c>
      <c r="D80" s="795">
        <v>2</v>
      </c>
      <c r="E80" s="798">
        <v>1</v>
      </c>
      <c r="F80" s="778">
        <v>0.46</v>
      </c>
      <c r="G80" s="779">
        <v>7</v>
      </c>
      <c r="H80" s="774">
        <v>3</v>
      </c>
      <c r="I80" s="775">
        <v>1.43</v>
      </c>
      <c r="J80" s="776">
        <v>4.3</v>
      </c>
      <c r="K80" s="780">
        <v>0.48</v>
      </c>
      <c r="L80" s="777">
        <v>2</v>
      </c>
      <c r="M80" s="777">
        <v>15</v>
      </c>
      <c r="N80" s="781">
        <v>4.91</v>
      </c>
      <c r="O80" s="777" t="s">
        <v>4826</v>
      </c>
      <c r="P80" s="796" t="s">
        <v>4976</v>
      </c>
      <c r="Q80" s="782">
        <f t="shared" si="5"/>
        <v>2</v>
      </c>
      <c r="R80" s="782">
        <f t="shared" si="5"/>
        <v>0.95</v>
      </c>
      <c r="S80" s="793">
        <f t="shared" si="6"/>
        <v>14.73</v>
      </c>
      <c r="T80" s="793">
        <f t="shared" si="7"/>
        <v>12.899999999999999</v>
      </c>
      <c r="U80" s="793">
        <f t="shared" si="8"/>
        <v>-1.8300000000000018</v>
      </c>
      <c r="V80" s="797">
        <f t="shared" si="9"/>
        <v>0.87576374745417507</v>
      </c>
      <c r="W80" s="783"/>
    </row>
    <row r="81" spans="1:23" ht="14.4" customHeight="1" x14ac:dyDescent="0.3">
      <c r="A81" s="844" t="s">
        <v>4977</v>
      </c>
      <c r="B81" s="828"/>
      <c r="C81" s="829"/>
      <c r="D81" s="799"/>
      <c r="E81" s="830">
        <v>1</v>
      </c>
      <c r="F81" s="831">
        <v>1.53</v>
      </c>
      <c r="G81" s="784">
        <v>6</v>
      </c>
      <c r="H81" s="832"/>
      <c r="I81" s="833"/>
      <c r="J81" s="787"/>
      <c r="K81" s="834">
        <v>1.27</v>
      </c>
      <c r="L81" s="835">
        <v>4</v>
      </c>
      <c r="M81" s="835">
        <v>39</v>
      </c>
      <c r="N81" s="836">
        <v>12.9</v>
      </c>
      <c r="O81" s="835" t="s">
        <v>4826</v>
      </c>
      <c r="P81" s="837" t="s">
        <v>4978</v>
      </c>
      <c r="Q81" s="838">
        <f t="shared" si="5"/>
        <v>0</v>
      </c>
      <c r="R81" s="838">
        <f t="shared" si="5"/>
        <v>0</v>
      </c>
      <c r="S81" s="828" t="str">
        <f t="shared" si="6"/>
        <v/>
      </c>
      <c r="T81" s="828" t="str">
        <f t="shared" si="7"/>
        <v/>
      </c>
      <c r="U81" s="828" t="str">
        <f t="shared" si="8"/>
        <v/>
      </c>
      <c r="V81" s="839" t="str">
        <f t="shared" si="9"/>
        <v/>
      </c>
      <c r="W81" s="786"/>
    </row>
    <row r="82" spans="1:23" ht="14.4" customHeight="1" x14ac:dyDescent="0.3">
      <c r="A82" s="843" t="s">
        <v>4979</v>
      </c>
      <c r="B82" s="793"/>
      <c r="C82" s="794"/>
      <c r="D82" s="795"/>
      <c r="E82" s="798">
        <v>1</v>
      </c>
      <c r="F82" s="778">
        <v>0.59</v>
      </c>
      <c r="G82" s="779">
        <v>17</v>
      </c>
      <c r="H82" s="774">
        <v>1</v>
      </c>
      <c r="I82" s="775">
        <v>0.51</v>
      </c>
      <c r="J82" s="792">
        <v>8</v>
      </c>
      <c r="K82" s="780">
        <v>0.51</v>
      </c>
      <c r="L82" s="777">
        <v>3</v>
      </c>
      <c r="M82" s="777">
        <v>24</v>
      </c>
      <c r="N82" s="781">
        <v>7.87</v>
      </c>
      <c r="O82" s="777" t="s">
        <v>4826</v>
      </c>
      <c r="P82" s="796" t="s">
        <v>4980</v>
      </c>
      <c r="Q82" s="782">
        <f t="shared" si="5"/>
        <v>1</v>
      </c>
      <c r="R82" s="782">
        <f t="shared" si="5"/>
        <v>0.51</v>
      </c>
      <c r="S82" s="793">
        <f t="shared" si="6"/>
        <v>7.87</v>
      </c>
      <c r="T82" s="793">
        <f t="shared" si="7"/>
        <v>8</v>
      </c>
      <c r="U82" s="793">
        <f t="shared" si="8"/>
        <v>0.12999999999999989</v>
      </c>
      <c r="V82" s="797">
        <f t="shared" si="9"/>
        <v>1.0165184243964422</v>
      </c>
      <c r="W82" s="783"/>
    </row>
    <row r="83" spans="1:23" ht="14.4" customHeight="1" x14ac:dyDescent="0.3">
      <c r="A83" s="844" t="s">
        <v>4981</v>
      </c>
      <c r="B83" s="828">
        <v>2</v>
      </c>
      <c r="C83" s="829">
        <v>1.4</v>
      </c>
      <c r="D83" s="799">
        <v>12.5</v>
      </c>
      <c r="E83" s="830">
        <v>2</v>
      </c>
      <c r="F83" s="831">
        <v>1.52</v>
      </c>
      <c r="G83" s="784">
        <v>13.5</v>
      </c>
      <c r="H83" s="832">
        <v>3</v>
      </c>
      <c r="I83" s="833">
        <v>2.06</v>
      </c>
      <c r="J83" s="785">
        <v>11</v>
      </c>
      <c r="K83" s="834">
        <v>0.69</v>
      </c>
      <c r="L83" s="835">
        <v>4</v>
      </c>
      <c r="M83" s="835">
        <v>32</v>
      </c>
      <c r="N83" s="836">
        <v>10.77</v>
      </c>
      <c r="O83" s="835" t="s">
        <v>4826</v>
      </c>
      <c r="P83" s="837" t="s">
        <v>4982</v>
      </c>
      <c r="Q83" s="838">
        <f t="shared" si="5"/>
        <v>1</v>
      </c>
      <c r="R83" s="838">
        <f t="shared" si="5"/>
        <v>0.66000000000000014</v>
      </c>
      <c r="S83" s="828">
        <f t="shared" si="6"/>
        <v>32.31</v>
      </c>
      <c r="T83" s="828">
        <f t="shared" si="7"/>
        <v>33</v>
      </c>
      <c r="U83" s="828">
        <f t="shared" si="8"/>
        <v>0.68999999999999773</v>
      </c>
      <c r="V83" s="839">
        <f t="shared" si="9"/>
        <v>1.021355617455896</v>
      </c>
      <c r="W83" s="786">
        <v>5</v>
      </c>
    </row>
    <row r="84" spans="1:23" ht="14.4" customHeight="1" x14ac:dyDescent="0.3">
      <c r="A84" s="843" t="s">
        <v>4983</v>
      </c>
      <c r="B84" s="793">
        <v>8</v>
      </c>
      <c r="C84" s="794">
        <v>1.92</v>
      </c>
      <c r="D84" s="795">
        <v>2.1</v>
      </c>
      <c r="E84" s="798">
        <v>15</v>
      </c>
      <c r="F84" s="778">
        <v>4.05</v>
      </c>
      <c r="G84" s="779">
        <v>3</v>
      </c>
      <c r="H84" s="774">
        <v>11</v>
      </c>
      <c r="I84" s="775">
        <v>2.58</v>
      </c>
      <c r="J84" s="776">
        <v>2.7</v>
      </c>
      <c r="K84" s="780">
        <v>0.23</v>
      </c>
      <c r="L84" s="777">
        <v>1</v>
      </c>
      <c r="M84" s="777">
        <v>10</v>
      </c>
      <c r="N84" s="781">
        <v>3.32</v>
      </c>
      <c r="O84" s="777" t="s">
        <v>4826</v>
      </c>
      <c r="P84" s="796" t="s">
        <v>4984</v>
      </c>
      <c r="Q84" s="782">
        <f t="shared" si="5"/>
        <v>3</v>
      </c>
      <c r="R84" s="782">
        <f t="shared" si="5"/>
        <v>0.66000000000000014</v>
      </c>
      <c r="S84" s="793">
        <f t="shared" si="6"/>
        <v>36.519999999999996</v>
      </c>
      <c r="T84" s="793">
        <f t="shared" si="7"/>
        <v>29.700000000000003</v>
      </c>
      <c r="U84" s="793">
        <f t="shared" si="8"/>
        <v>-6.8199999999999932</v>
      </c>
      <c r="V84" s="797">
        <f t="shared" si="9"/>
        <v>0.81325301204819289</v>
      </c>
      <c r="W84" s="783">
        <v>2</v>
      </c>
    </row>
    <row r="85" spans="1:23" ht="14.4" customHeight="1" x14ac:dyDescent="0.3">
      <c r="A85" s="844" t="s">
        <v>4985</v>
      </c>
      <c r="B85" s="828">
        <v>5</v>
      </c>
      <c r="C85" s="829">
        <v>1.65</v>
      </c>
      <c r="D85" s="799">
        <v>4.8</v>
      </c>
      <c r="E85" s="830"/>
      <c r="F85" s="831"/>
      <c r="G85" s="784"/>
      <c r="H85" s="832">
        <v>4</v>
      </c>
      <c r="I85" s="833">
        <v>1.28</v>
      </c>
      <c r="J85" s="785">
        <v>4.5</v>
      </c>
      <c r="K85" s="834">
        <v>0.31</v>
      </c>
      <c r="L85" s="835">
        <v>1</v>
      </c>
      <c r="M85" s="835">
        <v>13</v>
      </c>
      <c r="N85" s="836">
        <v>4.25</v>
      </c>
      <c r="O85" s="835" t="s">
        <v>4826</v>
      </c>
      <c r="P85" s="837" t="s">
        <v>4986</v>
      </c>
      <c r="Q85" s="838">
        <f t="shared" si="5"/>
        <v>-1</v>
      </c>
      <c r="R85" s="838">
        <f t="shared" si="5"/>
        <v>-0.36999999999999988</v>
      </c>
      <c r="S85" s="828">
        <f t="shared" si="6"/>
        <v>17</v>
      </c>
      <c r="T85" s="828">
        <f t="shared" si="7"/>
        <v>18</v>
      </c>
      <c r="U85" s="828">
        <f t="shared" si="8"/>
        <v>1</v>
      </c>
      <c r="V85" s="839">
        <f t="shared" si="9"/>
        <v>1.0588235294117647</v>
      </c>
      <c r="W85" s="786">
        <v>5</v>
      </c>
    </row>
    <row r="86" spans="1:23" ht="14.4" customHeight="1" x14ac:dyDescent="0.3">
      <c r="A86" s="843" t="s">
        <v>4987</v>
      </c>
      <c r="B86" s="793"/>
      <c r="C86" s="794"/>
      <c r="D86" s="795"/>
      <c r="E86" s="798"/>
      <c r="F86" s="778"/>
      <c r="G86" s="779"/>
      <c r="H86" s="774">
        <v>1</v>
      </c>
      <c r="I86" s="775">
        <v>0.7</v>
      </c>
      <c r="J86" s="792">
        <v>13</v>
      </c>
      <c r="K86" s="780">
        <v>0.7</v>
      </c>
      <c r="L86" s="777">
        <v>2</v>
      </c>
      <c r="M86" s="777">
        <v>21</v>
      </c>
      <c r="N86" s="781">
        <v>6.92</v>
      </c>
      <c r="O86" s="777" t="s">
        <v>4826</v>
      </c>
      <c r="P86" s="796" t="s">
        <v>4988</v>
      </c>
      <c r="Q86" s="782">
        <f t="shared" si="5"/>
        <v>1</v>
      </c>
      <c r="R86" s="782">
        <f t="shared" si="5"/>
        <v>0.7</v>
      </c>
      <c r="S86" s="793">
        <f t="shared" si="6"/>
        <v>6.92</v>
      </c>
      <c r="T86" s="793">
        <f t="shared" si="7"/>
        <v>13</v>
      </c>
      <c r="U86" s="793">
        <f t="shared" si="8"/>
        <v>6.08</v>
      </c>
      <c r="V86" s="797">
        <f t="shared" si="9"/>
        <v>1.8786127167630058</v>
      </c>
      <c r="W86" s="783">
        <v>6</v>
      </c>
    </row>
    <row r="87" spans="1:23" ht="14.4" customHeight="1" x14ac:dyDescent="0.3">
      <c r="A87" s="843" t="s">
        <v>4989</v>
      </c>
      <c r="B87" s="793"/>
      <c r="C87" s="794"/>
      <c r="D87" s="795"/>
      <c r="E87" s="774">
        <v>2</v>
      </c>
      <c r="F87" s="775">
        <v>2.4900000000000002</v>
      </c>
      <c r="G87" s="776">
        <v>7.5</v>
      </c>
      <c r="H87" s="777"/>
      <c r="I87" s="778"/>
      <c r="J87" s="779"/>
      <c r="K87" s="780">
        <v>1.17</v>
      </c>
      <c r="L87" s="777">
        <v>4</v>
      </c>
      <c r="M87" s="777">
        <v>36</v>
      </c>
      <c r="N87" s="781">
        <v>11.9</v>
      </c>
      <c r="O87" s="777" t="s">
        <v>4826</v>
      </c>
      <c r="P87" s="796" t="s">
        <v>4990</v>
      </c>
      <c r="Q87" s="782">
        <f t="shared" si="5"/>
        <v>0</v>
      </c>
      <c r="R87" s="782">
        <f t="shared" si="5"/>
        <v>0</v>
      </c>
      <c r="S87" s="793" t="str">
        <f t="shared" si="6"/>
        <v/>
      </c>
      <c r="T87" s="793" t="str">
        <f t="shared" si="7"/>
        <v/>
      </c>
      <c r="U87" s="793" t="str">
        <f t="shared" si="8"/>
        <v/>
      </c>
      <c r="V87" s="797" t="str">
        <f t="shared" si="9"/>
        <v/>
      </c>
      <c r="W87" s="783"/>
    </row>
    <row r="88" spans="1:23" ht="14.4" customHeight="1" x14ac:dyDescent="0.3">
      <c r="A88" s="844" t="s">
        <v>4991</v>
      </c>
      <c r="B88" s="828"/>
      <c r="C88" s="829"/>
      <c r="D88" s="799"/>
      <c r="E88" s="832">
        <v>3</v>
      </c>
      <c r="F88" s="833">
        <v>7.33</v>
      </c>
      <c r="G88" s="787">
        <v>27.3</v>
      </c>
      <c r="H88" s="835">
        <v>1</v>
      </c>
      <c r="I88" s="831">
        <v>0.7</v>
      </c>
      <c r="J88" s="784">
        <v>2</v>
      </c>
      <c r="K88" s="834">
        <v>1.79</v>
      </c>
      <c r="L88" s="835">
        <v>6</v>
      </c>
      <c r="M88" s="835">
        <v>55</v>
      </c>
      <c r="N88" s="836">
        <v>18.45</v>
      </c>
      <c r="O88" s="835" t="s">
        <v>4826</v>
      </c>
      <c r="P88" s="837" t="s">
        <v>4992</v>
      </c>
      <c r="Q88" s="838">
        <f t="shared" si="5"/>
        <v>1</v>
      </c>
      <c r="R88" s="838">
        <f t="shared" si="5"/>
        <v>0.7</v>
      </c>
      <c r="S88" s="828">
        <f t="shared" si="6"/>
        <v>18.45</v>
      </c>
      <c r="T88" s="828">
        <f t="shared" si="7"/>
        <v>2</v>
      </c>
      <c r="U88" s="828">
        <f t="shared" si="8"/>
        <v>-16.45</v>
      </c>
      <c r="V88" s="839">
        <f t="shared" si="9"/>
        <v>0.10840108401084012</v>
      </c>
      <c r="W88" s="786"/>
    </row>
    <row r="89" spans="1:23" ht="14.4" customHeight="1" x14ac:dyDescent="0.3">
      <c r="A89" s="843" t="s">
        <v>4993</v>
      </c>
      <c r="B89" s="793"/>
      <c r="C89" s="794"/>
      <c r="D89" s="795"/>
      <c r="E89" s="798"/>
      <c r="F89" s="778"/>
      <c r="G89" s="779"/>
      <c r="H89" s="774">
        <v>1</v>
      </c>
      <c r="I89" s="775">
        <v>0.45</v>
      </c>
      <c r="J89" s="776">
        <v>2</v>
      </c>
      <c r="K89" s="780">
        <v>0.65</v>
      </c>
      <c r="L89" s="777">
        <v>3</v>
      </c>
      <c r="M89" s="777">
        <v>28</v>
      </c>
      <c r="N89" s="781">
        <v>9.4</v>
      </c>
      <c r="O89" s="777" t="s">
        <v>4826</v>
      </c>
      <c r="P89" s="796" t="s">
        <v>4994</v>
      </c>
      <c r="Q89" s="782">
        <f t="shared" si="5"/>
        <v>1</v>
      </c>
      <c r="R89" s="782">
        <f t="shared" si="5"/>
        <v>0.45</v>
      </c>
      <c r="S89" s="793">
        <f t="shared" si="6"/>
        <v>9.4</v>
      </c>
      <c r="T89" s="793">
        <f t="shared" si="7"/>
        <v>2</v>
      </c>
      <c r="U89" s="793">
        <f t="shared" si="8"/>
        <v>-7.4</v>
      </c>
      <c r="V89" s="797">
        <f t="shared" si="9"/>
        <v>0.21276595744680851</v>
      </c>
      <c r="W89" s="783"/>
    </row>
    <row r="90" spans="1:23" ht="14.4" customHeight="1" x14ac:dyDescent="0.3">
      <c r="A90" s="844" t="s">
        <v>4995</v>
      </c>
      <c r="B90" s="828"/>
      <c r="C90" s="829"/>
      <c r="D90" s="799"/>
      <c r="E90" s="830">
        <v>1</v>
      </c>
      <c r="F90" s="831">
        <v>0.81</v>
      </c>
      <c r="G90" s="784">
        <v>5</v>
      </c>
      <c r="H90" s="832">
        <v>1</v>
      </c>
      <c r="I90" s="833">
        <v>0.79</v>
      </c>
      <c r="J90" s="787">
        <v>5</v>
      </c>
      <c r="K90" s="834">
        <v>0.79</v>
      </c>
      <c r="L90" s="835">
        <v>4</v>
      </c>
      <c r="M90" s="835">
        <v>33</v>
      </c>
      <c r="N90" s="836">
        <v>11.11</v>
      </c>
      <c r="O90" s="835" t="s">
        <v>4826</v>
      </c>
      <c r="P90" s="837" t="s">
        <v>4996</v>
      </c>
      <c r="Q90" s="838">
        <f t="shared" si="5"/>
        <v>1</v>
      </c>
      <c r="R90" s="838">
        <f t="shared" si="5"/>
        <v>0.79</v>
      </c>
      <c r="S90" s="828">
        <f t="shared" si="6"/>
        <v>11.11</v>
      </c>
      <c r="T90" s="828">
        <f t="shared" si="7"/>
        <v>5</v>
      </c>
      <c r="U90" s="828">
        <f t="shared" si="8"/>
        <v>-6.1099999999999994</v>
      </c>
      <c r="V90" s="839">
        <f t="shared" si="9"/>
        <v>0.45004500450045004</v>
      </c>
      <c r="W90" s="786"/>
    </row>
    <row r="91" spans="1:23" ht="14.4" customHeight="1" x14ac:dyDescent="0.3">
      <c r="A91" s="844" t="s">
        <v>4997</v>
      </c>
      <c r="B91" s="828"/>
      <c r="C91" s="829"/>
      <c r="D91" s="799"/>
      <c r="E91" s="830">
        <v>1</v>
      </c>
      <c r="F91" s="831">
        <v>1.41</v>
      </c>
      <c r="G91" s="784">
        <v>27</v>
      </c>
      <c r="H91" s="832">
        <v>1</v>
      </c>
      <c r="I91" s="833">
        <v>0.56999999999999995</v>
      </c>
      <c r="J91" s="787">
        <v>2</v>
      </c>
      <c r="K91" s="834">
        <v>1.41</v>
      </c>
      <c r="L91" s="835">
        <v>6</v>
      </c>
      <c r="M91" s="835">
        <v>51</v>
      </c>
      <c r="N91" s="836">
        <v>17.149999999999999</v>
      </c>
      <c r="O91" s="835" t="s">
        <v>4826</v>
      </c>
      <c r="P91" s="837" t="s">
        <v>4998</v>
      </c>
      <c r="Q91" s="838">
        <f t="shared" si="5"/>
        <v>1</v>
      </c>
      <c r="R91" s="838">
        <f t="shared" si="5"/>
        <v>0.56999999999999995</v>
      </c>
      <c r="S91" s="828">
        <f t="shared" si="6"/>
        <v>17.149999999999999</v>
      </c>
      <c r="T91" s="828">
        <f t="shared" si="7"/>
        <v>2</v>
      </c>
      <c r="U91" s="828">
        <f t="shared" si="8"/>
        <v>-15.149999999999999</v>
      </c>
      <c r="V91" s="839">
        <f t="shared" si="9"/>
        <v>0.11661807580174928</v>
      </c>
      <c r="W91" s="786"/>
    </row>
    <row r="92" spans="1:23" ht="14.4" customHeight="1" x14ac:dyDescent="0.3">
      <c r="A92" s="843" t="s">
        <v>4999</v>
      </c>
      <c r="B92" s="793"/>
      <c r="C92" s="794"/>
      <c r="D92" s="795"/>
      <c r="E92" s="774">
        <v>1</v>
      </c>
      <c r="F92" s="775">
        <v>1.27</v>
      </c>
      <c r="G92" s="776">
        <v>4</v>
      </c>
      <c r="H92" s="777">
        <v>1</v>
      </c>
      <c r="I92" s="778">
        <v>1.24</v>
      </c>
      <c r="J92" s="779">
        <v>7</v>
      </c>
      <c r="K92" s="780">
        <v>1.24</v>
      </c>
      <c r="L92" s="777">
        <v>3</v>
      </c>
      <c r="M92" s="777">
        <v>29</v>
      </c>
      <c r="N92" s="781">
        <v>9.8000000000000007</v>
      </c>
      <c r="O92" s="777" t="s">
        <v>4826</v>
      </c>
      <c r="P92" s="796" t="s">
        <v>5000</v>
      </c>
      <c r="Q92" s="782">
        <f t="shared" si="5"/>
        <v>1</v>
      </c>
      <c r="R92" s="782">
        <f t="shared" si="5"/>
        <v>1.24</v>
      </c>
      <c r="S92" s="793">
        <f t="shared" si="6"/>
        <v>9.8000000000000007</v>
      </c>
      <c r="T92" s="793">
        <f t="shared" si="7"/>
        <v>7</v>
      </c>
      <c r="U92" s="793">
        <f t="shared" si="8"/>
        <v>-2.8000000000000007</v>
      </c>
      <c r="V92" s="797">
        <f t="shared" si="9"/>
        <v>0.71428571428571419</v>
      </c>
      <c r="W92" s="783"/>
    </row>
    <row r="93" spans="1:23" ht="14.4" customHeight="1" x14ac:dyDescent="0.3">
      <c r="A93" s="844" t="s">
        <v>5001</v>
      </c>
      <c r="B93" s="828">
        <v>2</v>
      </c>
      <c r="C93" s="829">
        <v>4.47</v>
      </c>
      <c r="D93" s="799">
        <v>11</v>
      </c>
      <c r="E93" s="832">
        <v>2</v>
      </c>
      <c r="F93" s="833">
        <v>4.5999999999999996</v>
      </c>
      <c r="G93" s="787">
        <v>6</v>
      </c>
      <c r="H93" s="835">
        <v>1</v>
      </c>
      <c r="I93" s="831">
        <v>3.06</v>
      </c>
      <c r="J93" s="784">
        <v>13</v>
      </c>
      <c r="K93" s="834">
        <v>2.2400000000000002</v>
      </c>
      <c r="L93" s="835">
        <v>5</v>
      </c>
      <c r="M93" s="835">
        <v>41</v>
      </c>
      <c r="N93" s="836">
        <v>13.57</v>
      </c>
      <c r="O93" s="835" t="s">
        <v>4826</v>
      </c>
      <c r="P93" s="837" t="s">
        <v>5002</v>
      </c>
      <c r="Q93" s="838">
        <f t="shared" si="5"/>
        <v>-1</v>
      </c>
      <c r="R93" s="838">
        <f t="shared" si="5"/>
        <v>-1.4099999999999997</v>
      </c>
      <c r="S93" s="828">
        <f t="shared" si="6"/>
        <v>13.57</v>
      </c>
      <c r="T93" s="828">
        <f t="shared" si="7"/>
        <v>13</v>
      </c>
      <c r="U93" s="828">
        <f t="shared" si="8"/>
        <v>-0.57000000000000028</v>
      </c>
      <c r="V93" s="839">
        <f t="shared" si="9"/>
        <v>0.9579955784819455</v>
      </c>
      <c r="W93" s="786"/>
    </row>
    <row r="94" spans="1:23" ht="14.4" customHeight="1" x14ac:dyDescent="0.3">
      <c r="A94" s="843" t="s">
        <v>5003</v>
      </c>
      <c r="B94" s="793"/>
      <c r="C94" s="794"/>
      <c r="D94" s="795"/>
      <c r="E94" s="798">
        <v>1</v>
      </c>
      <c r="F94" s="778">
        <v>0.65</v>
      </c>
      <c r="G94" s="779">
        <v>5</v>
      </c>
      <c r="H94" s="774">
        <v>1</v>
      </c>
      <c r="I94" s="775">
        <v>0.57999999999999996</v>
      </c>
      <c r="J94" s="792">
        <v>7</v>
      </c>
      <c r="K94" s="780">
        <v>0.57999999999999996</v>
      </c>
      <c r="L94" s="777">
        <v>2</v>
      </c>
      <c r="M94" s="777">
        <v>17</v>
      </c>
      <c r="N94" s="781">
        <v>5.66</v>
      </c>
      <c r="O94" s="777" t="s">
        <v>4826</v>
      </c>
      <c r="P94" s="796" t="s">
        <v>5004</v>
      </c>
      <c r="Q94" s="782">
        <f t="shared" si="5"/>
        <v>1</v>
      </c>
      <c r="R94" s="782">
        <f t="shared" si="5"/>
        <v>0.57999999999999996</v>
      </c>
      <c r="S94" s="793">
        <f t="shared" si="6"/>
        <v>5.66</v>
      </c>
      <c r="T94" s="793">
        <f t="shared" si="7"/>
        <v>7</v>
      </c>
      <c r="U94" s="793">
        <f t="shared" si="8"/>
        <v>1.3399999999999999</v>
      </c>
      <c r="V94" s="797">
        <f t="shared" si="9"/>
        <v>1.2367491166077738</v>
      </c>
      <c r="W94" s="783">
        <v>1</v>
      </c>
    </row>
    <row r="95" spans="1:23" ht="14.4" customHeight="1" x14ac:dyDescent="0.3">
      <c r="A95" s="843" t="s">
        <v>5005</v>
      </c>
      <c r="B95" s="793"/>
      <c r="C95" s="794"/>
      <c r="D95" s="795"/>
      <c r="E95" s="798"/>
      <c r="F95" s="778"/>
      <c r="G95" s="779"/>
      <c r="H95" s="774">
        <v>1</v>
      </c>
      <c r="I95" s="775">
        <v>0.26</v>
      </c>
      <c r="J95" s="792">
        <v>4</v>
      </c>
      <c r="K95" s="780">
        <v>0.26</v>
      </c>
      <c r="L95" s="777">
        <v>1</v>
      </c>
      <c r="M95" s="777">
        <v>12</v>
      </c>
      <c r="N95" s="781">
        <v>3.97</v>
      </c>
      <c r="O95" s="777" t="s">
        <v>4826</v>
      </c>
      <c r="P95" s="796" t="s">
        <v>5006</v>
      </c>
      <c r="Q95" s="782">
        <f t="shared" si="5"/>
        <v>1</v>
      </c>
      <c r="R95" s="782">
        <f t="shared" si="5"/>
        <v>0.26</v>
      </c>
      <c r="S95" s="793">
        <f t="shared" si="6"/>
        <v>3.97</v>
      </c>
      <c r="T95" s="793">
        <f t="shared" si="7"/>
        <v>4</v>
      </c>
      <c r="U95" s="793">
        <f t="shared" si="8"/>
        <v>2.9999999999999805E-2</v>
      </c>
      <c r="V95" s="797">
        <f t="shared" si="9"/>
        <v>1.0075566750629723</v>
      </c>
      <c r="W95" s="783"/>
    </row>
    <row r="96" spans="1:23" ht="14.4" customHeight="1" x14ac:dyDescent="0.3">
      <c r="A96" s="843" t="s">
        <v>5007</v>
      </c>
      <c r="B96" s="793"/>
      <c r="C96" s="794"/>
      <c r="D96" s="795"/>
      <c r="E96" s="798"/>
      <c r="F96" s="778"/>
      <c r="G96" s="779"/>
      <c r="H96" s="774">
        <v>1</v>
      </c>
      <c r="I96" s="775">
        <v>0.31</v>
      </c>
      <c r="J96" s="776">
        <v>2</v>
      </c>
      <c r="K96" s="780">
        <v>0.27</v>
      </c>
      <c r="L96" s="777">
        <v>1</v>
      </c>
      <c r="M96" s="777">
        <v>10</v>
      </c>
      <c r="N96" s="781">
        <v>3.39</v>
      </c>
      <c r="O96" s="777" t="s">
        <v>4826</v>
      </c>
      <c r="P96" s="796" t="s">
        <v>5008</v>
      </c>
      <c r="Q96" s="782">
        <f t="shared" si="5"/>
        <v>1</v>
      </c>
      <c r="R96" s="782">
        <f t="shared" si="5"/>
        <v>0.31</v>
      </c>
      <c r="S96" s="793">
        <f t="shared" si="6"/>
        <v>3.39</v>
      </c>
      <c r="T96" s="793">
        <f t="shared" si="7"/>
        <v>2</v>
      </c>
      <c r="U96" s="793">
        <f t="shared" si="8"/>
        <v>-1.3900000000000001</v>
      </c>
      <c r="V96" s="797">
        <f t="shared" si="9"/>
        <v>0.58997050147492625</v>
      </c>
      <c r="W96" s="783"/>
    </row>
    <row r="97" spans="1:23" ht="14.4" customHeight="1" x14ac:dyDescent="0.3">
      <c r="A97" s="844" t="s">
        <v>5009</v>
      </c>
      <c r="B97" s="828">
        <v>1</v>
      </c>
      <c r="C97" s="829">
        <v>1.73</v>
      </c>
      <c r="D97" s="799">
        <v>22</v>
      </c>
      <c r="E97" s="830"/>
      <c r="F97" s="831"/>
      <c r="G97" s="784"/>
      <c r="H97" s="832"/>
      <c r="I97" s="833"/>
      <c r="J97" s="787"/>
      <c r="K97" s="834">
        <v>1.21</v>
      </c>
      <c r="L97" s="835">
        <v>2</v>
      </c>
      <c r="M97" s="835">
        <v>21</v>
      </c>
      <c r="N97" s="836">
        <v>7.11</v>
      </c>
      <c r="O97" s="835" t="s">
        <v>4826</v>
      </c>
      <c r="P97" s="837" t="s">
        <v>5010</v>
      </c>
      <c r="Q97" s="838">
        <f t="shared" si="5"/>
        <v>-1</v>
      </c>
      <c r="R97" s="838">
        <f t="shared" si="5"/>
        <v>-1.73</v>
      </c>
      <c r="S97" s="828" t="str">
        <f t="shared" si="6"/>
        <v/>
      </c>
      <c r="T97" s="828" t="str">
        <f t="shared" si="7"/>
        <v/>
      </c>
      <c r="U97" s="828" t="str">
        <f t="shared" si="8"/>
        <v/>
      </c>
      <c r="V97" s="839" t="str">
        <f t="shared" si="9"/>
        <v/>
      </c>
      <c r="W97" s="786"/>
    </row>
    <row r="98" spans="1:23" ht="14.4" customHeight="1" x14ac:dyDescent="0.3">
      <c r="A98" s="843" t="s">
        <v>5011</v>
      </c>
      <c r="B98" s="793"/>
      <c r="C98" s="794"/>
      <c r="D98" s="795"/>
      <c r="E98" s="798">
        <v>1</v>
      </c>
      <c r="F98" s="778">
        <v>0.82</v>
      </c>
      <c r="G98" s="779">
        <v>4</v>
      </c>
      <c r="H98" s="774">
        <v>1</v>
      </c>
      <c r="I98" s="775">
        <v>0.47</v>
      </c>
      <c r="J98" s="776">
        <v>2</v>
      </c>
      <c r="K98" s="780">
        <v>0.7</v>
      </c>
      <c r="L98" s="777">
        <v>3</v>
      </c>
      <c r="M98" s="777">
        <v>29</v>
      </c>
      <c r="N98" s="781">
        <v>9.6</v>
      </c>
      <c r="O98" s="777" t="s">
        <v>4826</v>
      </c>
      <c r="P98" s="796" t="s">
        <v>5012</v>
      </c>
      <c r="Q98" s="782">
        <f t="shared" si="5"/>
        <v>1</v>
      </c>
      <c r="R98" s="782">
        <f t="shared" si="5"/>
        <v>0.47</v>
      </c>
      <c r="S98" s="793">
        <f t="shared" si="6"/>
        <v>9.6</v>
      </c>
      <c r="T98" s="793">
        <f t="shared" si="7"/>
        <v>2</v>
      </c>
      <c r="U98" s="793">
        <f t="shared" si="8"/>
        <v>-7.6</v>
      </c>
      <c r="V98" s="797">
        <f t="shared" si="9"/>
        <v>0.20833333333333334</v>
      </c>
      <c r="W98" s="783"/>
    </row>
    <row r="99" spans="1:23" ht="14.4" customHeight="1" x14ac:dyDescent="0.3">
      <c r="A99" s="843" t="s">
        <v>5013</v>
      </c>
      <c r="B99" s="788">
        <v>2</v>
      </c>
      <c r="C99" s="789">
        <v>1.99</v>
      </c>
      <c r="D99" s="790">
        <v>14</v>
      </c>
      <c r="E99" s="798"/>
      <c r="F99" s="778"/>
      <c r="G99" s="779"/>
      <c r="H99" s="777"/>
      <c r="I99" s="778"/>
      <c r="J99" s="779"/>
      <c r="K99" s="780">
        <v>0.99</v>
      </c>
      <c r="L99" s="777">
        <v>5</v>
      </c>
      <c r="M99" s="777">
        <v>47</v>
      </c>
      <c r="N99" s="781">
        <v>15.52</v>
      </c>
      <c r="O99" s="777" t="s">
        <v>4826</v>
      </c>
      <c r="P99" s="796" t="s">
        <v>5014</v>
      </c>
      <c r="Q99" s="782">
        <f t="shared" si="5"/>
        <v>-2</v>
      </c>
      <c r="R99" s="782">
        <f t="shared" si="5"/>
        <v>-1.99</v>
      </c>
      <c r="S99" s="793" t="str">
        <f t="shared" si="6"/>
        <v/>
      </c>
      <c r="T99" s="793" t="str">
        <f t="shared" si="7"/>
        <v/>
      </c>
      <c r="U99" s="793" t="str">
        <f t="shared" si="8"/>
        <v/>
      </c>
      <c r="V99" s="797" t="str">
        <f t="shared" si="9"/>
        <v/>
      </c>
      <c r="W99" s="783"/>
    </row>
    <row r="100" spans="1:23" ht="14.4" customHeight="1" x14ac:dyDescent="0.3">
      <c r="A100" s="843" t="s">
        <v>5015</v>
      </c>
      <c r="B100" s="793"/>
      <c r="C100" s="794"/>
      <c r="D100" s="795"/>
      <c r="E100" s="798"/>
      <c r="F100" s="778"/>
      <c r="G100" s="779"/>
      <c r="H100" s="774">
        <v>1</v>
      </c>
      <c r="I100" s="775">
        <v>0.89</v>
      </c>
      <c r="J100" s="792">
        <v>20</v>
      </c>
      <c r="K100" s="780">
        <v>0.76</v>
      </c>
      <c r="L100" s="777">
        <v>5</v>
      </c>
      <c r="M100" s="777">
        <v>33</v>
      </c>
      <c r="N100" s="781">
        <v>10.87</v>
      </c>
      <c r="O100" s="777" t="s">
        <v>4826</v>
      </c>
      <c r="P100" s="796" t="s">
        <v>5016</v>
      </c>
      <c r="Q100" s="782">
        <f t="shared" si="5"/>
        <v>1</v>
      </c>
      <c r="R100" s="782">
        <f t="shared" si="5"/>
        <v>0.89</v>
      </c>
      <c r="S100" s="793">
        <f t="shared" si="6"/>
        <v>10.87</v>
      </c>
      <c r="T100" s="793">
        <f t="shared" si="7"/>
        <v>20</v>
      </c>
      <c r="U100" s="793">
        <f t="shared" si="8"/>
        <v>9.1300000000000008</v>
      </c>
      <c r="V100" s="797">
        <f t="shared" si="9"/>
        <v>1.8399264029438824</v>
      </c>
      <c r="W100" s="783">
        <v>9</v>
      </c>
    </row>
    <row r="101" spans="1:23" ht="14.4" customHeight="1" x14ac:dyDescent="0.3">
      <c r="A101" s="843" t="s">
        <v>5017</v>
      </c>
      <c r="B101" s="793">
        <v>1</v>
      </c>
      <c r="C101" s="794">
        <v>3.89</v>
      </c>
      <c r="D101" s="795">
        <v>5</v>
      </c>
      <c r="E101" s="798"/>
      <c r="F101" s="778"/>
      <c r="G101" s="779"/>
      <c r="H101" s="774">
        <v>1</v>
      </c>
      <c r="I101" s="775">
        <v>3.89</v>
      </c>
      <c r="J101" s="792">
        <v>23</v>
      </c>
      <c r="K101" s="780">
        <v>3.89</v>
      </c>
      <c r="L101" s="777">
        <v>5</v>
      </c>
      <c r="M101" s="777">
        <v>42</v>
      </c>
      <c r="N101" s="781">
        <v>13.93</v>
      </c>
      <c r="O101" s="777" t="s">
        <v>4826</v>
      </c>
      <c r="P101" s="796" t="s">
        <v>5018</v>
      </c>
      <c r="Q101" s="782">
        <f t="shared" si="5"/>
        <v>0</v>
      </c>
      <c r="R101" s="782">
        <f t="shared" si="5"/>
        <v>0</v>
      </c>
      <c r="S101" s="793">
        <f t="shared" si="6"/>
        <v>13.93</v>
      </c>
      <c r="T101" s="793">
        <f t="shared" si="7"/>
        <v>23</v>
      </c>
      <c r="U101" s="793">
        <f t="shared" si="8"/>
        <v>9.07</v>
      </c>
      <c r="V101" s="797">
        <f t="shared" si="9"/>
        <v>1.6511127063890882</v>
      </c>
      <c r="W101" s="783">
        <v>9</v>
      </c>
    </row>
    <row r="102" spans="1:23" ht="14.4" customHeight="1" x14ac:dyDescent="0.3">
      <c r="A102" s="844" t="s">
        <v>5019</v>
      </c>
      <c r="B102" s="828">
        <v>1</v>
      </c>
      <c r="C102" s="829">
        <v>7.35</v>
      </c>
      <c r="D102" s="799">
        <v>12</v>
      </c>
      <c r="E102" s="830"/>
      <c r="F102" s="831"/>
      <c r="G102" s="784"/>
      <c r="H102" s="832">
        <v>1</v>
      </c>
      <c r="I102" s="833">
        <v>7.35</v>
      </c>
      <c r="J102" s="787">
        <v>18</v>
      </c>
      <c r="K102" s="834">
        <v>7.35</v>
      </c>
      <c r="L102" s="835">
        <v>7</v>
      </c>
      <c r="M102" s="835">
        <v>66</v>
      </c>
      <c r="N102" s="836">
        <v>21.85</v>
      </c>
      <c r="O102" s="835" t="s">
        <v>4826</v>
      </c>
      <c r="P102" s="837" t="s">
        <v>5020</v>
      </c>
      <c r="Q102" s="838">
        <f t="shared" si="5"/>
        <v>0</v>
      </c>
      <c r="R102" s="838">
        <f t="shared" si="5"/>
        <v>0</v>
      </c>
      <c r="S102" s="828">
        <f t="shared" si="6"/>
        <v>21.85</v>
      </c>
      <c r="T102" s="828">
        <f t="shared" si="7"/>
        <v>18</v>
      </c>
      <c r="U102" s="828">
        <f t="shared" si="8"/>
        <v>-3.8500000000000014</v>
      </c>
      <c r="V102" s="839">
        <f t="shared" si="9"/>
        <v>0.82379862700228823</v>
      </c>
      <c r="W102" s="786"/>
    </row>
    <row r="103" spans="1:23" ht="14.4" customHeight="1" x14ac:dyDescent="0.3">
      <c r="A103" s="843" t="s">
        <v>5021</v>
      </c>
      <c r="B103" s="793">
        <v>1</v>
      </c>
      <c r="C103" s="794">
        <v>3.69</v>
      </c>
      <c r="D103" s="795">
        <v>19</v>
      </c>
      <c r="E103" s="798"/>
      <c r="F103" s="778"/>
      <c r="G103" s="779"/>
      <c r="H103" s="774">
        <v>1</v>
      </c>
      <c r="I103" s="775">
        <v>3.16</v>
      </c>
      <c r="J103" s="776">
        <v>9</v>
      </c>
      <c r="K103" s="780">
        <v>3.16</v>
      </c>
      <c r="L103" s="777">
        <v>5</v>
      </c>
      <c r="M103" s="777">
        <v>44</v>
      </c>
      <c r="N103" s="781">
        <v>14.66</v>
      </c>
      <c r="O103" s="777" t="s">
        <v>4826</v>
      </c>
      <c r="P103" s="796" t="s">
        <v>5022</v>
      </c>
      <c r="Q103" s="782">
        <f t="shared" si="5"/>
        <v>0</v>
      </c>
      <c r="R103" s="782">
        <f t="shared" si="5"/>
        <v>-0.5299999999999998</v>
      </c>
      <c r="S103" s="793">
        <f t="shared" si="6"/>
        <v>14.66</v>
      </c>
      <c r="T103" s="793">
        <f t="shared" si="7"/>
        <v>9</v>
      </c>
      <c r="U103" s="793">
        <f t="shared" si="8"/>
        <v>-5.66</v>
      </c>
      <c r="V103" s="797">
        <f t="shared" si="9"/>
        <v>0.61391541609822642</v>
      </c>
      <c r="W103" s="783"/>
    </row>
    <row r="104" spans="1:23" ht="14.4" customHeight="1" x14ac:dyDescent="0.3">
      <c r="A104" s="844" t="s">
        <v>5023</v>
      </c>
      <c r="B104" s="828">
        <v>3</v>
      </c>
      <c r="C104" s="829">
        <v>9.4700000000000006</v>
      </c>
      <c r="D104" s="799">
        <v>11.7</v>
      </c>
      <c r="E104" s="830">
        <v>3</v>
      </c>
      <c r="F104" s="831">
        <v>10.4</v>
      </c>
      <c r="G104" s="784">
        <v>10.3</v>
      </c>
      <c r="H104" s="832">
        <v>2</v>
      </c>
      <c r="I104" s="833">
        <v>6.32</v>
      </c>
      <c r="J104" s="787">
        <v>7.5</v>
      </c>
      <c r="K104" s="834">
        <v>3.16</v>
      </c>
      <c r="L104" s="835">
        <v>5</v>
      </c>
      <c r="M104" s="835">
        <v>44</v>
      </c>
      <c r="N104" s="836">
        <v>14.66</v>
      </c>
      <c r="O104" s="835" t="s">
        <v>4826</v>
      </c>
      <c r="P104" s="837" t="s">
        <v>5024</v>
      </c>
      <c r="Q104" s="838">
        <f t="shared" si="5"/>
        <v>-1</v>
      </c>
      <c r="R104" s="838">
        <f t="shared" si="5"/>
        <v>-3.1500000000000004</v>
      </c>
      <c r="S104" s="828">
        <f t="shared" si="6"/>
        <v>29.32</v>
      </c>
      <c r="T104" s="828">
        <f t="shared" si="7"/>
        <v>15</v>
      </c>
      <c r="U104" s="828">
        <f t="shared" si="8"/>
        <v>-14.32</v>
      </c>
      <c r="V104" s="839">
        <f t="shared" si="9"/>
        <v>0.51159618008185537</v>
      </c>
      <c r="W104" s="786"/>
    </row>
    <row r="105" spans="1:23" ht="14.4" customHeight="1" x14ac:dyDescent="0.3">
      <c r="A105" s="844" t="s">
        <v>5025</v>
      </c>
      <c r="B105" s="828"/>
      <c r="C105" s="829"/>
      <c r="D105" s="799"/>
      <c r="E105" s="830">
        <v>3</v>
      </c>
      <c r="F105" s="831">
        <v>18.760000000000002</v>
      </c>
      <c r="G105" s="784">
        <v>17</v>
      </c>
      <c r="H105" s="832">
        <v>3</v>
      </c>
      <c r="I105" s="833">
        <v>16.940000000000001</v>
      </c>
      <c r="J105" s="787">
        <v>14</v>
      </c>
      <c r="K105" s="834">
        <v>5.65</v>
      </c>
      <c r="L105" s="835">
        <v>8</v>
      </c>
      <c r="M105" s="835">
        <v>75</v>
      </c>
      <c r="N105" s="836">
        <v>24.87</v>
      </c>
      <c r="O105" s="835" t="s">
        <v>4826</v>
      </c>
      <c r="P105" s="837" t="s">
        <v>5026</v>
      </c>
      <c r="Q105" s="838">
        <f t="shared" si="5"/>
        <v>3</v>
      </c>
      <c r="R105" s="838">
        <f t="shared" si="5"/>
        <v>16.940000000000001</v>
      </c>
      <c r="S105" s="828">
        <f t="shared" si="6"/>
        <v>74.61</v>
      </c>
      <c r="T105" s="828">
        <f t="shared" si="7"/>
        <v>42</v>
      </c>
      <c r="U105" s="828">
        <f t="shared" si="8"/>
        <v>-32.61</v>
      </c>
      <c r="V105" s="839">
        <f t="shared" si="9"/>
        <v>0.56292722155207076</v>
      </c>
      <c r="W105" s="786"/>
    </row>
    <row r="106" spans="1:23" ht="14.4" customHeight="1" x14ac:dyDescent="0.3">
      <c r="A106" s="843" t="s">
        <v>5027</v>
      </c>
      <c r="B106" s="793">
        <v>1</v>
      </c>
      <c r="C106" s="794">
        <v>16.3</v>
      </c>
      <c r="D106" s="795">
        <v>18</v>
      </c>
      <c r="E106" s="798">
        <v>1</v>
      </c>
      <c r="F106" s="778">
        <v>16.23</v>
      </c>
      <c r="G106" s="779">
        <v>21</v>
      </c>
      <c r="H106" s="774">
        <v>2</v>
      </c>
      <c r="I106" s="775">
        <v>33.869999999999997</v>
      </c>
      <c r="J106" s="776">
        <v>23</v>
      </c>
      <c r="K106" s="780">
        <v>16.940000000000001</v>
      </c>
      <c r="L106" s="777">
        <v>10</v>
      </c>
      <c r="M106" s="777">
        <v>93</v>
      </c>
      <c r="N106" s="781">
        <v>31.16</v>
      </c>
      <c r="O106" s="777" t="s">
        <v>4826</v>
      </c>
      <c r="P106" s="796" t="s">
        <v>5028</v>
      </c>
      <c r="Q106" s="782">
        <f t="shared" si="5"/>
        <v>1</v>
      </c>
      <c r="R106" s="782">
        <f t="shared" si="5"/>
        <v>17.569999999999997</v>
      </c>
      <c r="S106" s="793">
        <f t="shared" si="6"/>
        <v>62.32</v>
      </c>
      <c r="T106" s="793">
        <f t="shared" si="7"/>
        <v>46</v>
      </c>
      <c r="U106" s="793">
        <f t="shared" si="8"/>
        <v>-16.32</v>
      </c>
      <c r="V106" s="797">
        <f t="shared" si="9"/>
        <v>0.73812580231065472</v>
      </c>
      <c r="W106" s="783"/>
    </row>
    <row r="107" spans="1:23" ht="14.4" customHeight="1" x14ac:dyDescent="0.3">
      <c r="A107" s="843" t="s">
        <v>5029</v>
      </c>
      <c r="B107" s="793"/>
      <c r="C107" s="794"/>
      <c r="D107" s="795"/>
      <c r="E107" s="798">
        <v>2</v>
      </c>
      <c r="F107" s="778">
        <v>1.31</v>
      </c>
      <c r="G107" s="779">
        <v>2</v>
      </c>
      <c r="H107" s="774"/>
      <c r="I107" s="775"/>
      <c r="J107" s="776"/>
      <c r="K107" s="780">
        <v>0.86</v>
      </c>
      <c r="L107" s="777">
        <v>3</v>
      </c>
      <c r="M107" s="777">
        <v>27</v>
      </c>
      <c r="N107" s="781">
        <v>9.1199999999999992</v>
      </c>
      <c r="O107" s="777" t="s">
        <v>4826</v>
      </c>
      <c r="P107" s="796" t="s">
        <v>5030</v>
      </c>
      <c r="Q107" s="782">
        <f t="shared" si="5"/>
        <v>0</v>
      </c>
      <c r="R107" s="782">
        <f t="shared" si="5"/>
        <v>0</v>
      </c>
      <c r="S107" s="793" t="str">
        <f t="shared" si="6"/>
        <v/>
      </c>
      <c r="T107" s="793" t="str">
        <f t="shared" si="7"/>
        <v/>
      </c>
      <c r="U107" s="793" t="str">
        <f t="shared" si="8"/>
        <v/>
      </c>
      <c r="V107" s="797" t="str">
        <f t="shared" si="9"/>
        <v/>
      </c>
      <c r="W107" s="783"/>
    </row>
    <row r="108" spans="1:23" ht="14.4" customHeight="1" x14ac:dyDescent="0.3">
      <c r="A108" s="844" t="s">
        <v>5031</v>
      </c>
      <c r="B108" s="828">
        <v>4</v>
      </c>
      <c r="C108" s="829">
        <v>3.92</v>
      </c>
      <c r="D108" s="799">
        <v>5.5</v>
      </c>
      <c r="E108" s="830">
        <v>3</v>
      </c>
      <c r="F108" s="831">
        <v>2.6</v>
      </c>
      <c r="G108" s="784">
        <v>3</v>
      </c>
      <c r="H108" s="832">
        <v>6</v>
      </c>
      <c r="I108" s="833">
        <v>5.19</v>
      </c>
      <c r="J108" s="787">
        <v>4.3</v>
      </c>
      <c r="K108" s="834">
        <v>0.86</v>
      </c>
      <c r="L108" s="835">
        <v>3</v>
      </c>
      <c r="M108" s="835">
        <v>27</v>
      </c>
      <c r="N108" s="836">
        <v>9.1199999999999992</v>
      </c>
      <c r="O108" s="835" t="s">
        <v>4826</v>
      </c>
      <c r="P108" s="837" t="s">
        <v>5032</v>
      </c>
      <c r="Q108" s="838">
        <f t="shared" si="5"/>
        <v>2</v>
      </c>
      <c r="R108" s="838">
        <f t="shared" si="5"/>
        <v>1.2700000000000005</v>
      </c>
      <c r="S108" s="828">
        <f t="shared" si="6"/>
        <v>54.72</v>
      </c>
      <c r="T108" s="828">
        <f t="shared" si="7"/>
        <v>25.799999999999997</v>
      </c>
      <c r="U108" s="828">
        <f t="shared" si="8"/>
        <v>-28.92</v>
      </c>
      <c r="V108" s="839">
        <f t="shared" si="9"/>
        <v>0.47149122807017541</v>
      </c>
      <c r="W108" s="786"/>
    </row>
    <row r="109" spans="1:23" ht="14.4" customHeight="1" x14ac:dyDescent="0.3">
      <c r="A109" s="844" t="s">
        <v>5033</v>
      </c>
      <c r="B109" s="828">
        <v>3</v>
      </c>
      <c r="C109" s="829">
        <v>4.13</v>
      </c>
      <c r="D109" s="799">
        <v>5.7</v>
      </c>
      <c r="E109" s="830">
        <v>4</v>
      </c>
      <c r="F109" s="831">
        <v>7.04</v>
      </c>
      <c r="G109" s="784">
        <v>11</v>
      </c>
      <c r="H109" s="832">
        <v>3</v>
      </c>
      <c r="I109" s="833">
        <v>5.29</v>
      </c>
      <c r="J109" s="785">
        <v>16</v>
      </c>
      <c r="K109" s="834">
        <v>1.7</v>
      </c>
      <c r="L109" s="835">
        <v>5</v>
      </c>
      <c r="M109" s="835">
        <v>45</v>
      </c>
      <c r="N109" s="836">
        <v>14.97</v>
      </c>
      <c r="O109" s="835" t="s">
        <v>4826</v>
      </c>
      <c r="P109" s="837" t="s">
        <v>5034</v>
      </c>
      <c r="Q109" s="838">
        <f t="shared" si="5"/>
        <v>0</v>
      </c>
      <c r="R109" s="838">
        <f t="shared" si="5"/>
        <v>1.1600000000000001</v>
      </c>
      <c r="S109" s="828">
        <f t="shared" si="6"/>
        <v>44.910000000000004</v>
      </c>
      <c r="T109" s="828">
        <f t="shared" si="7"/>
        <v>48</v>
      </c>
      <c r="U109" s="828">
        <f t="shared" si="8"/>
        <v>3.0899999999999963</v>
      </c>
      <c r="V109" s="839">
        <f t="shared" si="9"/>
        <v>1.0688042752171008</v>
      </c>
      <c r="W109" s="786">
        <v>22</v>
      </c>
    </row>
    <row r="110" spans="1:23" ht="14.4" customHeight="1" x14ac:dyDescent="0.3">
      <c r="A110" s="843" t="s">
        <v>5035</v>
      </c>
      <c r="B110" s="793"/>
      <c r="C110" s="794"/>
      <c r="D110" s="795"/>
      <c r="E110" s="798">
        <v>1</v>
      </c>
      <c r="F110" s="778">
        <v>0.65</v>
      </c>
      <c r="G110" s="779">
        <v>2</v>
      </c>
      <c r="H110" s="774">
        <v>1</v>
      </c>
      <c r="I110" s="775">
        <v>0.94</v>
      </c>
      <c r="J110" s="776">
        <v>5</v>
      </c>
      <c r="K110" s="780">
        <v>0.94</v>
      </c>
      <c r="L110" s="777">
        <v>3</v>
      </c>
      <c r="M110" s="777">
        <v>31</v>
      </c>
      <c r="N110" s="781">
        <v>10.26</v>
      </c>
      <c r="O110" s="777" t="s">
        <v>4826</v>
      </c>
      <c r="P110" s="796" t="s">
        <v>5036</v>
      </c>
      <c r="Q110" s="782">
        <f t="shared" si="5"/>
        <v>1</v>
      </c>
      <c r="R110" s="782">
        <f t="shared" si="5"/>
        <v>0.94</v>
      </c>
      <c r="S110" s="793">
        <f t="shared" si="6"/>
        <v>10.26</v>
      </c>
      <c r="T110" s="793">
        <f t="shared" si="7"/>
        <v>5</v>
      </c>
      <c r="U110" s="793">
        <f t="shared" si="8"/>
        <v>-5.26</v>
      </c>
      <c r="V110" s="797">
        <f t="shared" si="9"/>
        <v>0.48732943469785578</v>
      </c>
      <c r="W110" s="783"/>
    </row>
    <row r="111" spans="1:23" ht="14.4" customHeight="1" x14ac:dyDescent="0.3">
      <c r="A111" s="844" t="s">
        <v>5037</v>
      </c>
      <c r="B111" s="828"/>
      <c r="C111" s="829"/>
      <c r="D111" s="799"/>
      <c r="E111" s="830"/>
      <c r="F111" s="831"/>
      <c r="G111" s="784"/>
      <c r="H111" s="832">
        <v>1</v>
      </c>
      <c r="I111" s="833">
        <v>0.94</v>
      </c>
      <c r="J111" s="785">
        <v>16</v>
      </c>
      <c r="K111" s="834">
        <v>0.94</v>
      </c>
      <c r="L111" s="835">
        <v>3</v>
      </c>
      <c r="M111" s="835">
        <v>31</v>
      </c>
      <c r="N111" s="836">
        <v>10.26</v>
      </c>
      <c r="O111" s="835" t="s">
        <v>4826</v>
      </c>
      <c r="P111" s="837" t="s">
        <v>5038</v>
      </c>
      <c r="Q111" s="838">
        <f t="shared" si="5"/>
        <v>1</v>
      </c>
      <c r="R111" s="838">
        <f t="shared" si="5"/>
        <v>0.94</v>
      </c>
      <c r="S111" s="828">
        <f t="shared" si="6"/>
        <v>10.26</v>
      </c>
      <c r="T111" s="828">
        <f t="shared" si="7"/>
        <v>16</v>
      </c>
      <c r="U111" s="828">
        <f t="shared" si="8"/>
        <v>5.74</v>
      </c>
      <c r="V111" s="839">
        <f t="shared" si="9"/>
        <v>1.5594541910331385</v>
      </c>
      <c r="W111" s="786">
        <v>6</v>
      </c>
    </row>
    <row r="112" spans="1:23" ht="14.4" customHeight="1" x14ac:dyDescent="0.3">
      <c r="A112" s="843" t="s">
        <v>5039</v>
      </c>
      <c r="B112" s="788">
        <v>2</v>
      </c>
      <c r="C112" s="789">
        <v>1.99</v>
      </c>
      <c r="D112" s="790">
        <v>6</v>
      </c>
      <c r="E112" s="798">
        <v>2</v>
      </c>
      <c r="F112" s="778">
        <v>1.98</v>
      </c>
      <c r="G112" s="779">
        <v>3.5</v>
      </c>
      <c r="H112" s="777">
        <v>2</v>
      </c>
      <c r="I112" s="778">
        <v>2.08</v>
      </c>
      <c r="J112" s="779">
        <v>4</v>
      </c>
      <c r="K112" s="780">
        <v>1</v>
      </c>
      <c r="L112" s="777">
        <v>2</v>
      </c>
      <c r="M112" s="777">
        <v>19</v>
      </c>
      <c r="N112" s="781">
        <v>6.33</v>
      </c>
      <c r="O112" s="777" t="s">
        <v>4826</v>
      </c>
      <c r="P112" s="796" t="s">
        <v>5040</v>
      </c>
      <c r="Q112" s="782">
        <f t="shared" si="5"/>
        <v>0</v>
      </c>
      <c r="R112" s="782">
        <f t="shared" si="5"/>
        <v>9.000000000000008E-2</v>
      </c>
      <c r="S112" s="793">
        <f t="shared" si="6"/>
        <v>12.66</v>
      </c>
      <c r="T112" s="793">
        <f t="shared" si="7"/>
        <v>8</v>
      </c>
      <c r="U112" s="793">
        <f t="shared" si="8"/>
        <v>-4.66</v>
      </c>
      <c r="V112" s="797">
        <f t="shared" si="9"/>
        <v>0.63191153238546605</v>
      </c>
      <c r="W112" s="783"/>
    </row>
    <row r="113" spans="1:23" ht="14.4" customHeight="1" x14ac:dyDescent="0.3">
      <c r="A113" s="844" t="s">
        <v>5041</v>
      </c>
      <c r="B113" s="840">
        <v>4</v>
      </c>
      <c r="C113" s="841">
        <v>8.32</v>
      </c>
      <c r="D113" s="791">
        <v>8.5</v>
      </c>
      <c r="E113" s="830"/>
      <c r="F113" s="831"/>
      <c r="G113" s="784"/>
      <c r="H113" s="835">
        <v>1</v>
      </c>
      <c r="I113" s="831">
        <v>2.04</v>
      </c>
      <c r="J113" s="784">
        <v>7</v>
      </c>
      <c r="K113" s="834">
        <v>2.04</v>
      </c>
      <c r="L113" s="835">
        <v>4</v>
      </c>
      <c r="M113" s="835">
        <v>39</v>
      </c>
      <c r="N113" s="836">
        <v>12.84</v>
      </c>
      <c r="O113" s="835" t="s">
        <v>4826</v>
      </c>
      <c r="P113" s="837" t="s">
        <v>5042</v>
      </c>
      <c r="Q113" s="838">
        <f t="shared" si="5"/>
        <v>-3</v>
      </c>
      <c r="R113" s="838">
        <f t="shared" si="5"/>
        <v>-6.28</v>
      </c>
      <c r="S113" s="828">
        <f t="shared" si="6"/>
        <v>12.84</v>
      </c>
      <c r="T113" s="828">
        <f t="shared" si="7"/>
        <v>7</v>
      </c>
      <c r="U113" s="828">
        <f t="shared" si="8"/>
        <v>-5.84</v>
      </c>
      <c r="V113" s="839">
        <f t="shared" si="9"/>
        <v>0.54517133956386299</v>
      </c>
      <c r="W113" s="786"/>
    </row>
    <row r="114" spans="1:23" ht="14.4" customHeight="1" x14ac:dyDescent="0.3">
      <c r="A114" s="844" t="s">
        <v>5043</v>
      </c>
      <c r="B114" s="840">
        <v>1</v>
      </c>
      <c r="C114" s="841">
        <v>24.46</v>
      </c>
      <c r="D114" s="791">
        <v>17</v>
      </c>
      <c r="E114" s="830">
        <v>1</v>
      </c>
      <c r="F114" s="831">
        <v>4.0999999999999996</v>
      </c>
      <c r="G114" s="784">
        <v>16</v>
      </c>
      <c r="H114" s="835"/>
      <c r="I114" s="831"/>
      <c r="J114" s="784"/>
      <c r="K114" s="834">
        <v>4.25</v>
      </c>
      <c r="L114" s="835">
        <v>7</v>
      </c>
      <c r="M114" s="835">
        <v>60</v>
      </c>
      <c r="N114" s="836">
        <v>20.079999999999998</v>
      </c>
      <c r="O114" s="835" t="s">
        <v>4826</v>
      </c>
      <c r="P114" s="837" t="s">
        <v>5044</v>
      </c>
      <c r="Q114" s="838">
        <f t="shared" si="5"/>
        <v>-1</v>
      </c>
      <c r="R114" s="838">
        <f t="shared" si="5"/>
        <v>-24.46</v>
      </c>
      <c r="S114" s="828" t="str">
        <f t="shared" si="6"/>
        <v/>
      </c>
      <c r="T114" s="828" t="str">
        <f t="shared" si="7"/>
        <v/>
      </c>
      <c r="U114" s="828" t="str">
        <f t="shared" si="8"/>
        <v/>
      </c>
      <c r="V114" s="839" t="str">
        <f t="shared" si="9"/>
        <v/>
      </c>
      <c r="W114" s="786"/>
    </row>
    <row r="115" spans="1:23" ht="14.4" customHeight="1" x14ac:dyDescent="0.3">
      <c r="A115" s="843" t="s">
        <v>5045</v>
      </c>
      <c r="B115" s="793"/>
      <c r="C115" s="794"/>
      <c r="D115" s="795"/>
      <c r="E115" s="798">
        <v>1</v>
      </c>
      <c r="F115" s="778">
        <v>0.62</v>
      </c>
      <c r="G115" s="779">
        <v>4</v>
      </c>
      <c r="H115" s="774">
        <v>1</v>
      </c>
      <c r="I115" s="775">
        <v>1.6</v>
      </c>
      <c r="J115" s="792">
        <v>9</v>
      </c>
      <c r="K115" s="780">
        <v>0.57999999999999996</v>
      </c>
      <c r="L115" s="777">
        <v>2</v>
      </c>
      <c r="M115" s="777">
        <v>15</v>
      </c>
      <c r="N115" s="781">
        <v>5.03</v>
      </c>
      <c r="O115" s="777" t="s">
        <v>4826</v>
      </c>
      <c r="P115" s="796" t="s">
        <v>5046</v>
      </c>
      <c r="Q115" s="782">
        <f t="shared" si="5"/>
        <v>1</v>
      </c>
      <c r="R115" s="782">
        <f t="shared" si="5"/>
        <v>1.6</v>
      </c>
      <c r="S115" s="793">
        <f t="shared" si="6"/>
        <v>5.03</v>
      </c>
      <c r="T115" s="793">
        <f t="shared" si="7"/>
        <v>9</v>
      </c>
      <c r="U115" s="793">
        <f t="shared" si="8"/>
        <v>3.9699999999999998</v>
      </c>
      <c r="V115" s="797">
        <f t="shared" si="9"/>
        <v>1.7892644135188867</v>
      </c>
      <c r="W115" s="783">
        <v>4</v>
      </c>
    </row>
    <row r="116" spans="1:23" ht="14.4" customHeight="1" thickBot="1" x14ac:dyDescent="0.35">
      <c r="A116" s="845" t="s">
        <v>5047</v>
      </c>
      <c r="B116" s="846">
        <v>1</v>
      </c>
      <c r="C116" s="847">
        <v>1.95</v>
      </c>
      <c r="D116" s="848">
        <v>25</v>
      </c>
      <c r="E116" s="849"/>
      <c r="F116" s="850"/>
      <c r="G116" s="851"/>
      <c r="H116" s="852"/>
      <c r="I116" s="853"/>
      <c r="J116" s="854"/>
      <c r="K116" s="855">
        <v>1.95</v>
      </c>
      <c r="L116" s="856">
        <v>5</v>
      </c>
      <c r="M116" s="856">
        <v>45</v>
      </c>
      <c r="N116" s="857">
        <v>14.96</v>
      </c>
      <c r="O116" s="856" t="s">
        <v>4826</v>
      </c>
      <c r="P116" s="858" t="s">
        <v>5048</v>
      </c>
      <c r="Q116" s="859">
        <f t="shared" si="5"/>
        <v>-1</v>
      </c>
      <c r="R116" s="859">
        <f t="shared" si="5"/>
        <v>-1.95</v>
      </c>
      <c r="S116" s="846" t="str">
        <f t="shared" si="6"/>
        <v/>
      </c>
      <c r="T116" s="846" t="str">
        <f t="shared" si="7"/>
        <v/>
      </c>
      <c r="U116" s="846" t="str">
        <f t="shared" si="8"/>
        <v/>
      </c>
      <c r="V116" s="860" t="str">
        <f t="shared" si="9"/>
        <v/>
      </c>
      <c r="W116" s="861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17:Q1048576">
    <cfRule type="cellIs" dxfId="12" priority="9" stopIfTrue="1" operator="lessThan">
      <formula>0</formula>
    </cfRule>
  </conditionalFormatting>
  <conditionalFormatting sqref="U117:U1048576">
    <cfRule type="cellIs" dxfId="11" priority="8" stopIfTrue="1" operator="greaterThan">
      <formula>0</formula>
    </cfRule>
  </conditionalFormatting>
  <conditionalFormatting sqref="V117:V1048576">
    <cfRule type="cellIs" dxfId="10" priority="7" stopIfTrue="1" operator="greaterThan">
      <formula>1</formula>
    </cfRule>
  </conditionalFormatting>
  <conditionalFormatting sqref="V117:V1048576">
    <cfRule type="cellIs" dxfId="9" priority="4" stopIfTrue="1" operator="greaterThan">
      <formula>1</formula>
    </cfRule>
  </conditionalFormatting>
  <conditionalFormatting sqref="U117:U1048576">
    <cfRule type="cellIs" dxfId="8" priority="5" stopIfTrue="1" operator="greaterThan">
      <formula>0</formula>
    </cfRule>
  </conditionalFormatting>
  <conditionalFormatting sqref="Q117:Q1048576">
    <cfRule type="cellIs" dxfId="7" priority="6" stopIfTrue="1" operator="lessThan">
      <formula>0</formula>
    </cfRule>
  </conditionalFormatting>
  <conditionalFormatting sqref="V5:V116">
    <cfRule type="cellIs" dxfId="6" priority="1" stopIfTrue="1" operator="greaterThan">
      <formula>1</formula>
    </cfRule>
  </conditionalFormatting>
  <conditionalFormatting sqref="U5:U116">
    <cfRule type="cellIs" dxfId="5" priority="2" stopIfTrue="1" operator="greaterThan">
      <formula>0</formula>
    </cfRule>
  </conditionalFormatting>
  <conditionalFormatting sqref="Q5:Q116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7" customWidth="1"/>
    <col min="2" max="2" width="7.77734375" style="222" customWidth="1"/>
    <col min="3" max="3" width="7.21875" style="257" hidden="1" customWidth="1"/>
    <col min="4" max="4" width="7.77734375" style="222" customWidth="1"/>
    <col min="5" max="5" width="7.2187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7.21875" style="257" hidden="1" customWidth="1"/>
    <col min="10" max="10" width="7.77734375" style="222" customWidth="1"/>
    <col min="11" max="11" width="7.21875" style="257" hidden="1" customWidth="1"/>
    <col min="12" max="12" width="7.77734375" style="222" customWidth="1"/>
    <col min="13" max="13" width="7.77734375" style="343" customWidth="1"/>
    <col min="14" max="16384" width="8.88671875" style="257"/>
  </cols>
  <sheetData>
    <row r="1" spans="1:13" ht="18.600000000000001" customHeight="1" thickBot="1" x14ac:dyDescent="0.4">
      <c r="A1" s="467" t="s">
        <v>159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</row>
    <row r="3" spans="1:13" ht="14.4" customHeight="1" thickBot="1" x14ac:dyDescent="0.35">
      <c r="A3" s="353" t="s">
        <v>160</v>
      </c>
      <c r="B3" s="354">
        <f>SUBTOTAL(9,B6:B1048576)</f>
        <v>1346209</v>
      </c>
      <c r="C3" s="355">
        <f t="shared" ref="C3:L3" si="0">SUBTOTAL(9,C6:C1048576)</f>
        <v>7</v>
      </c>
      <c r="D3" s="355">
        <f t="shared" si="0"/>
        <v>1517831</v>
      </c>
      <c r="E3" s="355">
        <f t="shared" si="0"/>
        <v>11.628224852664397</v>
      </c>
      <c r="F3" s="355">
        <f t="shared" si="0"/>
        <v>1665594</v>
      </c>
      <c r="G3" s="358">
        <f>IF(B3&lt;&gt;0,F3/B3,"")</f>
        <v>1.2372477081938986</v>
      </c>
      <c r="H3" s="354">
        <f t="shared" si="0"/>
        <v>90320.03</v>
      </c>
      <c r="I3" s="355">
        <f t="shared" si="0"/>
        <v>2</v>
      </c>
      <c r="J3" s="355">
        <f t="shared" si="0"/>
        <v>95974.390000000014</v>
      </c>
      <c r="K3" s="355">
        <f t="shared" si="0"/>
        <v>2.0940468441145605</v>
      </c>
      <c r="L3" s="355">
        <f t="shared" si="0"/>
        <v>274798.05</v>
      </c>
      <c r="M3" s="356">
        <f>IF(H3&lt;&gt;0,L3/H3,"")</f>
        <v>3.042492899969143</v>
      </c>
    </row>
    <row r="4" spans="1:13" ht="14.4" customHeight="1" x14ac:dyDescent="0.3">
      <c r="A4" s="576" t="s">
        <v>118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</row>
    <row r="5" spans="1:13" s="341" customFormat="1" ht="14.4" customHeight="1" thickBot="1" x14ac:dyDescent="0.35">
      <c r="A5" s="862"/>
      <c r="B5" s="863">
        <v>2012</v>
      </c>
      <c r="C5" s="864"/>
      <c r="D5" s="864">
        <v>2013</v>
      </c>
      <c r="E5" s="864"/>
      <c r="F5" s="864">
        <v>2014</v>
      </c>
      <c r="G5" s="754" t="s">
        <v>2</v>
      </c>
      <c r="H5" s="863">
        <v>2012</v>
      </c>
      <c r="I5" s="864"/>
      <c r="J5" s="864">
        <v>2013</v>
      </c>
      <c r="K5" s="864"/>
      <c r="L5" s="864">
        <v>2014</v>
      </c>
      <c r="M5" s="754" t="s">
        <v>2</v>
      </c>
    </row>
    <row r="6" spans="1:13" ht="14.4" customHeight="1" x14ac:dyDescent="0.3">
      <c r="A6" s="656" t="s">
        <v>3761</v>
      </c>
      <c r="B6" s="755"/>
      <c r="C6" s="625"/>
      <c r="D6" s="755">
        <v>126</v>
      </c>
      <c r="E6" s="625"/>
      <c r="F6" s="755"/>
      <c r="G6" s="646"/>
      <c r="H6" s="755"/>
      <c r="I6" s="625"/>
      <c r="J6" s="755"/>
      <c r="K6" s="625"/>
      <c r="L6" s="755"/>
      <c r="M6" s="678"/>
    </row>
    <row r="7" spans="1:13" ht="14.4" customHeight="1" x14ac:dyDescent="0.3">
      <c r="A7" s="718" t="s">
        <v>5050</v>
      </c>
      <c r="B7" s="756">
        <v>18982</v>
      </c>
      <c r="C7" s="696">
        <v>1</v>
      </c>
      <c r="D7" s="756">
        <v>34640</v>
      </c>
      <c r="E7" s="696">
        <v>1.8248867348013909</v>
      </c>
      <c r="F7" s="756">
        <v>26316</v>
      </c>
      <c r="G7" s="701">
        <v>1.3863660309767147</v>
      </c>
      <c r="H7" s="756">
        <v>51592.34</v>
      </c>
      <c r="I7" s="696">
        <v>1</v>
      </c>
      <c r="J7" s="756">
        <v>59661.83</v>
      </c>
      <c r="K7" s="696">
        <v>1.1564086839247842</v>
      </c>
      <c r="L7" s="756">
        <v>42679.26</v>
      </c>
      <c r="M7" s="702">
        <v>0.82724024535425233</v>
      </c>
    </row>
    <row r="8" spans="1:13" ht="14.4" customHeight="1" x14ac:dyDescent="0.3">
      <c r="A8" s="718" t="s">
        <v>5051</v>
      </c>
      <c r="B8" s="756">
        <v>97810</v>
      </c>
      <c r="C8" s="696">
        <v>1</v>
      </c>
      <c r="D8" s="756">
        <v>86006</v>
      </c>
      <c r="E8" s="696">
        <v>0.8793170432471118</v>
      </c>
      <c r="F8" s="756">
        <v>102256</v>
      </c>
      <c r="G8" s="701">
        <v>1.0454554749003169</v>
      </c>
      <c r="H8" s="756"/>
      <c r="I8" s="696"/>
      <c r="J8" s="756"/>
      <c r="K8" s="696"/>
      <c r="L8" s="756"/>
      <c r="M8" s="702"/>
    </row>
    <row r="9" spans="1:13" ht="14.4" customHeight="1" x14ac:dyDescent="0.3">
      <c r="A9" s="718" t="s">
        <v>5052</v>
      </c>
      <c r="B9" s="756">
        <v>208949</v>
      </c>
      <c r="C9" s="696">
        <v>1</v>
      </c>
      <c r="D9" s="756">
        <v>246447</v>
      </c>
      <c r="E9" s="696">
        <v>1.1794600596317761</v>
      </c>
      <c r="F9" s="756">
        <v>239134</v>
      </c>
      <c r="G9" s="701">
        <v>1.1444610885909958</v>
      </c>
      <c r="H9" s="756"/>
      <c r="I9" s="696"/>
      <c r="J9" s="756"/>
      <c r="K9" s="696"/>
      <c r="L9" s="756"/>
      <c r="M9" s="702"/>
    </row>
    <row r="10" spans="1:13" ht="14.4" customHeight="1" x14ac:dyDescent="0.3">
      <c r="A10" s="718" t="s">
        <v>5053</v>
      </c>
      <c r="B10" s="756">
        <v>809237</v>
      </c>
      <c r="C10" s="696">
        <v>1</v>
      </c>
      <c r="D10" s="756">
        <v>935669</v>
      </c>
      <c r="E10" s="696">
        <v>1.1562360593991625</v>
      </c>
      <c r="F10" s="756">
        <v>1086351</v>
      </c>
      <c r="G10" s="701">
        <v>1.3424386181056971</v>
      </c>
      <c r="H10" s="756">
        <v>38727.69</v>
      </c>
      <c r="I10" s="696">
        <v>1</v>
      </c>
      <c r="J10" s="756">
        <v>36312.560000000005</v>
      </c>
      <c r="K10" s="696">
        <v>0.93763816018977642</v>
      </c>
      <c r="L10" s="756">
        <v>232118.78999999998</v>
      </c>
      <c r="M10" s="702">
        <v>5.9936130969856443</v>
      </c>
    </row>
    <row r="11" spans="1:13" ht="14.4" customHeight="1" x14ac:dyDescent="0.3">
      <c r="A11" s="718" t="s">
        <v>5054</v>
      </c>
      <c r="B11" s="756">
        <v>130781</v>
      </c>
      <c r="C11" s="696">
        <v>1</v>
      </c>
      <c r="D11" s="756">
        <v>128926</v>
      </c>
      <c r="E11" s="696">
        <v>0.98581598244393298</v>
      </c>
      <c r="F11" s="756">
        <v>121660</v>
      </c>
      <c r="G11" s="701">
        <v>0.93025745329979126</v>
      </c>
      <c r="H11" s="756"/>
      <c r="I11" s="696"/>
      <c r="J11" s="756"/>
      <c r="K11" s="696"/>
      <c r="L11" s="756"/>
      <c r="M11" s="702"/>
    </row>
    <row r="12" spans="1:13" ht="14.4" customHeight="1" x14ac:dyDescent="0.3">
      <c r="A12" s="718" t="s">
        <v>5055</v>
      </c>
      <c r="B12" s="756">
        <v>4843</v>
      </c>
      <c r="C12" s="696">
        <v>1</v>
      </c>
      <c r="D12" s="756">
        <v>23103</v>
      </c>
      <c r="E12" s="696">
        <v>4.7703902539748091</v>
      </c>
      <c r="F12" s="756">
        <v>17521</v>
      </c>
      <c r="G12" s="701">
        <v>3.6177988849886433</v>
      </c>
      <c r="H12" s="756"/>
      <c r="I12" s="696"/>
      <c r="J12" s="756"/>
      <c r="K12" s="696"/>
      <c r="L12" s="756"/>
      <c r="M12" s="702"/>
    </row>
    <row r="13" spans="1:13" ht="14.4" customHeight="1" thickBot="1" x14ac:dyDescent="0.35">
      <c r="A13" s="758" t="s">
        <v>5056</v>
      </c>
      <c r="B13" s="757">
        <v>75607</v>
      </c>
      <c r="C13" s="704">
        <v>1</v>
      </c>
      <c r="D13" s="757">
        <v>62914</v>
      </c>
      <c r="E13" s="704">
        <v>0.83211871916621472</v>
      </c>
      <c r="F13" s="757">
        <v>72356</v>
      </c>
      <c r="G13" s="709">
        <v>0.95700133585514569</v>
      </c>
      <c r="H13" s="757"/>
      <c r="I13" s="704"/>
      <c r="J13" s="757"/>
      <c r="K13" s="704"/>
      <c r="L13" s="757"/>
      <c r="M13" s="71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1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67" t="s">
        <v>5474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27"/>
      <c r="C2" s="227"/>
      <c r="D2" s="227"/>
      <c r="E2" s="227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0"/>
      <c r="Q2" s="363"/>
    </row>
    <row r="3" spans="1:17" ht="14.4" customHeight="1" thickBot="1" x14ac:dyDescent="0.35">
      <c r="E3" s="112" t="s">
        <v>160</v>
      </c>
      <c r="F3" s="214">
        <f t="shared" ref="F3:O3" si="0">SUBTOTAL(9,F6:F1048576)</f>
        <v>13631.23</v>
      </c>
      <c r="G3" s="218">
        <f t="shared" si="0"/>
        <v>1436529.03</v>
      </c>
      <c r="H3" s="219"/>
      <c r="I3" s="219"/>
      <c r="J3" s="214">
        <f t="shared" si="0"/>
        <v>13687.920000000002</v>
      </c>
      <c r="K3" s="218">
        <f t="shared" si="0"/>
        <v>1613805.3900000001</v>
      </c>
      <c r="L3" s="219"/>
      <c r="M3" s="219"/>
      <c r="N3" s="214">
        <f t="shared" si="0"/>
        <v>12027.279999999999</v>
      </c>
      <c r="O3" s="218">
        <f t="shared" si="0"/>
        <v>1940392.0499999998</v>
      </c>
      <c r="P3" s="181">
        <f>IF(G3=0,"",O3/G3)</f>
        <v>1.3507503221149662</v>
      </c>
      <c r="Q3" s="216">
        <f>IF(N3=0,"",O3/N3)</f>
        <v>161.33257478000013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90</v>
      </c>
      <c r="E4" s="534" t="s">
        <v>11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2"/>
      <c r="B5" s="761"/>
      <c r="C5" s="762"/>
      <c r="D5" s="763"/>
      <c r="E5" s="764"/>
      <c r="F5" s="770" t="s">
        <v>91</v>
      </c>
      <c r="G5" s="771" t="s">
        <v>14</v>
      </c>
      <c r="H5" s="772"/>
      <c r="I5" s="772"/>
      <c r="J5" s="770" t="s">
        <v>91</v>
      </c>
      <c r="K5" s="771" t="s">
        <v>14</v>
      </c>
      <c r="L5" s="772"/>
      <c r="M5" s="772"/>
      <c r="N5" s="770" t="s">
        <v>91</v>
      </c>
      <c r="O5" s="771" t="s">
        <v>14</v>
      </c>
      <c r="P5" s="773"/>
      <c r="Q5" s="769"/>
    </row>
    <row r="6" spans="1:17" ht="14.4" customHeight="1" x14ac:dyDescent="0.3">
      <c r="A6" s="624" t="s">
        <v>3781</v>
      </c>
      <c r="B6" s="625" t="s">
        <v>5057</v>
      </c>
      <c r="C6" s="625" t="s">
        <v>3589</v>
      </c>
      <c r="D6" s="625" t="s">
        <v>5058</v>
      </c>
      <c r="E6" s="625" t="s">
        <v>5059</v>
      </c>
      <c r="F6" s="628"/>
      <c r="G6" s="628"/>
      <c r="H6" s="628"/>
      <c r="I6" s="628"/>
      <c r="J6" s="628">
        <v>2</v>
      </c>
      <c r="K6" s="628">
        <v>126</v>
      </c>
      <c r="L6" s="628"/>
      <c r="M6" s="628">
        <v>63</v>
      </c>
      <c r="N6" s="628"/>
      <c r="O6" s="628"/>
      <c r="P6" s="646"/>
      <c r="Q6" s="629"/>
    </row>
    <row r="7" spans="1:17" ht="14.4" customHeight="1" x14ac:dyDescent="0.3">
      <c r="A7" s="695" t="s">
        <v>5060</v>
      </c>
      <c r="B7" s="696" t="s">
        <v>5061</v>
      </c>
      <c r="C7" s="696" t="s">
        <v>3598</v>
      </c>
      <c r="D7" s="696" t="s">
        <v>5062</v>
      </c>
      <c r="E7" s="696" t="s">
        <v>5063</v>
      </c>
      <c r="F7" s="711"/>
      <c r="G7" s="711"/>
      <c r="H7" s="711"/>
      <c r="I7" s="711"/>
      <c r="J7" s="711">
        <v>0.5</v>
      </c>
      <c r="K7" s="711">
        <v>1092.1600000000001</v>
      </c>
      <c r="L7" s="711"/>
      <c r="M7" s="711">
        <v>2184.3200000000002</v>
      </c>
      <c r="N7" s="711"/>
      <c r="O7" s="711"/>
      <c r="P7" s="701"/>
      <c r="Q7" s="712"/>
    </row>
    <row r="8" spans="1:17" ht="14.4" customHeight="1" x14ac:dyDescent="0.3">
      <c r="A8" s="695" t="s">
        <v>5060</v>
      </c>
      <c r="B8" s="696" t="s">
        <v>5061</v>
      </c>
      <c r="C8" s="696" t="s">
        <v>3889</v>
      </c>
      <c r="D8" s="696" t="s">
        <v>5064</v>
      </c>
      <c r="E8" s="696" t="s">
        <v>3584</v>
      </c>
      <c r="F8" s="711"/>
      <c r="G8" s="711"/>
      <c r="H8" s="711"/>
      <c r="I8" s="711"/>
      <c r="J8" s="711">
        <v>1000</v>
      </c>
      <c r="K8" s="711">
        <v>5530</v>
      </c>
      <c r="L8" s="711"/>
      <c r="M8" s="711">
        <v>5.53</v>
      </c>
      <c r="N8" s="711"/>
      <c r="O8" s="711"/>
      <c r="P8" s="701"/>
      <c r="Q8" s="712"/>
    </row>
    <row r="9" spans="1:17" ht="14.4" customHeight="1" x14ac:dyDescent="0.3">
      <c r="A9" s="695" t="s">
        <v>5060</v>
      </c>
      <c r="B9" s="696" t="s">
        <v>5061</v>
      </c>
      <c r="C9" s="696" t="s">
        <v>3889</v>
      </c>
      <c r="D9" s="696" t="s">
        <v>5065</v>
      </c>
      <c r="E9" s="696" t="s">
        <v>3584</v>
      </c>
      <c r="F9" s="711">
        <v>2154</v>
      </c>
      <c r="G9" s="711">
        <v>34313.22</v>
      </c>
      <c r="H9" s="711">
        <v>1</v>
      </c>
      <c r="I9" s="711">
        <v>15.93</v>
      </c>
      <c r="J9" s="711">
        <v>2306</v>
      </c>
      <c r="K9" s="711">
        <v>39542.47</v>
      </c>
      <c r="L9" s="711">
        <v>1.1523975307476244</v>
      </c>
      <c r="M9" s="711">
        <v>17.147645273200347</v>
      </c>
      <c r="N9" s="711">
        <v>1593</v>
      </c>
      <c r="O9" s="711">
        <v>30458.16</v>
      </c>
      <c r="P9" s="701">
        <v>0.88765088207985143</v>
      </c>
      <c r="Q9" s="712">
        <v>19.12</v>
      </c>
    </row>
    <row r="10" spans="1:17" ht="14.4" customHeight="1" x14ac:dyDescent="0.3">
      <c r="A10" s="695" t="s">
        <v>5060</v>
      </c>
      <c r="B10" s="696" t="s">
        <v>5061</v>
      </c>
      <c r="C10" s="696" t="s">
        <v>3889</v>
      </c>
      <c r="D10" s="696" t="s">
        <v>5066</v>
      </c>
      <c r="E10" s="696" t="s">
        <v>3584</v>
      </c>
      <c r="F10" s="711">
        <v>680</v>
      </c>
      <c r="G10" s="711">
        <v>1999.2</v>
      </c>
      <c r="H10" s="711">
        <v>1</v>
      </c>
      <c r="I10" s="711">
        <v>2.94</v>
      </c>
      <c r="J10" s="711"/>
      <c r="K10" s="711"/>
      <c r="L10" s="711"/>
      <c r="M10" s="711"/>
      <c r="N10" s="711"/>
      <c r="O10" s="711"/>
      <c r="P10" s="701"/>
      <c r="Q10" s="712"/>
    </row>
    <row r="11" spans="1:17" ht="14.4" customHeight="1" x14ac:dyDescent="0.3">
      <c r="A11" s="695" t="s">
        <v>5060</v>
      </c>
      <c r="B11" s="696" t="s">
        <v>5061</v>
      </c>
      <c r="C11" s="696" t="s">
        <v>3889</v>
      </c>
      <c r="D11" s="696" t="s">
        <v>5067</v>
      </c>
      <c r="E11" s="696" t="s">
        <v>3584</v>
      </c>
      <c r="F11" s="711">
        <v>491</v>
      </c>
      <c r="G11" s="711">
        <v>15279.92</v>
      </c>
      <c r="H11" s="711">
        <v>1</v>
      </c>
      <c r="I11" s="711">
        <v>31.12</v>
      </c>
      <c r="J11" s="711">
        <v>410</v>
      </c>
      <c r="K11" s="711">
        <v>13497.2</v>
      </c>
      <c r="L11" s="711">
        <v>0.88332923209022041</v>
      </c>
      <c r="M11" s="711">
        <v>32.92</v>
      </c>
      <c r="N11" s="711">
        <v>367</v>
      </c>
      <c r="O11" s="711">
        <v>12221.1</v>
      </c>
      <c r="P11" s="701">
        <v>0.79981439693401535</v>
      </c>
      <c r="Q11" s="712">
        <v>33.300000000000004</v>
      </c>
    </row>
    <row r="12" spans="1:17" ht="14.4" customHeight="1" x14ac:dyDescent="0.3">
      <c r="A12" s="695" t="s">
        <v>5060</v>
      </c>
      <c r="B12" s="696" t="s">
        <v>5061</v>
      </c>
      <c r="C12" s="696" t="s">
        <v>3589</v>
      </c>
      <c r="D12" s="696" t="s">
        <v>5068</v>
      </c>
      <c r="E12" s="696" t="s">
        <v>5069</v>
      </c>
      <c r="F12" s="711">
        <v>5</v>
      </c>
      <c r="G12" s="711">
        <v>8755</v>
      </c>
      <c r="H12" s="711">
        <v>1</v>
      </c>
      <c r="I12" s="711">
        <v>1751</v>
      </c>
      <c r="J12" s="711">
        <v>6</v>
      </c>
      <c r="K12" s="711">
        <v>10524</v>
      </c>
      <c r="L12" s="711">
        <v>1.2020559680182752</v>
      </c>
      <c r="M12" s="711">
        <v>1754</v>
      </c>
      <c r="N12" s="711">
        <v>3</v>
      </c>
      <c r="O12" s="711">
        <v>5262</v>
      </c>
      <c r="P12" s="701">
        <v>0.60102798400913759</v>
      </c>
      <c r="Q12" s="712">
        <v>1754</v>
      </c>
    </row>
    <row r="13" spans="1:17" ht="14.4" customHeight="1" x14ac:dyDescent="0.3">
      <c r="A13" s="695" t="s">
        <v>5060</v>
      </c>
      <c r="B13" s="696" t="s">
        <v>5061</v>
      </c>
      <c r="C13" s="696" t="s">
        <v>3589</v>
      </c>
      <c r="D13" s="696" t="s">
        <v>5070</v>
      </c>
      <c r="E13" s="696" t="s">
        <v>5071</v>
      </c>
      <c r="F13" s="711"/>
      <c r="G13" s="711"/>
      <c r="H13" s="711"/>
      <c r="I13" s="711"/>
      <c r="J13" s="711">
        <v>2</v>
      </c>
      <c r="K13" s="711">
        <v>820</v>
      </c>
      <c r="L13" s="711"/>
      <c r="M13" s="711">
        <v>410</v>
      </c>
      <c r="N13" s="711"/>
      <c r="O13" s="711"/>
      <c r="P13" s="701"/>
      <c r="Q13" s="712"/>
    </row>
    <row r="14" spans="1:17" ht="14.4" customHeight="1" x14ac:dyDescent="0.3">
      <c r="A14" s="695" t="s">
        <v>5060</v>
      </c>
      <c r="B14" s="696" t="s">
        <v>5061</v>
      </c>
      <c r="C14" s="696" t="s">
        <v>3589</v>
      </c>
      <c r="D14" s="696" t="s">
        <v>5072</v>
      </c>
      <c r="E14" s="696" t="s">
        <v>5073</v>
      </c>
      <c r="F14" s="711"/>
      <c r="G14" s="711"/>
      <c r="H14" s="711"/>
      <c r="I14" s="711"/>
      <c r="J14" s="711">
        <v>1</v>
      </c>
      <c r="K14" s="711">
        <v>14328</v>
      </c>
      <c r="L14" s="711"/>
      <c r="M14" s="711">
        <v>14328</v>
      </c>
      <c r="N14" s="711">
        <v>1</v>
      </c>
      <c r="O14" s="711">
        <v>14328</v>
      </c>
      <c r="P14" s="701"/>
      <c r="Q14" s="712">
        <v>14328</v>
      </c>
    </row>
    <row r="15" spans="1:17" ht="14.4" customHeight="1" x14ac:dyDescent="0.3">
      <c r="A15" s="695" t="s">
        <v>5060</v>
      </c>
      <c r="B15" s="696" t="s">
        <v>5061</v>
      </c>
      <c r="C15" s="696" t="s">
        <v>3589</v>
      </c>
      <c r="D15" s="696" t="s">
        <v>5074</v>
      </c>
      <c r="E15" s="696" t="s">
        <v>5075</v>
      </c>
      <c r="F15" s="711">
        <v>1</v>
      </c>
      <c r="G15" s="711">
        <v>1283</v>
      </c>
      <c r="H15" s="711">
        <v>1</v>
      </c>
      <c r="I15" s="711">
        <v>1283</v>
      </c>
      <c r="J15" s="711"/>
      <c r="K15" s="711"/>
      <c r="L15" s="711"/>
      <c r="M15" s="711"/>
      <c r="N15" s="711"/>
      <c r="O15" s="711"/>
      <c r="P15" s="701"/>
      <c r="Q15" s="712"/>
    </row>
    <row r="16" spans="1:17" ht="14.4" customHeight="1" x14ac:dyDescent="0.3">
      <c r="A16" s="695" t="s">
        <v>5060</v>
      </c>
      <c r="B16" s="696" t="s">
        <v>5061</v>
      </c>
      <c r="C16" s="696" t="s">
        <v>3589</v>
      </c>
      <c r="D16" s="696" t="s">
        <v>5076</v>
      </c>
      <c r="E16" s="696" t="s">
        <v>5077</v>
      </c>
      <c r="F16" s="711">
        <v>4</v>
      </c>
      <c r="G16" s="711">
        <v>8944</v>
      </c>
      <c r="H16" s="711">
        <v>1</v>
      </c>
      <c r="I16" s="711">
        <v>2236</v>
      </c>
      <c r="J16" s="711">
        <v>4</v>
      </c>
      <c r="K16" s="711">
        <v>8968</v>
      </c>
      <c r="L16" s="711">
        <v>1.0026833631484795</v>
      </c>
      <c r="M16" s="711">
        <v>2242</v>
      </c>
      <c r="N16" s="711">
        <v>3</v>
      </c>
      <c r="O16" s="711">
        <v>6726</v>
      </c>
      <c r="P16" s="701">
        <v>0.75201252236135963</v>
      </c>
      <c r="Q16" s="712">
        <v>2242</v>
      </c>
    </row>
    <row r="17" spans="1:17" ht="14.4" customHeight="1" x14ac:dyDescent="0.3">
      <c r="A17" s="695" t="s">
        <v>5078</v>
      </c>
      <c r="B17" s="696" t="s">
        <v>5079</v>
      </c>
      <c r="C17" s="696" t="s">
        <v>3589</v>
      </c>
      <c r="D17" s="696" t="s">
        <v>5080</v>
      </c>
      <c r="E17" s="696" t="s">
        <v>5081</v>
      </c>
      <c r="F17" s="711"/>
      <c r="G17" s="711"/>
      <c r="H17" s="711"/>
      <c r="I17" s="711"/>
      <c r="J17" s="711"/>
      <c r="K17" s="711"/>
      <c r="L17" s="711"/>
      <c r="M17" s="711"/>
      <c r="N17" s="711">
        <v>6</v>
      </c>
      <c r="O17" s="711">
        <v>2100</v>
      </c>
      <c r="P17" s="701"/>
      <c r="Q17" s="712">
        <v>350</v>
      </c>
    </row>
    <row r="18" spans="1:17" ht="14.4" customHeight="1" x14ac:dyDescent="0.3">
      <c r="A18" s="695" t="s">
        <v>5078</v>
      </c>
      <c r="B18" s="696" t="s">
        <v>5079</v>
      </c>
      <c r="C18" s="696" t="s">
        <v>3589</v>
      </c>
      <c r="D18" s="696" t="s">
        <v>5082</v>
      </c>
      <c r="E18" s="696" t="s">
        <v>5083</v>
      </c>
      <c r="F18" s="711">
        <v>706</v>
      </c>
      <c r="G18" s="711">
        <v>45184</v>
      </c>
      <c r="H18" s="711">
        <v>1</v>
      </c>
      <c r="I18" s="711">
        <v>64</v>
      </c>
      <c r="J18" s="711">
        <v>644</v>
      </c>
      <c r="K18" s="711">
        <v>41860</v>
      </c>
      <c r="L18" s="711">
        <v>0.92643413597733715</v>
      </c>
      <c r="M18" s="711">
        <v>65</v>
      </c>
      <c r="N18" s="711">
        <v>639</v>
      </c>
      <c r="O18" s="711">
        <v>41535</v>
      </c>
      <c r="P18" s="701">
        <v>0.91924132436260619</v>
      </c>
      <c r="Q18" s="712">
        <v>65</v>
      </c>
    </row>
    <row r="19" spans="1:17" ht="14.4" customHeight="1" x14ac:dyDescent="0.3">
      <c r="A19" s="695" t="s">
        <v>5078</v>
      </c>
      <c r="B19" s="696" t="s">
        <v>5079</v>
      </c>
      <c r="C19" s="696" t="s">
        <v>3589</v>
      </c>
      <c r="D19" s="696" t="s">
        <v>5084</v>
      </c>
      <c r="E19" s="696" t="s">
        <v>5085</v>
      </c>
      <c r="F19" s="711">
        <v>5</v>
      </c>
      <c r="G19" s="711">
        <v>2945</v>
      </c>
      <c r="H19" s="711">
        <v>1</v>
      </c>
      <c r="I19" s="711">
        <v>589</v>
      </c>
      <c r="J19" s="711">
        <v>1</v>
      </c>
      <c r="K19" s="711">
        <v>590</v>
      </c>
      <c r="L19" s="711">
        <v>0.20033955857385399</v>
      </c>
      <c r="M19" s="711">
        <v>590</v>
      </c>
      <c r="N19" s="711">
        <v>5</v>
      </c>
      <c r="O19" s="711">
        <v>2950</v>
      </c>
      <c r="P19" s="701">
        <v>1.0016977928692699</v>
      </c>
      <c r="Q19" s="712">
        <v>590</v>
      </c>
    </row>
    <row r="20" spans="1:17" ht="14.4" customHeight="1" x14ac:dyDescent="0.3">
      <c r="A20" s="695" t="s">
        <v>5078</v>
      </c>
      <c r="B20" s="696" t="s">
        <v>5079</v>
      </c>
      <c r="C20" s="696" t="s">
        <v>3589</v>
      </c>
      <c r="D20" s="696" t="s">
        <v>5086</v>
      </c>
      <c r="E20" s="696" t="s">
        <v>5087</v>
      </c>
      <c r="F20" s="711"/>
      <c r="G20" s="711"/>
      <c r="H20" s="711"/>
      <c r="I20" s="711"/>
      <c r="J20" s="711">
        <v>1</v>
      </c>
      <c r="K20" s="711">
        <v>615</v>
      </c>
      <c r="L20" s="711"/>
      <c r="M20" s="711">
        <v>615</v>
      </c>
      <c r="N20" s="711"/>
      <c r="O20" s="711"/>
      <c r="P20" s="701"/>
      <c r="Q20" s="712"/>
    </row>
    <row r="21" spans="1:17" ht="14.4" customHeight="1" x14ac:dyDescent="0.3">
      <c r="A21" s="695" t="s">
        <v>5078</v>
      </c>
      <c r="B21" s="696" t="s">
        <v>5079</v>
      </c>
      <c r="C21" s="696" t="s">
        <v>3589</v>
      </c>
      <c r="D21" s="696" t="s">
        <v>5088</v>
      </c>
      <c r="E21" s="696" t="s">
        <v>5089</v>
      </c>
      <c r="F21" s="711"/>
      <c r="G21" s="711"/>
      <c r="H21" s="711"/>
      <c r="I21" s="711"/>
      <c r="J21" s="711"/>
      <c r="K21" s="711"/>
      <c r="L21" s="711"/>
      <c r="M21" s="711"/>
      <c r="N21" s="711">
        <v>1</v>
      </c>
      <c r="O21" s="711">
        <v>149</v>
      </c>
      <c r="P21" s="701"/>
      <c r="Q21" s="712">
        <v>149</v>
      </c>
    </row>
    <row r="22" spans="1:17" ht="14.4" customHeight="1" x14ac:dyDescent="0.3">
      <c r="A22" s="695" t="s">
        <v>5078</v>
      </c>
      <c r="B22" s="696" t="s">
        <v>5079</v>
      </c>
      <c r="C22" s="696" t="s">
        <v>3589</v>
      </c>
      <c r="D22" s="696" t="s">
        <v>5090</v>
      </c>
      <c r="E22" s="696" t="s">
        <v>5091</v>
      </c>
      <c r="F22" s="711">
        <v>10</v>
      </c>
      <c r="G22" s="711">
        <v>230</v>
      </c>
      <c r="H22" s="711">
        <v>1</v>
      </c>
      <c r="I22" s="711">
        <v>23</v>
      </c>
      <c r="J22" s="711">
        <v>7</v>
      </c>
      <c r="K22" s="711">
        <v>161</v>
      </c>
      <c r="L22" s="711">
        <v>0.7</v>
      </c>
      <c r="M22" s="711">
        <v>23</v>
      </c>
      <c r="N22" s="711">
        <v>6</v>
      </c>
      <c r="O22" s="711">
        <v>138</v>
      </c>
      <c r="P22" s="701">
        <v>0.6</v>
      </c>
      <c r="Q22" s="712">
        <v>23</v>
      </c>
    </row>
    <row r="23" spans="1:17" ht="14.4" customHeight="1" x14ac:dyDescent="0.3">
      <c r="A23" s="695" t="s">
        <v>5078</v>
      </c>
      <c r="B23" s="696" t="s">
        <v>5079</v>
      </c>
      <c r="C23" s="696" t="s">
        <v>3589</v>
      </c>
      <c r="D23" s="696" t="s">
        <v>5092</v>
      </c>
      <c r="E23" s="696" t="s">
        <v>5093</v>
      </c>
      <c r="F23" s="711"/>
      <c r="G23" s="711"/>
      <c r="H23" s="711"/>
      <c r="I23" s="711"/>
      <c r="J23" s="711">
        <v>1</v>
      </c>
      <c r="K23" s="711">
        <v>54</v>
      </c>
      <c r="L23" s="711"/>
      <c r="M23" s="711">
        <v>54</v>
      </c>
      <c r="N23" s="711">
        <v>6</v>
      </c>
      <c r="O23" s="711">
        <v>324</v>
      </c>
      <c r="P23" s="701"/>
      <c r="Q23" s="712">
        <v>54</v>
      </c>
    </row>
    <row r="24" spans="1:17" ht="14.4" customHeight="1" x14ac:dyDescent="0.3">
      <c r="A24" s="695" t="s">
        <v>5078</v>
      </c>
      <c r="B24" s="696" t="s">
        <v>5079</v>
      </c>
      <c r="C24" s="696" t="s">
        <v>3589</v>
      </c>
      <c r="D24" s="696" t="s">
        <v>5094</v>
      </c>
      <c r="E24" s="696" t="s">
        <v>5095</v>
      </c>
      <c r="F24" s="711">
        <v>409</v>
      </c>
      <c r="G24" s="711">
        <v>31493</v>
      </c>
      <c r="H24" s="711">
        <v>1</v>
      </c>
      <c r="I24" s="711">
        <v>77</v>
      </c>
      <c r="J24" s="711">
        <v>337</v>
      </c>
      <c r="K24" s="711">
        <v>25949</v>
      </c>
      <c r="L24" s="711">
        <v>0.82396088019559899</v>
      </c>
      <c r="M24" s="711">
        <v>77</v>
      </c>
      <c r="N24" s="711">
        <v>363</v>
      </c>
      <c r="O24" s="711">
        <v>27951</v>
      </c>
      <c r="P24" s="701">
        <v>0.8875305623471883</v>
      </c>
      <c r="Q24" s="712">
        <v>77</v>
      </c>
    </row>
    <row r="25" spans="1:17" ht="14.4" customHeight="1" x14ac:dyDescent="0.3">
      <c r="A25" s="695" t="s">
        <v>5078</v>
      </c>
      <c r="B25" s="696" t="s">
        <v>5079</v>
      </c>
      <c r="C25" s="696" t="s">
        <v>3589</v>
      </c>
      <c r="D25" s="696" t="s">
        <v>5096</v>
      </c>
      <c r="E25" s="696" t="s">
        <v>5097</v>
      </c>
      <c r="F25" s="711">
        <v>69</v>
      </c>
      <c r="G25" s="711">
        <v>1518</v>
      </c>
      <c r="H25" s="711">
        <v>1</v>
      </c>
      <c r="I25" s="711">
        <v>22</v>
      </c>
      <c r="J25" s="711">
        <v>34</v>
      </c>
      <c r="K25" s="711">
        <v>748</v>
      </c>
      <c r="L25" s="711">
        <v>0.49275362318840582</v>
      </c>
      <c r="M25" s="711">
        <v>22</v>
      </c>
      <c r="N25" s="711">
        <v>38</v>
      </c>
      <c r="O25" s="711">
        <v>836</v>
      </c>
      <c r="P25" s="701">
        <v>0.55072463768115942</v>
      </c>
      <c r="Q25" s="712">
        <v>22</v>
      </c>
    </row>
    <row r="26" spans="1:17" ht="14.4" customHeight="1" x14ac:dyDescent="0.3">
      <c r="A26" s="695" t="s">
        <v>5078</v>
      </c>
      <c r="B26" s="696" t="s">
        <v>5079</v>
      </c>
      <c r="C26" s="696" t="s">
        <v>3589</v>
      </c>
      <c r="D26" s="696" t="s">
        <v>5098</v>
      </c>
      <c r="E26" s="696" t="s">
        <v>5099</v>
      </c>
      <c r="F26" s="711">
        <v>5</v>
      </c>
      <c r="G26" s="711">
        <v>1045</v>
      </c>
      <c r="H26" s="711">
        <v>1</v>
      </c>
      <c r="I26" s="711">
        <v>209</v>
      </c>
      <c r="J26" s="711">
        <v>10</v>
      </c>
      <c r="K26" s="711">
        <v>2090</v>
      </c>
      <c r="L26" s="711">
        <v>2</v>
      </c>
      <c r="M26" s="711">
        <v>209</v>
      </c>
      <c r="N26" s="711"/>
      <c r="O26" s="711"/>
      <c r="P26" s="701"/>
      <c r="Q26" s="712"/>
    </row>
    <row r="27" spans="1:17" ht="14.4" customHeight="1" x14ac:dyDescent="0.3">
      <c r="A27" s="695" t="s">
        <v>5078</v>
      </c>
      <c r="B27" s="696" t="s">
        <v>5079</v>
      </c>
      <c r="C27" s="696" t="s">
        <v>3589</v>
      </c>
      <c r="D27" s="696" t="s">
        <v>5100</v>
      </c>
      <c r="E27" s="696" t="s">
        <v>5101</v>
      </c>
      <c r="F27" s="711"/>
      <c r="G27" s="711"/>
      <c r="H27" s="711"/>
      <c r="I27" s="711"/>
      <c r="J27" s="711">
        <v>2</v>
      </c>
      <c r="K27" s="711">
        <v>132</v>
      </c>
      <c r="L27" s="711"/>
      <c r="M27" s="711">
        <v>66</v>
      </c>
      <c r="N27" s="711">
        <v>7</v>
      </c>
      <c r="O27" s="711">
        <v>462</v>
      </c>
      <c r="P27" s="701"/>
      <c r="Q27" s="712">
        <v>66</v>
      </c>
    </row>
    <row r="28" spans="1:17" ht="14.4" customHeight="1" x14ac:dyDescent="0.3">
      <c r="A28" s="695" t="s">
        <v>5078</v>
      </c>
      <c r="B28" s="696" t="s">
        <v>5079</v>
      </c>
      <c r="C28" s="696" t="s">
        <v>3589</v>
      </c>
      <c r="D28" s="696" t="s">
        <v>5102</v>
      </c>
      <c r="E28" s="696" t="s">
        <v>5103</v>
      </c>
      <c r="F28" s="711">
        <v>58</v>
      </c>
      <c r="G28" s="711">
        <v>1334</v>
      </c>
      <c r="H28" s="711">
        <v>1</v>
      </c>
      <c r="I28" s="711">
        <v>23</v>
      </c>
      <c r="J28" s="711">
        <v>27</v>
      </c>
      <c r="K28" s="711">
        <v>648</v>
      </c>
      <c r="L28" s="711">
        <v>0.48575712143928035</v>
      </c>
      <c r="M28" s="711">
        <v>24</v>
      </c>
      <c r="N28" s="711">
        <v>32</v>
      </c>
      <c r="O28" s="711">
        <v>768</v>
      </c>
      <c r="P28" s="701">
        <v>0.57571214392803594</v>
      </c>
      <c r="Q28" s="712">
        <v>24</v>
      </c>
    </row>
    <row r="29" spans="1:17" ht="14.4" customHeight="1" x14ac:dyDescent="0.3">
      <c r="A29" s="695" t="s">
        <v>5078</v>
      </c>
      <c r="B29" s="696" t="s">
        <v>5079</v>
      </c>
      <c r="C29" s="696" t="s">
        <v>3589</v>
      </c>
      <c r="D29" s="696" t="s">
        <v>5104</v>
      </c>
      <c r="E29" s="696" t="s">
        <v>5105</v>
      </c>
      <c r="F29" s="711">
        <v>30</v>
      </c>
      <c r="G29" s="711">
        <v>5400</v>
      </c>
      <c r="H29" s="711">
        <v>1</v>
      </c>
      <c r="I29" s="711">
        <v>180</v>
      </c>
      <c r="J29" s="711">
        <v>26</v>
      </c>
      <c r="K29" s="711">
        <v>4680</v>
      </c>
      <c r="L29" s="711">
        <v>0.8666666666666667</v>
      </c>
      <c r="M29" s="711">
        <v>180</v>
      </c>
      <c r="N29" s="711">
        <v>35</v>
      </c>
      <c r="O29" s="711">
        <v>6300</v>
      </c>
      <c r="P29" s="701">
        <v>1.1666666666666667</v>
      </c>
      <c r="Q29" s="712">
        <v>180</v>
      </c>
    </row>
    <row r="30" spans="1:17" ht="14.4" customHeight="1" x14ac:dyDescent="0.3">
      <c r="A30" s="695" t="s">
        <v>5078</v>
      </c>
      <c r="B30" s="696" t="s">
        <v>5079</v>
      </c>
      <c r="C30" s="696" t="s">
        <v>3589</v>
      </c>
      <c r="D30" s="696" t="s">
        <v>5106</v>
      </c>
      <c r="E30" s="696" t="s">
        <v>5107</v>
      </c>
      <c r="F30" s="711">
        <v>1</v>
      </c>
      <c r="G30" s="711">
        <v>253</v>
      </c>
      <c r="H30" s="711">
        <v>1</v>
      </c>
      <c r="I30" s="711">
        <v>253</v>
      </c>
      <c r="J30" s="711">
        <v>1</v>
      </c>
      <c r="K30" s="711">
        <v>253</v>
      </c>
      <c r="L30" s="711">
        <v>1</v>
      </c>
      <c r="M30" s="711">
        <v>253</v>
      </c>
      <c r="N30" s="711">
        <v>16</v>
      </c>
      <c r="O30" s="711">
        <v>4048</v>
      </c>
      <c r="P30" s="701">
        <v>16</v>
      </c>
      <c r="Q30" s="712">
        <v>253</v>
      </c>
    </row>
    <row r="31" spans="1:17" ht="14.4" customHeight="1" x14ac:dyDescent="0.3">
      <c r="A31" s="695" t="s">
        <v>5078</v>
      </c>
      <c r="B31" s="696" t="s">
        <v>5079</v>
      </c>
      <c r="C31" s="696" t="s">
        <v>3589</v>
      </c>
      <c r="D31" s="696" t="s">
        <v>5108</v>
      </c>
      <c r="E31" s="696" t="s">
        <v>5109</v>
      </c>
      <c r="F31" s="711"/>
      <c r="G31" s="711"/>
      <c r="H31" s="711"/>
      <c r="I31" s="711"/>
      <c r="J31" s="711">
        <v>1</v>
      </c>
      <c r="K31" s="711">
        <v>189</v>
      </c>
      <c r="L31" s="711"/>
      <c r="M31" s="711">
        <v>189</v>
      </c>
      <c r="N31" s="711"/>
      <c r="O31" s="711"/>
      <c r="P31" s="701"/>
      <c r="Q31" s="712"/>
    </row>
    <row r="32" spans="1:17" ht="14.4" customHeight="1" x14ac:dyDescent="0.3">
      <c r="A32" s="695" t="s">
        <v>5078</v>
      </c>
      <c r="B32" s="696" t="s">
        <v>5079</v>
      </c>
      <c r="C32" s="696" t="s">
        <v>3589</v>
      </c>
      <c r="D32" s="696" t="s">
        <v>5110</v>
      </c>
      <c r="E32" s="696" t="s">
        <v>5111</v>
      </c>
      <c r="F32" s="711">
        <v>38</v>
      </c>
      <c r="G32" s="711">
        <v>8208</v>
      </c>
      <c r="H32" s="711">
        <v>1</v>
      </c>
      <c r="I32" s="711">
        <v>216</v>
      </c>
      <c r="J32" s="711">
        <v>31</v>
      </c>
      <c r="K32" s="711">
        <v>6696</v>
      </c>
      <c r="L32" s="711">
        <v>0.81578947368421051</v>
      </c>
      <c r="M32" s="711">
        <v>216</v>
      </c>
      <c r="N32" s="711">
        <v>41</v>
      </c>
      <c r="O32" s="711">
        <v>8856</v>
      </c>
      <c r="P32" s="701">
        <v>1.0789473684210527</v>
      </c>
      <c r="Q32" s="712">
        <v>216</v>
      </c>
    </row>
    <row r="33" spans="1:17" ht="14.4" customHeight="1" x14ac:dyDescent="0.3">
      <c r="A33" s="695" t="s">
        <v>5078</v>
      </c>
      <c r="B33" s="696" t="s">
        <v>5079</v>
      </c>
      <c r="C33" s="696" t="s">
        <v>3589</v>
      </c>
      <c r="D33" s="696" t="s">
        <v>5112</v>
      </c>
      <c r="E33" s="696" t="s">
        <v>5113</v>
      </c>
      <c r="F33" s="711"/>
      <c r="G33" s="711"/>
      <c r="H33" s="711"/>
      <c r="I33" s="711"/>
      <c r="J33" s="711">
        <v>1</v>
      </c>
      <c r="K33" s="711">
        <v>590</v>
      </c>
      <c r="L33" s="711"/>
      <c r="M33" s="711">
        <v>590</v>
      </c>
      <c r="N33" s="711"/>
      <c r="O33" s="711"/>
      <c r="P33" s="701"/>
      <c r="Q33" s="712"/>
    </row>
    <row r="34" spans="1:17" ht="14.4" customHeight="1" x14ac:dyDescent="0.3">
      <c r="A34" s="695" t="s">
        <v>5078</v>
      </c>
      <c r="B34" s="696" t="s">
        <v>5079</v>
      </c>
      <c r="C34" s="696" t="s">
        <v>3589</v>
      </c>
      <c r="D34" s="696" t="s">
        <v>5114</v>
      </c>
      <c r="E34" s="696" t="s">
        <v>5115</v>
      </c>
      <c r="F34" s="711">
        <v>4</v>
      </c>
      <c r="G34" s="711">
        <v>200</v>
      </c>
      <c r="H34" s="711">
        <v>1</v>
      </c>
      <c r="I34" s="711">
        <v>50</v>
      </c>
      <c r="J34" s="711"/>
      <c r="K34" s="711"/>
      <c r="L34" s="711"/>
      <c r="M34" s="711"/>
      <c r="N34" s="711"/>
      <c r="O34" s="711"/>
      <c r="P34" s="701"/>
      <c r="Q34" s="712"/>
    </row>
    <row r="35" spans="1:17" ht="14.4" customHeight="1" x14ac:dyDescent="0.3">
      <c r="A35" s="695" t="s">
        <v>5078</v>
      </c>
      <c r="B35" s="696" t="s">
        <v>5079</v>
      </c>
      <c r="C35" s="696" t="s">
        <v>3589</v>
      </c>
      <c r="D35" s="696" t="s">
        <v>5116</v>
      </c>
      <c r="E35" s="696" t="s">
        <v>5117</v>
      </c>
      <c r="F35" s="711"/>
      <c r="G35" s="711"/>
      <c r="H35" s="711"/>
      <c r="I35" s="711"/>
      <c r="J35" s="711">
        <v>1</v>
      </c>
      <c r="K35" s="711">
        <v>751</v>
      </c>
      <c r="L35" s="711"/>
      <c r="M35" s="711">
        <v>751</v>
      </c>
      <c r="N35" s="711"/>
      <c r="O35" s="711"/>
      <c r="P35" s="701"/>
      <c r="Q35" s="712"/>
    </row>
    <row r="36" spans="1:17" ht="14.4" customHeight="1" x14ac:dyDescent="0.3">
      <c r="A36" s="695" t="s">
        <v>5078</v>
      </c>
      <c r="B36" s="696" t="s">
        <v>5079</v>
      </c>
      <c r="C36" s="696" t="s">
        <v>3589</v>
      </c>
      <c r="D36" s="696" t="s">
        <v>5118</v>
      </c>
      <c r="E36" s="696" t="s">
        <v>5119</v>
      </c>
      <c r="F36" s="711"/>
      <c r="G36" s="711"/>
      <c r="H36" s="711"/>
      <c r="I36" s="711"/>
      <c r="J36" s="711"/>
      <c r="K36" s="711"/>
      <c r="L36" s="711"/>
      <c r="M36" s="711"/>
      <c r="N36" s="711">
        <v>1</v>
      </c>
      <c r="O36" s="711">
        <v>229</v>
      </c>
      <c r="P36" s="701"/>
      <c r="Q36" s="712">
        <v>229</v>
      </c>
    </row>
    <row r="37" spans="1:17" ht="14.4" customHeight="1" x14ac:dyDescent="0.3">
      <c r="A37" s="695" t="s">
        <v>5078</v>
      </c>
      <c r="B37" s="696" t="s">
        <v>5079</v>
      </c>
      <c r="C37" s="696" t="s">
        <v>3589</v>
      </c>
      <c r="D37" s="696" t="s">
        <v>5120</v>
      </c>
      <c r="E37" s="696" t="s">
        <v>5121</v>
      </c>
      <c r="F37" s="711"/>
      <c r="G37" s="711"/>
      <c r="H37" s="711"/>
      <c r="I37" s="711"/>
      <c r="J37" s="711"/>
      <c r="K37" s="711"/>
      <c r="L37" s="711"/>
      <c r="M37" s="711"/>
      <c r="N37" s="711">
        <v>5</v>
      </c>
      <c r="O37" s="711">
        <v>2030</v>
      </c>
      <c r="P37" s="701"/>
      <c r="Q37" s="712">
        <v>406</v>
      </c>
    </row>
    <row r="38" spans="1:17" ht="14.4" customHeight="1" x14ac:dyDescent="0.3">
      <c r="A38" s="695" t="s">
        <v>5078</v>
      </c>
      <c r="B38" s="696" t="s">
        <v>5079</v>
      </c>
      <c r="C38" s="696" t="s">
        <v>3589</v>
      </c>
      <c r="D38" s="696" t="s">
        <v>5122</v>
      </c>
      <c r="E38" s="696" t="s">
        <v>5123</v>
      </c>
      <c r="F38" s="711"/>
      <c r="G38" s="711"/>
      <c r="H38" s="711"/>
      <c r="I38" s="711"/>
      <c r="J38" s="711"/>
      <c r="K38" s="711"/>
      <c r="L38" s="711"/>
      <c r="M38" s="711"/>
      <c r="N38" s="711">
        <v>1</v>
      </c>
      <c r="O38" s="711">
        <v>650</v>
      </c>
      <c r="P38" s="701"/>
      <c r="Q38" s="712">
        <v>650</v>
      </c>
    </row>
    <row r="39" spans="1:17" ht="14.4" customHeight="1" x14ac:dyDescent="0.3">
      <c r="A39" s="695" t="s">
        <v>5078</v>
      </c>
      <c r="B39" s="696" t="s">
        <v>5079</v>
      </c>
      <c r="C39" s="696" t="s">
        <v>3589</v>
      </c>
      <c r="D39" s="696" t="s">
        <v>5124</v>
      </c>
      <c r="E39" s="696" t="s">
        <v>5125</v>
      </c>
      <c r="F39" s="711"/>
      <c r="G39" s="711"/>
      <c r="H39" s="711"/>
      <c r="I39" s="711"/>
      <c r="J39" s="711"/>
      <c r="K39" s="711"/>
      <c r="L39" s="711"/>
      <c r="M39" s="711"/>
      <c r="N39" s="711">
        <v>5</v>
      </c>
      <c r="O39" s="711">
        <v>2930</v>
      </c>
      <c r="P39" s="701"/>
      <c r="Q39" s="712">
        <v>586</v>
      </c>
    </row>
    <row r="40" spans="1:17" ht="14.4" customHeight="1" x14ac:dyDescent="0.3">
      <c r="A40" s="695" t="s">
        <v>5126</v>
      </c>
      <c r="B40" s="696" t="s">
        <v>5127</v>
      </c>
      <c r="C40" s="696" t="s">
        <v>3589</v>
      </c>
      <c r="D40" s="696" t="s">
        <v>5128</v>
      </c>
      <c r="E40" s="696" t="s">
        <v>5129</v>
      </c>
      <c r="F40" s="711">
        <v>332</v>
      </c>
      <c r="G40" s="711">
        <v>8964</v>
      </c>
      <c r="H40" s="711">
        <v>1</v>
      </c>
      <c r="I40" s="711">
        <v>27</v>
      </c>
      <c r="J40" s="711">
        <v>307</v>
      </c>
      <c r="K40" s="711">
        <v>8289</v>
      </c>
      <c r="L40" s="711">
        <v>0.92469879518072284</v>
      </c>
      <c r="M40" s="711">
        <v>27</v>
      </c>
      <c r="N40" s="711">
        <v>311</v>
      </c>
      <c r="O40" s="711">
        <v>8397</v>
      </c>
      <c r="P40" s="701">
        <v>0.93674698795180722</v>
      </c>
      <c r="Q40" s="712">
        <v>27</v>
      </c>
    </row>
    <row r="41" spans="1:17" ht="14.4" customHeight="1" x14ac:dyDescent="0.3">
      <c r="A41" s="695" t="s">
        <v>5126</v>
      </c>
      <c r="B41" s="696" t="s">
        <v>5127</v>
      </c>
      <c r="C41" s="696" t="s">
        <v>3589</v>
      </c>
      <c r="D41" s="696" t="s">
        <v>5130</v>
      </c>
      <c r="E41" s="696" t="s">
        <v>5131</v>
      </c>
      <c r="F41" s="711">
        <v>177</v>
      </c>
      <c r="G41" s="711">
        <v>9558</v>
      </c>
      <c r="H41" s="711">
        <v>1</v>
      </c>
      <c r="I41" s="711">
        <v>54</v>
      </c>
      <c r="J41" s="711">
        <v>206</v>
      </c>
      <c r="K41" s="711">
        <v>11124</v>
      </c>
      <c r="L41" s="711">
        <v>1.1638418079096045</v>
      </c>
      <c r="M41" s="711">
        <v>54</v>
      </c>
      <c r="N41" s="711">
        <v>205</v>
      </c>
      <c r="O41" s="711">
        <v>11070</v>
      </c>
      <c r="P41" s="701">
        <v>1.1581920903954803</v>
      </c>
      <c r="Q41" s="712">
        <v>54</v>
      </c>
    </row>
    <row r="42" spans="1:17" ht="14.4" customHeight="1" x14ac:dyDescent="0.3">
      <c r="A42" s="695" t="s">
        <v>5126</v>
      </c>
      <c r="B42" s="696" t="s">
        <v>5127</v>
      </c>
      <c r="C42" s="696" t="s">
        <v>3589</v>
      </c>
      <c r="D42" s="696" t="s">
        <v>5132</v>
      </c>
      <c r="E42" s="696" t="s">
        <v>5133</v>
      </c>
      <c r="F42" s="711">
        <v>283</v>
      </c>
      <c r="G42" s="711">
        <v>6792</v>
      </c>
      <c r="H42" s="711">
        <v>1</v>
      </c>
      <c r="I42" s="711">
        <v>24</v>
      </c>
      <c r="J42" s="711">
        <v>286</v>
      </c>
      <c r="K42" s="711">
        <v>6864</v>
      </c>
      <c r="L42" s="711">
        <v>1.010600706713781</v>
      </c>
      <c r="M42" s="711">
        <v>24</v>
      </c>
      <c r="N42" s="711">
        <v>283</v>
      </c>
      <c r="O42" s="711">
        <v>6792</v>
      </c>
      <c r="P42" s="701">
        <v>1</v>
      </c>
      <c r="Q42" s="712">
        <v>24</v>
      </c>
    </row>
    <row r="43" spans="1:17" ht="14.4" customHeight="1" x14ac:dyDescent="0.3">
      <c r="A43" s="695" t="s">
        <v>5126</v>
      </c>
      <c r="B43" s="696" t="s">
        <v>5127</v>
      </c>
      <c r="C43" s="696" t="s">
        <v>3589</v>
      </c>
      <c r="D43" s="696" t="s">
        <v>5134</v>
      </c>
      <c r="E43" s="696" t="s">
        <v>5135</v>
      </c>
      <c r="F43" s="711">
        <v>337</v>
      </c>
      <c r="G43" s="711">
        <v>9099</v>
      </c>
      <c r="H43" s="711">
        <v>1</v>
      </c>
      <c r="I43" s="711">
        <v>27</v>
      </c>
      <c r="J43" s="711">
        <v>344</v>
      </c>
      <c r="K43" s="711">
        <v>9288</v>
      </c>
      <c r="L43" s="711">
        <v>1.0207715133531157</v>
      </c>
      <c r="M43" s="711">
        <v>27</v>
      </c>
      <c r="N43" s="711">
        <v>306</v>
      </c>
      <c r="O43" s="711">
        <v>8262</v>
      </c>
      <c r="P43" s="701">
        <v>0.90801186943620182</v>
      </c>
      <c r="Q43" s="712">
        <v>27</v>
      </c>
    </row>
    <row r="44" spans="1:17" ht="14.4" customHeight="1" x14ac:dyDescent="0.3">
      <c r="A44" s="695" t="s">
        <v>5126</v>
      </c>
      <c r="B44" s="696" t="s">
        <v>5127</v>
      </c>
      <c r="C44" s="696" t="s">
        <v>3589</v>
      </c>
      <c r="D44" s="696" t="s">
        <v>5136</v>
      </c>
      <c r="E44" s="696" t="s">
        <v>5137</v>
      </c>
      <c r="F44" s="711">
        <v>56</v>
      </c>
      <c r="G44" s="711">
        <v>3136</v>
      </c>
      <c r="H44" s="711">
        <v>1</v>
      </c>
      <c r="I44" s="711">
        <v>56</v>
      </c>
      <c r="J44" s="711">
        <v>15</v>
      </c>
      <c r="K44" s="711">
        <v>840</v>
      </c>
      <c r="L44" s="711">
        <v>0.26785714285714285</v>
      </c>
      <c r="M44" s="711">
        <v>56</v>
      </c>
      <c r="N44" s="711">
        <v>38</v>
      </c>
      <c r="O44" s="711">
        <v>2128</v>
      </c>
      <c r="P44" s="701">
        <v>0.6785714285714286</v>
      </c>
      <c r="Q44" s="712">
        <v>56</v>
      </c>
    </row>
    <row r="45" spans="1:17" ht="14.4" customHeight="1" x14ac:dyDescent="0.3">
      <c r="A45" s="695" t="s">
        <v>5126</v>
      </c>
      <c r="B45" s="696" t="s">
        <v>5127</v>
      </c>
      <c r="C45" s="696" t="s">
        <v>3589</v>
      </c>
      <c r="D45" s="696" t="s">
        <v>5138</v>
      </c>
      <c r="E45" s="696" t="s">
        <v>5139</v>
      </c>
      <c r="F45" s="711">
        <v>199</v>
      </c>
      <c r="G45" s="711">
        <v>5373</v>
      </c>
      <c r="H45" s="711">
        <v>1</v>
      </c>
      <c r="I45" s="711">
        <v>27</v>
      </c>
      <c r="J45" s="711">
        <v>176</v>
      </c>
      <c r="K45" s="711">
        <v>4752</v>
      </c>
      <c r="L45" s="711">
        <v>0.88442211055276387</v>
      </c>
      <c r="M45" s="711">
        <v>27</v>
      </c>
      <c r="N45" s="711">
        <v>176</v>
      </c>
      <c r="O45" s="711">
        <v>4752</v>
      </c>
      <c r="P45" s="701">
        <v>0.88442211055276387</v>
      </c>
      <c r="Q45" s="712">
        <v>27</v>
      </c>
    </row>
    <row r="46" spans="1:17" ht="14.4" customHeight="1" x14ac:dyDescent="0.3">
      <c r="A46" s="695" t="s">
        <v>5126</v>
      </c>
      <c r="B46" s="696" t="s">
        <v>5127</v>
      </c>
      <c r="C46" s="696" t="s">
        <v>3589</v>
      </c>
      <c r="D46" s="696" t="s">
        <v>5140</v>
      </c>
      <c r="E46" s="696" t="s">
        <v>5141</v>
      </c>
      <c r="F46" s="711">
        <v>598</v>
      </c>
      <c r="G46" s="711">
        <v>13156</v>
      </c>
      <c r="H46" s="711">
        <v>1</v>
      </c>
      <c r="I46" s="711">
        <v>22</v>
      </c>
      <c r="J46" s="711">
        <v>643</v>
      </c>
      <c r="K46" s="711">
        <v>14146</v>
      </c>
      <c r="L46" s="711">
        <v>1.0752508361204014</v>
      </c>
      <c r="M46" s="711">
        <v>22</v>
      </c>
      <c r="N46" s="711">
        <v>632</v>
      </c>
      <c r="O46" s="711">
        <v>13904</v>
      </c>
      <c r="P46" s="701">
        <v>1.0568561872909699</v>
      </c>
      <c r="Q46" s="712">
        <v>22</v>
      </c>
    </row>
    <row r="47" spans="1:17" ht="14.4" customHeight="1" x14ac:dyDescent="0.3">
      <c r="A47" s="695" t="s">
        <v>5126</v>
      </c>
      <c r="B47" s="696" t="s">
        <v>5127</v>
      </c>
      <c r="C47" s="696" t="s">
        <v>3589</v>
      </c>
      <c r="D47" s="696" t="s">
        <v>5142</v>
      </c>
      <c r="E47" s="696" t="s">
        <v>5143</v>
      </c>
      <c r="F47" s="711">
        <v>2</v>
      </c>
      <c r="G47" s="711">
        <v>136</v>
      </c>
      <c r="H47" s="711">
        <v>1</v>
      </c>
      <c r="I47" s="711">
        <v>68</v>
      </c>
      <c r="J47" s="711">
        <v>8</v>
      </c>
      <c r="K47" s="711">
        <v>544</v>
      </c>
      <c r="L47" s="711">
        <v>4</v>
      </c>
      <c r="M47" s="711">
        <v>68</v>
      </c>
      <c r="N47" s="711">
        <v>16</v>
      </c>
      <c r="O47" s="711">
        <v>1088</v>
      </c>
      <c r="P47" s="701">
        <v>8</v>
      </c>
      <c r="Q47" s="712">
        <v>68</v>
      </c>
    </row>
    <row r="48" spans="1:17" ht="14.4" customHeight="1" x14ac:dyDescent="0.3">
      <c r="A48" s="695" t="s">
        <v>5126</v>
      </c>
      <c r="B48" s="696" t="s">
        <v>5127</v>
      </c>
      <c r="C48" s="696" t="s">
        <v>3589</v>
      </c>
      <c r="D48" s="696" t="s">
        <v>5144</v>
      </c>
      <c r="E48" s="696" t="s">
        <v>5145</v>
      </c>
      <c r="F48" s="711"/>
      <c r="G48" s="711"/>
      <c r="H48" s="711"/>
      <c r="I48" s="711"/>
      <c r="J48" s="711">
        <v>4</v>
      </c>
      <c r="K48" s="711">
        <v>248</v>
      </c>
      <c r="L48" s="711"/>
      <c r="M48" s="711">
        <v>62</v>
      </c>
      <c r="N48" s="711">
        <v>5</v>
      </c>
      <c r="O48" s="711">
        <v>310</v>
      </c>
      <c r="P48" s="701"/>
      <c r="Q48" s="712">
        <v>62</v>
      </c>
    </row>
    <row r="49" spans="1:17" ht="14.4" customHeight="1" x14ac:dyDescent="0.3">
      <c r="A49" s="695" t="s">
        <v>5126</v>
      </c>
      <c r="B49" s="696" t="s">
        <v>5127</v>
      </c>
      <c r="C49" s="696" t="s">
        <v>3589</v>
      </c>
      <c r="D49" s="696" t="s">
        <v>5146</v>
      </c>
      <c r="E49" s="696" t="s">
        <v>5147</v>
      </c>
      <c r="F49" s="711">
        <v>35</v>
      </c>
      <c r="G49" s="711">
        <v>2135</v>
      </c>
      <c r="H49" s="711">
        <v>1</v>
      </c>
      <c r="I49" s="711">
        <v>61</v>
      </c>
      <c r="J49" s="711">
        <v>15</v>
      </c>
      <c r="K49" s="711">
        <v>915</v>
      </c>
      <c r="L49" s="711">
        <v>0.42857142857142855</v>
      </c>
      <c r="M49" s="711">
        <v>61</v>
      </c>
      <c r="N49" s="711">
        <v>52</v>
      </c>
      <c r="O49" s="711">
        <v>3172</v>
      </c>
      <c r="P49" s="701">
        <v>1.4857142857142858</v>
      </c>
      <c r="Q49" s="712">
        <v>61</v>
      </c>
    </row>
    <row r="50" spans="1:17" ht="14.4" customHeight="1" x14ac:dyDescent="0.3">
      <c r="A50" s="695" t="s">
        <v>5126</v>
      </c>
      <c r="B50" s="696" t="s">
        <v>5127</v>
      </c>
      <c r="C50" s="696" t="s">
        <v>3589</v>
      </c>
      <c r="D50" s="696" t="s">
        <v>5148</v>
      </c>
      <c r="E50" s="696" t="s">
        <v>5149</v>
      </c>
      <c r="F50" s="711"/>
      <c r="G50" s="711"/>
      <c r="H50" s="711"/>
      <c r="I50" s="711"/>
      <c r="J50" s="711"/>
      <c r="K50" s="711"/>
      <c r="L50" s="711"/>
      <c r="M50" s="711"/>
      <c r="N50" s="711">
        <v>36</v>
      </c>
      <c r="O50" s="711">
        <v>2916</v>
      </c>
      <c r="P50" s="701"/>
      <c r="Q50" s="712">
        <v>81</v>
      </c>
    </row>
    <row r="51" spans="1:17" ht="14.4" customHeight="1" x14ac:dyDescent="0.3">
      <c r="A51" s="695" t="s">
        <v>5126</v>
      </c>
      <c r="B51" s="696" t="s">
        <v>5127</v>
      </c>
      <c r="C51" s="696" t="s">
        <v>3589</v>
      </c>
      <c r="D51" s="696" t="s">
        <v>5150</v>
      </c>
      <c r="E51" s="696" t="s">
        <v>5151</v>
      </c>
      <c r="F51" s="711">
        <v>10</v>
      </c>
      <c r="G51" s="711">
        <v>9870</v>
      </c>
      <c r="H51" s="711">
        <v>1</v>
      </c>
      <c r="I51" s="711">
        <v>987</v>
      </c>
      <c r="J51" s="711">
        <v>38</v>
      </c>
      <c r="K51" s="711">
        <v>37506</v>
      </c>
      <c r="L51" s="711">
        <v>3.8</v>
      </c>
      <c r="M51" s="711">
        <v>987</v>
      </c>
      <c r="N51" s="711">
        <v>31</v>
      </c>
      <c r="O51" s="711">
        <v>30597</v>
      </c>
      <c r="P51" s="701">
        <v>3.1</v>
      </c>
      <c r="Q51" s="712">
        <v>987</v>
      </c>
    </row>
    <row r="52" spans="1:17" ht="14.4" customHeight="1" x14ac:dyDescent="0.3">
      <c r="A52" s="695" t="s">
        <v>5126</v>
      </c>
      <c r="B52" s="696" t="s">
        <v>5127</v>
      </c>
      <c r="C52" s="696" t="s">
        <v>3589</v>
      </c>
      <c r="D52" s="696" t="s">
        <v>5152</v>
      </c>
      <c r="E52" s="696" t="s">
        <v>5153</v>
      </c>
      <c r="F52" s="711">
        <v>1</v>
      </c>
      <c r="G52" s="711">
        <v>17</v>
      </c>
      <c r="H52" s="711">
        <v>1</v>
      </c>
      <c r="I52" s="711">
        <v>17</v>
      </c>
      <c r="J52" s="711"/>
      <c r="K52" s="711"/>
      <c r="L52" s="711"/>
      <c r="M52" s="711"/>
      <c r="N52" s="711"/>
      <c r="O52" s="711"/>
      <c r="P52" s="701"/>
      <c r="Q52" s="712"/>
    </row>
    <row r="53" spans="1:17" ht="14.4" customHeight="1" x14ac:dyDescent="0.3">
      <c r="A53" s="695" t="s">
        <v>5126</v>
      </c>
      <c r="B53" s="696" t="s">
        <v>5127</v>
      </c>
      <c r="C53" s="696" t="s">
        <v>3589</v>
      </c>
      <c r="D53" s="696" t="s">
        <v>5154</v>
      </c>
      <c r="E53" s="696" t="s">
        <v>5155</v>
      </c>
      <c r="F53" s="711">
        <v>1</v>
      </c>
      <c r="G53" s="711">
        <v>60</v>
      </c>
      <c r="H53" s="711">
        <v>1</v>
      </c>
      <c r="I53" s="711">
        <v>60</v>
      </c>
      <c r="J53" s="711">
        <v>1</v>
      </c>
      <c r="K53" s="711">
        <v>60</v>
      </c>
      <c r="L53" s="711">
        <v>1</v>
      </c>
      <c r="M53" s="711">
        <v>60</v>
      </c>
      <c r="N53" s="711"/>
      <c r="O53" s="711"/>
      <c r="P53" s="701"/>
      <c r="Q53" s="712"/>
    </row>
    <row r="54" spans="1:17" ht="14.4" customHeight="1" x14ac:dyDescent="0.3">
      <c r="A54" s="695" t="s">
        <v>5126</v>
      </c>
      <c r="B54" s="696" t="s">
        <v>5127</v>
      </c>
      <c r="C54" s="696" t="s">
        <v>3589</v>
      </c>
      <c r="D54" s="696" t="s">
        <v>5156</v>
      </c>
      <c r="E54" s="696" t="s">
        <v>5157</v>
      </c>
      <c r="F54" s="711"/>
      <c r="G54" s="711"/>
      <c r="H54" s="711"/>
      <c r="I54" s="711"/>
      <c r="J54" s="711">
        <v>2</v>
      </c>
      <c r="K54" s="711">
        <v>2894</v>
      </c>
      <c r="L54" s="711"/>
      <c r="M54" s="711">
        <v>1447</v>
      </c>
      <c r="N54" s="711"/>
      <c r="O54" s="711"/>
      <c r="P54" s="701"/>
      <c r="Q54" s="712"/>
    </row>
    <row r="55" spans="1:17" ht="14.4" customHeight="1" x14ac:dyDescent="0.3">
      <c r="A55" s="695" t="s">
        <v>5126</v>
      </c>
      <c r="B55" s="696" t="s">
        <v>5127</v>
      </c>
      <c r="C55" s="696" t="s">
        <v>3589</v>
      </c>
      <c r="D55" s="696" t="s">
        <v>5158</v>
      </c>
      <c r="E55" s="696" t="s">
        <v>5159</v>
      </c>
      <c r="F55" s="711"/>
      <c r="G55" s="711"/>
      <c r="H55" s="711"/>
      <c r="I55" s="711"/>
      <c r="J55" s="711">
        <v>2</v>
      </c>
      <c r="K55" s="711">
        <v>922</v>
      </c>
      <c r="L55" s="711"/>
      <c r="M55" s="711">
        <v>461</v>
      </c>
      <c r="N55" s="711"/>
      <c r="O55" s="711"/>
      <c r="P55" s="701"/>
      <c r="Q55" s="712"/>
    </row>
    <row r="56" spans="1:17" ht="14.4" customHeight="1" x14ac:dyDescent="0.3">
      <c r="A56" s="695" t="s">
        <v>5126</v>
      </c>
      <c r="B56" s="696" t="s">
        <v>5127</v>
      </c>
      <c r="C56" s="696" t="s">
        <v>3589</v>
      </c>
      <c r="D56" s="696" t="s">
        <v>5160</v>
      </c>
      <c r="E56" s="696" t="s">
        <v>5161</v>
      </c>
      <c r="F56" s="711">
        <v>4</v>
      </c>
      <c r="G56" s="711">
        <v>3400</v>
      </c>
      <c r="H56" s="711">
        <v>1</v>
      </c>
      <c r="I56" s="711">
        <v>850</v>
      </c>
      <c r="J56" s="711">
        <v>12</v>
      </c>
      <c r="K56" s="711">
        <v>10212</v>
      </c>
      <c r="L56" s="711">
        <v>3.0035294117647058</v>
      </c>
      <c r="M56" s="711">
        <v>851</v>
      </c>
      <c r="N56" s="711">
        <v>7</v>
      </c>
      <c r="O56" s="711">
        <v>5957</v>
      </c>
      <c r="P56" s="701">
        <v>1.7520588235294117</v>
      </c>
      <c r="Q56" s="712">
        <v>851</v>
      </c>
    </row>
    <row r="57" spans="1:17" ht="14.4" customHeight="1" x14ac:dyDescent="0.3">
      <c r="A57" s="695" t="s">
        <v>5126</v>
      </c>
      <c r="B57" s="696" t="s">
        <v>5127</v>
      </c>
      <c r="C57" s="696" t="s">
        <v>3589</v>
      </c>
      <c r="D57" s="696" t="s">
        <v>5162</v>
      </c>
      <c r="E57" s="696" t="s">
        <v>5163</v>
      </c>
      <c r="F57" s="711"/>
      <c r="G57" s="711"/>
      <c r="H57" s="711"/>
      <c r="I57" s="711"/>
      <c r="J57" s="711">
        <v>1</v>
      </c>
      <c r="K57" s="711">
        <v>236</v>
      </c>
      <c r="L57" s="711"/>
      <c r="M57" s="711">
        <v>236</v>
      </c>
      <c r="N57" s="711"/>
      <c r="O57" s="711"/>
      <c r="P57" s="701"/>
      <c r="Q57" s="712"/>
    </row>
    <row r="58" spans="1:17" ht="14.4" customHeight="1" x14ac:dyDescent="0.3">
      <c r="A58" s="695" t="s">
        <v>5126</v>
      </c>
      <c r="B58" s="696" t="s">
        <v>5127</v>
      </c>
      <c r="C58" s="696" t="s">
        <v>3589</v>
      </c>
      <c r="D58" s="696" t="s">
        <v>5164</v>
      </c>
      <c r="E58" s="696" t="s">
        <v>5165</v>
      </c>
      <c r="F58" s="711"/>
      <c r="G58" s="711"/>
      <c r="H58" s="711"/>
      <c r="I58" s="711"/>
      <c r="J58" s="711">
        <v>1</v>
      </c>
      <c r="K58" s="711">
        <v>783</v>
      </c>
      <c r="L58" s="711"/>
      <c r="M58" s="711">
        <v>783</v>
      </c>
      <c r="N58" s="711">
        <v>2</v>
      </c>
      <c r="O58" s="711">
        <v>1566</v>
      </c>
      <c r="P58" s="701"/>
      <c r="Q58" s="712">
        <v>783</v>
      </c>
    </row>
    <row r="59" spans="1:17" ht="14.4" customHeight="1" x14ac:dyDescent="0.3">
      <c r="A59" s="695" t="s">
        <v>5126</v>
      </c>
      <c r="B59" s="696" t="s">
        <v>5127</v>
      </c>
      <c r="C59" s="696" t="s">
        <v>3589</v>
      </c>
      <c r="D59" s="696" t="s">
        <v>5166</v>
      </c>
      <c r="E59" s="696" t="s">
        <v>5167</v>
      </c>
      <c r="F59" s="711"/>
      <c r="G59" s="711"/>
      <c r="H59" s="711"/>
      <c r="I59" s="711"/>
      <c r="J59" s="711">
        <v>1</v>
      </c>
      <c r="K59" s="711">
        <v>597</v>
      </c>
      <c r="L59" s="711"/>
      <c r="M59" s="711">
        <v>597</v>
      </c>
      <c r="N59" s="711"/>
      <c r="O59" s="711"/>
      <c r="P59" s="701"/>
      <c r="Q59" s="712"/>
    </row>
    <row r="60" spans="1:17" ht="14.4" customHeight="1" x14ac:dyDescent="0.3">
      <c r="A60" s="695" t="s">
        <v>5126</v>
      </c>
      <c r="B60" s="696" t="s">
        <v>5127</v>
      </c>
      <c r="C60" s="696" t="s">
        <v>3589</v>
      </c>
      <c r="D60" s="696" t="s">
        <v>5168</v>
      </c>
      <c r="E60" s="696" t="s">
        <v>5169</v>
      </c>
      <c r="F60" s="711"/>
      <c r="G60" s="711"/>
      <c r="H60" s="711"/>
      <c r="I60" s="711"/>
      <c r="J60" s="711">
        <v>2</v>
      </c>
      <c r="K60" s="711">
        <v>1120</v>
      </c>
      <c r="L60" s="711"/>
      <c r="M60" s="711">
        <v>560</v>
      </c>
      <c r="N60" s="711"/>
      <c r="O60" s="711"/>
      <c r="P60" s="701"/>
      <c r="Q60" s="712"/>
    </row>
    <row r="61" spans="1:17" ht="14.4" customHeight="1" x14ac:dyDescent="0.3">
      <c r="A61" s="695" t="s">
        <v>5126</v>
      </c>
      <c r="B61" s="696" t="s">
        <v>5127</v>
      </c>
      <c r="C61" s="696" t="s">
        <v>3589</v>
      </c>
      <c r="D61" s="696" t="s">
        <v>5170</v>
      </c>
      <c r="E61" s="696" t="s">
        <v>5171</v>
      </c>
      <c r="F61" s="711">
        <v>1</v>
      </c>
      <c r="G61" s="711">
        <v>130</v>
      </c>
      <c r="H61" s="711">
        <v>1</v>
      </c>
      <c r="I61" s="711">
        <v>130</v>
      </c>
      <c r="J61" s="711">
        <v>1</v>
      </c>
      <c r="K61" s="711">
        <v>131</v>
      </c>
      <c r="L61" s="711">
        <v>1.0076923076923077</v>
      </c>
      <c r="M61" s="711">
        <v>131</v>
      </c>
      <c r="N61" s="711"/>
      <c r="O61" s="711"/>
      <c r="P61" s="701"/>
      <c r="Q61" s="712"/>
    </row>
    <row r="62" spans="1:17" ht="14.4" customHeight="1" x14ac:dyDescent="0.3">
      <c r="A62" s="695" t="s">
        <v>5126</v>
      </c>
      <c r="B62" s="696" t="s">
        <v>5127</v>
      </c>
      <c r="C62" s="696" t="s">
        <v>3589</v>
      </c>
      <c r="D62" s="696" t="s">
        <v>5172</v>
      </c>
      <c r="E62" s="696" t="s">
        <v>5173</v>
      </c>
      <c r="F62" s="711">
        <v>2</v>
      </c>
      <c r="G62" s="711">
        <v>352</v>
      </c>
      <c r="H62" s="711">
        <v>1</v>
      </c>
      <c r="I62" s="711">
        <v>176</v>
      </c>
      <c r="J62" s="711"/>
      <c r="K62" s="711"/>
      <c r="L62" s="711"/>
      <c r="M62" s="711"/>
      <c r="N62" s="711"/>
      <c r="O62" s="711"/>
      <c r="P62" s="701"/>
      <c r="Q62" s="712"/>
    </row>
    <row r="63" spans="1:17" ht="14.4" customHeight="1" x14ac:dyDescent="0.3">
      <c r="A63" s="695" t="s">
        <v>5126</v>
      </c>
      <c r="B63" s="696" t="s">
        <v>5127</v>
      </c>
      <c r="C63" s="696" t="s">
        <v>3589</v>
      </c>
      <c r="D63" s="696" t="s">
        <v>5174</v>
      </c>
      <c r="E63" s="696" t="s">
        <v>5175</v>
      </c>
      <c r="F63" s="711">
        <v>1</v>
      </c>
      <c r="G63" s="711">
        <v>411</v>
      </c>
      <c r="H63" s="711">
        <v>1</v>
      </c>
      <c r="I63" s="711">
        <v>411</v>
      </c>
      <c r="J63" s="711">
        <v>1</v>
      </c>
      <c r="K63" s="711">
        <v>412</v>
      </c>
      <c r="L63" s="711">
        <v>1.002433090024331</v>
      </c>
      <c r="M63" s="711">
        <v>412</v>
      </c>
      <c r="N63" s="711"/>
      <c r="O63" s="711"/>
      <c r="P63" s="701"/>
      <c r="Q63" s="712"/>
    </row>
    <row r="64" spans="1:17" ht="14.4" customHeight="1" x14ac:dyDescent="0.3">
      <c r="A64" s="695" t="s">
        <v>5126</v>
      </c>
      <c r="B64" s="696" t="s">
        <v>5127</v>
      </c>
      <c r="C64" s="696" t="s">
        <v>3589</v>
      </c>
      <c r="D64" s="696" t="s">
        <v>5176</v>
      </c>
      <c r="E64" s="696" t="s">
        <v>5177</v>
      </c>
      <c r="F64" s="711">
        <v>1</v>
      </c>
      <c r="G64" s="711">
        <v>393</v>
      </c>
      <c r="H64" s="711">
        <v>1</v>
      </c>
      <c r="I64" s="711">
        <v>393</v>
      </c>
      <c r="J64" s="711">
        <v>1</v>
      </c>
      <c r="K64" s="711">
        <v>394</v>
      </c>
      <c r="L64" s="711">
        <v>1.0025445292620865</v>
      </c>
      <c r="M64" s="711">
        <v>394</v>
      </c>
      <c r="N64" s="711"/>
      <c r="O64" s="711"/>
      <c r="P64" s="701"/>
      <c r="Q64" s="712"/>
    </row>
    <row r="65" spans="1:17" ht="14.4" customHeight="1" x14ac:dyDescent="0.3">
      <c r="A65" s="695" t="s">
        <v>5126</v>
      </c>
      <c r="B65" s="696" t="s">
        <v>5127</v>
      </c>
      <c r="C65" s="696" t="s">
        <v>3589</v>
      </c>
      <c r="D65" s="696" t="s">
        <v>5178</v>
      </c>
      <c r="E65" s="696" t="s">
        <v>5179</v>
      </c>
      <c r="F65" s="711"/>
      <c r="G65" s="711"/>
      <c r="H65" s="711"/>
      <c r="I65" s="711"/>
      <c r="J65" s="711">
        <v>2</v>
      </c>
      <c r="K65" s="711">
        <v>1146</v>
      </c>
      <c r="L65" s="711"/>
      <c r="M65" s="711">
        <v>573</v>
      </c>
      <c r="N65" s="711"/>
      <c r="O65" s="711"/>
      <c r="P65" s="701"/>
      <c r="Q65" s="712"/>
    </row>
    <row r="66" spans="1:17" ht="14.4" customHeight="1" x14ac:dyDescent="0.3">
      <c r="A66" s="695" t="s">
        <v>5126</v>
      </c>
      <c r="B66" s="696" t="s">
        <v>5127</v>
      </c>
      <c r="C66" s="696" t="s">
        <v>3589</v>
      </c>
      <c r="D66" s="696" t="s">
        <v>5180</v>
      </c>
      <c r="E66" s="696" t="s">
        <v>5181</v>
      </c>
      <c r="F66" s="711">
        <v>728</v>
      </c>
      <c r="G66" s="711">
        <v>21112</v>
      </c>
      <c r="H66" s="711">
        <v>1</v>
      </c>
      <c r="I66" s="711">
        <v>29</v>
      </c>
      <c r="J66" s="711">
        <v>654</v>
      </c>
      <c r="K66" s="711">
        <v>18966</v>
      </c>
      <c r="L66" s="711">
        <v>0.89835164835164838</v>
      </c>
      <c r="M66" s="711">
        <v>29</v>
      </c>
      <c r="N66" s="711">
        <v>638</v>
      </c>
      <c r="O66" s="711">
        <v>18502</v>
      </c>
      <c r="P66" s="701">
        <v>0.87637362637362637</v>
      </c>
      <c r="Q66" s="712">
        <v>29</v>
      </c>
    </row>
    <row r="67" spans="1:17" ht="14.4" customHeight="1" x14ac:dyDescent="0.3">
      <c r="A67" s="695" t="s">
        <v>5126</v>
      </c>
      <c r="B67" s="696" t="s">
        <v>5127</v>
      </c>
      <c r="C67" s="696" t="s">
        <v>3589</v>
      </c>
      <c r="D67" s="696" t="s">
        <v>5182</v>
      </c>
      <c r="E67" s="696" t="s">
        <v>5183</v>
      </c>
      <c r="F67" s="711">
        <v>1</v>
      </c>
      <c r="G67" s="711">
        <v>50</v>
      </c>
      <c r="H67" s="711">
        <v>1</v>
      </c>
      <c r="I67" s="711">
        <v>50</v>
      </c>
      <c r="J67" s="711">
        <v>1</v>
      </c>
      <c r="K67" s="711">
        <v>50</v>
      </c>
      <c r="L67" s="711">
        <v>1</v>
      </c>
      <c r="M67" s="711">
        <v>50</v>
      </c>
      <c r="N67" s="711"/>
      <c r="O67" s="711"/>
      <c r="P67" s="701"/>
      <c r="Q67" s="712"/>
    </row>
    <row r="68" spans="1:17" ht="14.4" customHeight="1" x14ac:dyDescent="0.3">
      <c r="A68" s="695" t="s">
        <v>5126</v>
      </c>
      <c r="B68" s="696" t="s">
        <v>5127</v>
      </c>
      <c r="C68" s="696" t="s">
        <v>3589</v>
      </c>
      <c r="D68" s="696" t="s">
        <v>5184</v>
      </c>
      <c r="E68" s="696" t="s">
        <v>5185</v>
      </c>
      <c r="F68" s="711">
        <v>49</v>
      </c>
      <c r="G68" s="711">
        <v>588</v>
      </c>
      <c r="H68" s="711">
        <v>1</v>
      </c>
      <c r="I68" s="711">
        <v>12</v>
      </c>
      <c r="J68" s="711">
        <v>44</v>
      </c>
      <c r="K68" s="711">
        <v>528</v>
      </c>
      <c r="L68" s="711">
        <v>0.89795918367346939</v>
      </c>
      <c r="M68" s="711">
        <v>12</v>
      </c>
      <c r="N68" s="711">
        <v>51</v>
      </c>
      <c r="O68" s="711">
        <v>612</v>
      </c>
      <c r="P68" s="701">
        <v>1.0408163265306123</v>
      </c>
      <c r="Q68" s="712">
        <v>12</v>
      </c>
    </row>
    <row r="69" spans="1:17" ht="14.4" customHeight="1" x14ac:dyDescent="0.3">
      <c r="A69" s="695" t="s">
        <v>5126</v>
      </c>
      <c r="B69" s="696" t="s">
        <v>5127</v>
      </c>
      <c r="C69" s="696" t="s">
        <v>3589</v>
      </c>
      <c r="D69" s="696" t="s">
        <v>5186</v>
      </c>
      <c r="E69" s="696" t="s">
        <v>5187</v>
      </c>
      <c r="F69" s="711">
        <v>5</v>
      </c>
      <c r="G69" s="711">
        <v>900</v>
      </c>
      <c r="H69" s="711">
        <v>1</v>
      </c>
      <c r="I69" s="711">
        <v>180</v>
      </c>
      <c r="J69" s="711">
        <v>2</v>
      </c>
      <c r="K69" s="711">
        <v>362</v>
      </c>
      <c r="L69" s="711">
        <v>0.4022222222222222</v>
      </c>
      <c r="M69" s="711">
        <v>181</v>
      </c>
      <c r="N69" s="711"/>
      <c r="O69" s="711"/>
      <c r="P69" s="701"/>
      <c r="Q69" s="712"/>
    </row>
    <row r="70" spans="1:17" ht="14.4" customHeight="1" x14ac:dyDescent="0.3">
      <c r="A70" s="695" t="s">
        <v>5126</v>
      </c>
      <c r="B70" s="696" t="s">
        <v>5127</v>
      </c>
      <c r="C70" s="696" t="s">
        <v>3589</v>
      </c>
      <c r="D70" s="696" t="s">
        <v>5188</v>
      </c>
      <c r="E70" s="696" t="s">
        <v>5189</v>
      </c>
      <c r="F70" s="711">
        <v>45</v>
      </c>
      <c r="G70" s="711">
        <v>3195</v>
      </c>
      <c r="H70" s="711">
        <v>1</v>
      </c>
      <c r="I70" s="711">
        <v>71</v>
      </c>
      <c r="J70" s="711">
        <v>19</v>
      </c>
      <c r="K70" s="711">
        <v>1349</v>
      </c>
      <c r="L70" s="711">
        <v>0.42222222222222222</v>
      </c>
      <c r="M70" s="711">
        <v>71</v>
      </c>
      <c r="N70" s="711">
        <v>45</v>
      </c>
      <c r="O70" s="711">
        <v>3195</v>
      </c>
      <c r="P70" s="701">
        <v>1</v>
      </c>
      <c r="Q70" s="712">
        <v>71</v>
      </c>
    </row>
    <row r="71" spans="1:17" ht="14.4" customHeight="1" x14ac:dyDescent="0.3">
      <c r="A71" s="695" t="s">
        <v>5126</v>
      </c>
      <c r="B71" s="696" t="s">
        <v>5127</v>
      </c>
      <c r="C71" s="696" t="s">
        <v>3589</v>
      </c>
      <c r="D71" s="696" t="s">
        <v>5190</v>
      </c>
      <c r="E71" s="696" t="s">
        <v>5191</v>
      </c>
      <c r="F71" s="711">
        <v>5</v>
      </c>
      <c r="G71" s="711">
        <v>905</v>
      </c>
      <c r="H71" s="711">
        <v>1</v>
      </c>
      <c r="I71" s="711">
        <v>181</v>
      </c>
      <c r="J71" s="711">
        <v>2</v>
      </c>
      <c r="K71" s="711">
        <v>364</v>
      </c>
      <c r="L71" s="711">
        <v>0.40220994475138122</v>
      </c>
      <c r="M71" s="711">
        <v>182</v>
      </c>
      <c r="N71" s="711"/>
      <c r="O71" s="711"/>
      <c r="P71" s="701"/>
      <c r="Q71" s="712"/>
    </row>
    <row r="72" spans="1:17" ht="14.4" customHeight="1" x14ac:dyDescent="0.3">
      <c r="A72" s="695" t="s">
        <v>5126</v>
      </c>
      <c r="B72" s="696" t="s">
        <v>5127</v>
      </c>
      <c r="C72" s="696" t="s">
        <v>3589</v>
      </c>
      <c r="D72" s="696" t="s">
        <v>5192</v>
      </c>
      <c r="E72" s="696" t="s">
        <v>5193</v>
      </c>
      <c r="F72" s="711">
        <v>317</v>
      </c>
      <c r="G72" s="711">
        <v>46599</v>
      </c>
      <c r="H72" s="711">
        <v>1</v>
      </c>
      <c r="I72" s="711">
        <v>147</v>
      </c>
      <c r="J72" s="711">
        <v>305</v>
      </c>
      <c r="K72" s="711">
        <v>44835</v>
      </c>
      <c r="L72" s="711">
        <v>0.96214511041009465</v>
      </c>
      <c r="M72" s="711">
        <v>147</v>
      </c>
      <c r="N72" s="711">
        <v>382</v>
      </c>
      <c r="O72" s="711">
        <v>56154</v>
      </c>
      <c r="P72" s="701">
        <v>1.2050473186119874</v>
      </c>
      <c r="Q72" s="712">
        <v>147</v>
      </c>
    </row>
    <row r="73" spans="1:17" ht="14.4" customHeight="1" x14ac:dyDescent="0.3">
      <c r="A73" s="695" t="s">
        <v>5126</v>
      </c>
      <c r="B73" s="696" t="s">
        <v>5127</v>
      </c>
      <c r="C73" s="696" t="s">
        <v>3589</v>
      </c>
      <c r="D73" s="696" t="s">
        <v>5194</v>
      </c>
      <c r="E73" s="696" t="s">
        <v>5195</v>
      </c>
      <c r="F73" s="711">
        <v>730</v>
      </c>
      <c r="G73" s="711">
        <v>21170</v>
      </c>
      <c r="H73" s="711">
        <v>1</v>
      </c>
      <c r="I73" s="711">
        <v>29</v>
      </c>
      <c r="J73" s="711">
        <v>714</v>
      </c>
      <c r="K73" s="711">
        <v>20706</v>
      </c>
      <c r="L73" s="711">
        <v>0.9780821917808219</v>
      </c>
      <c r="M73" s="711">
        <v>29</v>
      </c>
      <c r="N73" s="711">
        <v>684</v>
      </c>
      <c r="O73" s="711">
        <v>19836</v>
      </c>
      <c r="P73" s="701">
        <v>0.93698630136986305</v>
      </c>
      <c r="Q73" s="712">
        <v>29</v>
      </c>
    </row>
    <row r="74" spans="1:17" ht="14.4" customHeight="1" x14ac:dyDescent="0.3">
      <c r="A74" s="695" t="s">
        <v>5126</v>
      </c>
      <c r="B74" s="696" t="s">
        <v>5127</v>
      </c>
      <c r="C74" s="696" t="s">
        <v>3589</v>
      </c>
      <c r="D74" s="696" t="s">
        <v>5196</v>
      </c>
      <c r="E74" s="696" t="s">
        <v>5197</v>
      </c>
      <c r="F74" s="711">
        <v>138</v>
      </c>
      <c r="G74" s="711">
        <v>4278</v>
      </c>
      <c r="H74" s="711">
        <v>1</v>
      </c>
      <c r="I74" s="711">
        <v>31</v>
      </c>
      <c r="J74" s="711">
        <v>138</v>
      </c>
      <c r="K74" s="711">
        <v>4278</v>
      </c>
      <c r="L74" s="711">
        <v>1</v>
      </c>
      <c r="M74" s="711">
        <v>31</v>
      </c>
      <c r="N74" s="711">
        <v>154</v>
      </c>
      <c r="O74" s="711">
        <v>4774</v>
      </c>
      <c r="P74" s="701">
        <v>1.1159420289855073</v>
      </c>
      <c r="Q74" s="712">
        <v>31</v>
      </c>
    </row>
    <row r="75" spans="1:17" ht="14.4" customHeight="1" x14ac:dyDescent="0.3">
      <c r="A75" s="695" t="s">
        <v>5126</v>
      </c>
      <c r="B75" s="696" t="s">
        <v>5127</v>
      </c>
      <c r="C75" s="696" t="s">
        <v>3589</v>
      </c>
      <c r="D75" s="696" t="s">
        <v>5198</v>
      </c>
      <c r="E75" s="696" t="s">
        <v>5199</v>
      </c>
      <c r="F75" s="711">
        <v>333</v>
      </c>
      <c r="G75" s="711">
        <v>8991</v>
      </c>
      <c r="H75" s="711">
        <v>1</v>
      </c>
      <c r="I75" s="711">
        <v>27</v>
      </c>
      <c r="J75" s="711">
        <v>315</v>
      </c>
      <c r="K75" s="711">
        <v>8505</v>
      </c>
      <c r="L75" s="711">
        <v>0.94594594594594594</v>
      </c>
      <c r="M75" s="711">
        <v>27</v>
      </c>
      <c r="N75" s="711">
        <v>313</v>
      </c>
      <c r="O75" s="711">
        <v>8451</v>
      </c>
      <c r="P75" s="701">
        <v>0.93993993993993996</v>
      </c>
      <c r="Q75" s="712">
        <v>27</v>
      </c>
    </row>
    <row r="76" spans="1:17" ht="14.4" customHeight="1" x14ac:dyDescent="0.3">
      <c r="A76" s="695" t="s">
        <v>5126</v>
      </c>
      <c r="B76" s="696" t="s">
        <v>5127</v>
      </c>
      <c r="C76" s="696" t="s">
        <v>3589</v>
      </c>
      <c r="D76" s="696" t="s">
        <v>5200</v>
      </c>
      <c r="E76" s="696" t="s">
        <v>5201</v>
      </c>
      <c r="F76" s="711">
        <v>2</v>
      </c>
      <c r="G76" s="711">
        <v>506</v>
      </c>
      <c r="H76" s="711">
        <v>1</v>
      </c>
      <c r="I76" s="711">
        <v>253</v>
      </c>
      <c r="J76" s="711"/>
      <c r="K76" s="711"/>
      <c r="L76" s="711"/>
      <c r="M76" s="711"/>
      <c r="N76" s="711"/>
      <c r="O76" s="711"/>
      <c r="P76" s="701"/>
      <c r="Q76" s="712"/>
    </row>
    <row r="77" spans="1:17" ht="14.4" customHeight="1" x14ac:dyDescent="0.3">
      <c r="A77" s="695" t="s">
        <v>5126</v>
      </c>
      <c r="B77" s="696" t="s">
        <v>5127</v>
      </c>
      <c r="C77" s="696" t="s">
        <v>3589</v>
      </c>
      <c r="D77" s="696" t="s">
        <v>5202</v>
      </c>
      <c r="E77" s="696" t="s">
        <v>5203</v>
      </c>
      <c r="F77" s="711">
        <v>333</v>
      </c>
      <c r="G77" s="711">
        <v>8325</v>
      </c>
      <c r="H77" s="711">
        <v>1</v>
      </c>
      <c r="I77" s="711">
        <v>25</v>
      </c>
      <c r="J77" s="711">
        <v>341</v>
      </c>
      <c r="K77" s="711">
        <v>8525</v>
      </c>
      <c r="L77" s="711">
        <v>1.0240240240240239</v>
      </c>
      <c r="M77" s="711">
        <v>25</v>
      </c>
      <c r="N77" s="711">
        <v>306</v>
      </c>
      <c r="O77" s="711">
        <v>7650</v>
      </c>
      <c r="P77" s="701">
        <v>0.91891891891891897</v>
      </c>
      <c r="Q77" s="712">
        <v>25</v>
      </c>
    </row>
    <row r="78" spans="1:17" ht="14.4" customHeight="1" x14ac:dyDescent="0.3">
      <c r="A78" s="695" t="s">
        <v>5126</v>
      </c>
      <c r="B78" s="696" t="s">
        <v>5127</v>
      </c>
      <c r="C78" s="696" t="s">
        <v>3589</v>
      </c>
      <c r="D78" s="696" t="s">
        <v>5204</v>
      </c>
      <c r="E78" s="696" t="s">
        <v>5205</v>
      </c>
      <c r="F78" s="711">
        <v>1</v>
      </c>
      <c r="G78" s="711">
        <v>33</v>
      </c>
      <c r="H78" s="711">
        <v>1</v>
      </c>
      <c r="I78" s="711">
        <v>33</v>
      </c>
      <c r="J78" s="711">
        <v>2</v>
      </c>
      <c r="K78" s="711">
        <v>66</v>
      </c>
      <c r="L78" s="711">
        <v>2</v>
      </c>
      <c r="M78" s="711">
        <v>33</v>
      </c>
      <c r="N78" s="711">
        <v>1</v>
      </c>
      <c r="O78" s="711">
        <v>33</v>
      </c>
      <c r="P78" s="701">
        <v>1</v>
      </c>
      <c r="Q78" s="712">
        <v>33</v>
      </c>
    </row>
    <row r="79" spans="1:17" ht="14.4" customHeight="1" x14ac:dyDescent="0.3">
      <c r="A79" s="695" t="s">
        <v>5126</v>
      </c>
      <c r="B79" s="696" t="s">
        <v>5127</v>
      </c>
      <c r="C79" s="696" t="s">
        <v>3589</v>
      </c>
      <c r="D79" s="696" t="s">
        <v>5206</v>
      </c>
      <c r="E79" s="696" t="s">
        <v>5207</v>
      </c>
      <c r="F79" s="711"/>
      <c r="G79" s="711"/>
      <c r="H79" s="711"/>
      <c r="I79" s="711"/>
      <c r="J79" s="711">
        <v>1</v>
      </c>
      <c r="K79" s="711">
        <v>204</v>
      </c>
      <c r="L79" s="711"/>
      <c r="M79" s="711">
        <v>204</v>
      </c>
      <c r="N79" s="711"/>
      <c r="O79" s="711"/>
      <c r="P79" s="701"/>
      <c r="Q79" s="712"/>
    </row>
    <row r="80" spans="1:17" ht="14.4" customHeight="1" x14ac:dyDescent="0.3">
      <c r="A80" s="695" t="s">
        <v>5126</v>
      </c>
      <c r="B80" s="696" t="s">
        <v>5127</v>
      </c>
      <c r="C80" s="696" t="s">
        <v>3589</v>
      </c>
      <c r="D80" s="696" t="s">
        <v>5208</v>
      </c>
      <c r="E80" s="696" t="s">
        <v>5209</v>
      </c>
      <c r="F80" s="711">
        <v>1</v>
      </c>
      <c r="G80" s="711">
        <v>26</v>
      </c>
      <c r="H80" s="711">
        <v>1</v>
      </c>
      <c r="I80" s="711">
        <v>26</v>
      </c>
      <c r="J80" s="711">
        <v>3</v>
      </c>
      <c r="K80" s="711">
        <v>78</v>
      </c>
      <c r="L80" s="711">
        <v>3</v>
      </c>
      <c r="M80" s="711">
        <v>26</v>
      </c>
      <c r="N80" s="711">
        <v>1</v>
      </c>
      <c r="O80" s="711">
        <v>26</v>
      </c>
      <c r="P80" s="701">
        <v>1</v>
      </c>
      <c r="Q80" s="712">
        <v>26</v>
      </c>
    </row>
    <row r="81" spans="1:17" ht="14.4" customHeight="1" x14ac:dyDescent="0.3">
      <c r="A81" s="695" t="s">
        <v>5126</v>
      </c>
      <c r="B81" s="696" t="s">
        <v>5127</v>
      </c>
      <c r="C81" s="696" t="s">
        <v>3589</v>
      </c>
      <c r="D81" s="696" t="s">
        <v>5210</v>
      </c>
      <c r="E81" s="696" t="s">
        <v>5211</v>
      </c>
      <c r="F81" s="711">
        <v>13</v>
      </c>
      <c r="G81" s="711">
        <v>1092</v>
      </c>
      <c r="H81" s="711">
        <v>1</v>
      </c>
      <c r="I81" s="711">
        <v>84</v>
      </c>
      <c r="J81" s="711">
        <v>27</v>
      </c>
      <c r="K81" s="711">
        <v>2268</v>
      </c>
      <c r="L81" s="711">
        <v>2.0769230769230771</v>
      </c>
      <c r="M81" s="711">
        <v>84</v>
      </c>
      <c r="N81" s="711">
        <v>39</v>
      </c>
      <c r="O81" s="711">
        <v>3276</v>
      </c>
      <c r="P81" s="701">
        <v>3</v>
      </c>
      <c r="Q81" s="712">
        <v>84</v>
      </c>
    </row>
    <row r="82" spans="1:17" ht="14.4" customHeight="1" x14ac:dyDescent="0.3">
      <c r="A82" s="695" t="s">
        <v>5126</v>
      </c>
      <c r="B82" s="696" t="s">
        <v>5127</v>
      </c>
      <c r="C82" s="696" t="s">
        <v>3589</v>
      </c>
      <c r="D82" s="696" t="s">
        <v>5212</v>
      </c>
      <c r="E82" s="696" t="s">
        <v>5213</v>
      </c>
      <c r="F82" s="711">
        <v>6</v>
      </c>
      <c r="G82" s="711">
        <v>1038</v>
      </c>
      <c r="H82" s="711">
        <v>1</v>
      </c>
      <c r="I82" s="711">
        <v>173</v>
      </c>
      <c r="J82" s="711">
        <v>3</v>
      </c>
      <c r="K82" s="711">
        <v>522</v>
      </c>
      <c r="L82" s="711">
        <v>0.50289017341040465</v>
      </c>
      <c r="M82" s="711">
        <v>174</v>
      </c>
      <c r="N82" s="711">
        <v>1</v>
      </c>
      <c r="O82" s="711">
        <v>174</v>
      </c>
      <c r="P82" s="701">
        <v>0.16763005780346821</v>
      </c>
      <c r="Q82" s="712">
        <v>174</v>
      </c>
    </row>
    <row r="83" spans="1:17" ht="14.4" customHeight="1" x14ac:dyDescent="0.3">
      <c r="A83" s="695" t="s">
        <v>5126</v>
      </c>
      <c r="B83" s="696" t="s">
        <v>5127</v>
      </c>
      <c r="C83" s="696" t="s">
        <v>3589</v>
      </c>
      <c r="D83" s="696" t="s">
        <v>5214</v>
      </c>
      <c r="E83" s="696" t="s">
        <v>5215</v>
      </c>
      <c r="F83" s="711">
        <v>1</v>
      </c>
      <c r="G83" s="711">
        <v>250</v>
      </c>
      <c r="H83" s="711">
        <v>1</v>
      </c>
      <c r="I83" s="711">
        <v>250</v>
      </c>
      <c r="J83" s="711"/>
      <c r="K83" s="711"/>
      <c r="L83" s="711"/>
      <c r="M83" s="711"/>
      <c r="N83" s="711"/>
      <c r="O83" s="711"/>
      <c r="P83" s="701"/>
      <c r="Q83" s="712"/>
    </row>
    <row r="84" spans="1:17" ht="14.4" customHeight="1" x14ac:dyDescent="0.3">
      <c r="A84" s="695" t="s">
        <v>5126</v>
      </c>
      <c r="B84" s="696" t="s">
        <v>5127</v>
      </c>
      <c r="C84" s="696" t="s">
        <v>3589</v>
      </c>
      <c r="D84" s="696" t="s">
        <v>5216</v>
      </c>
      <c r="E84" s="696" t="s">
        <v>5217</v>
      </c>
      <c r="F84" s="711">
        <v>21</v>
      </c>
      <c r="G84" s="711">
        <v>483</v>
      </c>
      <c r="H84" s="711">
        <v>1</v>
      </c>
      <c r="I84" s="711">
        <v>23</v>
      </c>
      <c r="J84" s="711">
        <v>5</v>
      </c>
      <c r="K84" s="711">
        <v>115</v>
      </c>
      <c r="L84" s="711">
        <v>0.23809523809523808</v>
      </c>
      <c r="M84" s="711">
        <v>23</v>
      </c>
      <c r="N84" s="711">
        <v>10</v>
      </c>
      <c r="O84" s="711">
        <v>230</v>
      </c>
      <c r="P84" s="701">
        <v>0.47619047619047616</v>
      </c>
      <c r="Q84" s="712">
        <v>23</v>
      </c>
    </row>
    <row r="85" spans="1:17" ht="14.4" customHeight="1" x14ac:dyDescent="0.3">
      <c r="A85" s="695" t="s">
        <v>5126</v>
      </c>
      <c r="B85" s="696" t="s">
        <v>5127</v>
      </c>
      <c r="C85" s="696" t="s">
        <v>3589</v>
      </c>
      <c r="D85" s="696" t="s">
        <v>5218</v>
      </c>
      <c r="E85" s="696" t="s">
        <v>5219</v>
      </c>
      <c r="F85" s="711">
        <v>1</v>
      </c>
      <c r="G85" s="711">
        <v>249</v>
      </c>
      <c r="H85" s="711">
        <v>1</v>
      </c>
      <c r="I85" s="711">
        <v>249</v>
      </c>
      <c r="J85" s="711"/>
      <c r="K85" s="711"/>
      <c r="L85" s="711"/>
      <c r="M85" s="711"/>
      <c r="N85" s="711"/>
      <c r="O85" s="711"/>
      <c r="P85" s="701"/>
      <c r="Q85" s="712"/>
    </row>
    <row r="86" spans="1:17" ht="14.4" customHeight="1" x14ac:dyDescent="0.3">
      <c r="A86" s="695" t="s">
        <v>5126</v>
      </c>
      <c r="B86" s="696" t="s">
        <v>5127</v>
      </c>
      <c r="C86" s="696" t="s">
        <v>3589</v>
      </c>
      <c r="D86" s="696" t="s">
        <v>5220</v>
      </c>
      <c r="E86" s="696" t="s">
        <v>5221</v>
      </c>
      <c r="F86" s="711"/>
      <c r="G86" s="711"/>
      <c r="H86" s="711"/>
      <c r="I86" s="711"/>
      <c r="J86" s="711"/>
      <c r="K86" s="711"/>
      <c r="L86" s="711"/>
      <c r="M86" s="711"/>
      <c r="N86" s="711">
        <v>1</v>
      </c>
      <c r="O86" s="711">
        <v>37</v>
      </c>
      <c r="P86" s="701"/>
      <c r="Q86" s="712">
        <v>37</v>
      </c>
    </row>
    <row r="87" spans="1:17" ht="14.4" customHeight="1" x14ac:dyDescent="0.3">
      <c r="A87" s="695" t="s">
        <v>5126</v>
      </c>
      <c r="B87" s="696" t="s">
        <v>5127</v>
      </c>
      <c r="C87" s="696" t="s">
        <v>3589</v>
      </c>
      <c r="D87" s="696" t="s">
        <v>5222</v>
      </c>
      <c r="E87" s="696" t="s">
        <v>5223</v>
      </c>
      <c r="F87" s="711">
        <v>371</v>
      </c>
      <c r="G87" s="711">
        <v>8533</v>
      </c>
      <c r="H87" s="711">
        <v>1</v>
      </c>
      <c r="I87" s="711">
        <v>23</v>
      </c>
      <c r="J87" s="711">
        <v>332</v>
      </c>
      <c r="K87" s="711">
        <v>7636</v>
      </c>
      <c r="L87" s="711">
        <v>0.89487870619946097</v>
      </c>
      <c r="M87" s="711">
        <v>23</v>
      </c>
      <c r="N87" s="711">
        <v>276</v>
      </c>
      <c r="O87" s="711">
        <v>6348</v>
      </c>
      <c r="P87" s="701">
        <v>0.7439353099730458</v>
      </c>
      <c r="Q87" s="712">
        <v>23</v>
      </c>
    </row>
    <row r="88" spans="1:17" ht="14.4" customHeight="1" x14ac:dyDescent="0.3">
      <c r="A88" s="695" t="s">
        <v>5126</v>
      </c>
      <c r="B88" s="696" t="s">
        <v>5127</v>
      </c>
      <c r="C88" s="696" t="s">
        <v>3589</v>
      </c>
      <c r="D88" s="696" t="s">
        <v>5224</v>
      </c>
      <c r="E88" s="696" t="s">
        <v>5225</v>
      </c>
      <c r="F88" s="711"/>
      <c r="G88" s="711"/>
      <c r="H88" s="711"/>
      <c r="I88" s="711"/>
      <c r="J88" s="711">
        <v>1</v>
      </c>
      <c r="K88" s="711">
        <v>586</v>
      </c>
      <c r="L88" s="711"/>
      <c r="M88" s="711">
        <v>586</v>
      </c>
      <c r="N88" s="711"/>
      <c r="O88" s="711"/>
      <c r="P88" s="701"/>
      <c r="Q88" s="712"/>
    </row>
    <row r="89" spans="1:17" ht="14.4" customHeight="1" x14ac:dyDescent="0.3">
      <c r="A89" s="695" t="s">
        <v>5126</v>
      </c>
      <c r="B89" s="696" t="s">
        <v>5127</v>
      </c>
      <c r="C89" s="696" t="s">
        <v>3589</v>
      </c>
      <c r="D89" s="696" t="s">
        <v>5226</v>
      </c>
      <c r="E89" s="696" t="s">
        <v>5227</v>
      </c>
      <c r="F89" s="711">
        <v>2</v>
      </c>
      <c r="G89" s="711">
        <v>58</v>
      </c>
      <c r="H89" s="711">
        <v>1</v>
      </c>
      <c r="I89" s="711">
        <v>29</v>
      </c>
      <c r="J89" s="711">
        <v>6</v>
      </c>
      <c r="K89" s="711">
        <v>174</v>
      </c>
      <c r="L89" s="711">
        <v>3</v>
      </c>
      <c r="M89" s="711">
        <v>29</v>
      </c>
      <c r="N89" s="711">
        <v>2</v>
      </c>
      <c r="O89" s="711">
        <v>58</v>
      </c>
      <c r="P89" s="701">
        <v>1</v>
      </c>
      <c r="Q89" s="712">
        <v>29</v>
      </c>
    </row>
    <row r="90" spans="1:17" ht="14.4" customHeight="1" x14ac:dyDescent="0.3">
      <c r="A90" s="695" t="s">
        <v>5126</v>
      </c>
      <c r="B90" s="696" t="s">
        <v>5127</v>
      </c>
      <c r="C90" s="696" t="s">
        <v>3589</v>
      </c>
      <c r="D90" s="696" t="s">
        <v>5228</v>
      </c>
      <c r="E90" s="696" t="s">
        <v>5229</v>
      </c>
      <c r="F90" s="711">
        <v>1</v>
      </c>
      <c r="G90" s="711">
        <v>176</v>
      </c>
      <c r="H90" s="711">
        <v>1</v>
      </c>
      <c r="I90" s="711">
        <v>176</v>
      </c>
      <c r="J90" s="711"/>
      <c r="K90" s="711"/>
      <c r="L90" s="711"/>
      <c r="M90" s="711"/>
      <c r="N90" s="711">
        <v>1</v>
      </c>
      <c r="O90" s="711">
        <v>176</v>
      </c>
      <c r="P90" s="701">
        <v>1</v>
      </c>
      <c r="Q90" s="712">
        <v>176</v>
      </c>
    </row>
    <row r="91" spans="1:17" ht="14.4" customHeight="1" x14ac:dyDescent="0.3">
      <c r="A91" s="695" t="s">
        <v>5126</v>
      </c>
      <c r="B91" s="696" t="s">
        <v>5127</v>
      </c>
      <c r="C91" s="696" t="s">
        <v>3589</v>
      </c>
      <c r="D91" s="696" t="s">
        <v>5230</v>
      </c>
      <c r="E91" s="696" t="s">
        <v>5231</v>
      </c>
      <c r="F91" s="711">
        <v>11</v>
      </c>
      <c r="G91" s="711">
        <v>220</v>
      </c>
      <c r="H91" s="711">
        <v>1</v>
      </c>
      <c r="I91" s="711">
        <v>20</v>
      </c>
      <c r="J91" s="711">
        <v>9</v>
      </c>
      <c r="K91" s="711">
        <v>180</v>
      </c>
      <c r="L91" s="711">
        <v>0.81818181818181823</v>
      </c>
      <c r="M91" s="711">
        <v>20</v>
      </c>
      <c r="N91" s="711">
        <v>6</v>
      </c>
      <c r="O91" s="711">
        <v>120</v>
      </c>
      <c r="P91" s="701">
        <v>0.54545454545454541</v>
      </c>
      <c r="Q91" s="712">
        <v>20</v>
      </c>
    </row>
    <row r="92" spans="1:17" ht="14.4" customHeight="1" x14ac:dyDescent="0.3">
      <c r="A92" s="695" t="s">
        <v>5126</v>
      </c>
      <c r="B92" s="696" t="s">
        <v>5127</v>
      </c>
      <c r="C92" s="696" t="s">
        <v>3589</v>
      </c>
      <c r="D92" s="696" t="s">
        <v>5232</v>
      </c>
      <c r="E92" s="696" t="s">
        <v>5233</v>
      </c>
      <c r="F92" s="711"/>
      <c r="G92" s="711"/>
      <c r="H92" s="711"/>
      <c r="I92" s="711"/>
      <c r="J92" s="711">
        <v>5</v>
      </c>
      <c r="K92" s="711">
        <v>925</v>
      </c>
      <c r="L92" s="711"/>
      <c r="M92" s="711">
        <v>185</v>
      </c>
      <c r="N92" s="711"/>
      <c r="O92" s="711"/>
      <c r="P92" s="701"/>
      <c r="Q92" s="712"/>
    </row>
    <row r="93" spans="1:17" ht="14.4" customHeight="1" x14ac:dyDescent="0.3">
      <c r="A93" s="695" t="s">
        <v>5126</v>
      </c>
      <c r="B93" s="696" t="s">
        <v>5127</v>
      </c>
      <c r="C93" s="696" t="s">
        <v>3589</v>
      </c>
      <c r="D93" s="696" t="s">
        <v>5234</v>
      </c>
      <c r="E93" s="696" t="s">
        <v>5235</v>
      </c>
      <c r="F93" s="711"/>
      <c r="G93" s="711"/>
      <c r="H93" s="711"/>
      <c r="I93" s="711"/>
      <c r="J93" s="711"/>
      <c r="K93" s="711"/>
      <c r="L93" s="711"/>
      <c r="M93" s="711"/>
      <c r="N93" s="711">
        <v>1</v>
      </c>
      <c r="O93" s="711">
        <v>84</v>
      </c>
      <c r="P93" s="701"/>
      <c r="Q93" s="712">
        <v>84</v>
      </c>
    </row>
    <row r="94" spans="1:17" ht="14.4" customHeight="1" x14ac:dyDescent="0.3">
      <c r="A94" s="695" t="s">
        <v>5126</v>
      </c>
      <c r="B94" s="696" t="s">
        <v>5127</v>
      </c>
      <c r="C94" s="696" t="s">
        <v>3589</v>
      </c>
      <c r="D94" s="696" t="s">
        <v>5236</v>
      </c>
      <c r="E94" s="696" t="s">
        <v>5237</v>
      </c>
      <c r="F94" s="711"/>
      <c r="G94" s="711"/>
      <c r="H94" s="711"/>
      <c r="I94" s="711"/>
      <c r="J94" s="711">
        <v>1</v>
      </c>
      <c r="K94" s="711">
        <v>952</v>
      </c>
      <c r="L94" s="711"/>
      <c r="M94" s="711">
        <v>952</v>
      </c>
      <c r="N94" s="711"/>
      <c r="O94" s="711"/>
      <c r="P94" s="701"/>
      <c r="Q94" s="712"/>
    </row>
    <row r="95" spans="1:17" ht="14.4" customHeight="1" x14ac:dyDescent="0.3">
      <c r="A95" s="695" t="s">
        <v>5126</v>
      </c>
      <c r="B95" s="696" t="s">
        <v>5127</v>
      </c>
      <c r="C95" s="696" t="s">
        <v>3589</v>
      </c>
      <c r="D95" s="696" t="s">
        <v>5238</v>
      </c>
      <c r="E95" s="696" t="s">
        <v>5239</v>
      </c>
      <c r="F95" s="711"/>
      <c r="G95" s="711"/>
      <c r="H95" s="711"/>
      <c r="I95" s="711"/>
      <c r="J95" s="711">
        <v>1</v>
      </c>
      <c r="K95" s="711">
        <v>298</v>
      </c>
      <c r="L95" s="711"/>
      <c r="M95" s="711">
        <v>298</v>
      </c>
      <c r="N95" s="711"/>
      <c r="O95" s="711"/>
      <c r="P95" s="701"/>
      <c r="Q95" s="712"/>
    </row>
    <row r="96" spans="1:17" ht="14.4" customHeight="1" x14ac:dyDescent="0.3">
      <c r="A96" s="695" t="s">
        <v>5126</v>
      </c>
      <c r="B96" s="696" t="s">
        <v>5127</v>
      </c>
      <c r="C96" s="696" t="s">
        <v>3589</v>
      </c>
      <c r="D96" s="696" t="s">
        <v>5240</v>
      </c>
      <c r="E96" s="696" t="s">
        <v>5241</v>
      </c>
      <c r="F96" s="711">
        <v>22</v>
      </c>
      <c r="G96" s="711">
        <v>484</v>
      </c>
      <c r="H96" s="711">
        <v>1</v>
      </c>
      <c r="I96" s="711">
        <v>22</v>
      </c>
      <c r="J96" s="711">
        <v>8</v>
      </c>
      <c r="K96" s="711">
        <v>176</v>
      </c>
      <c r="L96" s="711">
        <v>0.36363636363636365</v>
      </c>
      <c r="M96" s="711">
        <v>22</v>
      </c>
      <c r="N96" s="711">
        <v>16</v>
      </c>
      <c r="O96" s="711">
        <v>352</v>
      </c>
      <c r="P96" s="701">
        <v>0.72727272727272729</v>
      </c>
      <c r="Q96" s="712">
        <v>22</v>
      </c>
    </row>
    <row r="97" spans="1:17" ht="14.4" customHeight="1" x14ac:dyDescent="0.3">
      <c r="A97" s="695" t="s">
        <v>5126</v>
      </c>
      <c r="B97" s="696" t="s">
        <v>5127</v>
      </c>
      <c r="C97" s="696" t="s">
        <v>3589</v>
      </c>
      <c r="D97" s="696" t="s">
        <v>5242</v>
      </c>
      <c r="E97" s="696" t="s">
        <v>5243</v>
      </c>
      <c r="F97" s="711">
        <v>1</v>
      </c>
      <c r="G97" s="711">
        <v>189</v>
      </c>
      <c r="H97" s="711">
        <v>1</v>
      </c>
      <c r="I97" s="711">
        <v>189</v>
      </c>
      <c r="J97" s="711">
        <v>1</v>
      </c>
      <c r="K97" s="711">
        <v>190</v>
      </c>
      <c r="L97" s="711">
        <v>1.0052910052910053</v>
      </c>
      <c r="M97" s="711">
        <v>190</v>
      </c>
      <c r="N97" s="711"/>
      <c r="O97" s="711"/>
      <c r="P97" s="701"/>
      <c r="Q97" s="712"/>
    </row>
    <row r="98" spans="1:17" ht="14.4" customHeight="1" x14ac:dyDescent="0.3">
      <c r="A98" s="695" t="s">
        <v>5126</v>
      </c>
      <c r="B98" s="696" t="s">
        <v>5127</v>
      </c>
      <c r="C98" s="696" t="s">
        <v>3589</v>
      </c>
      <c r="D98" s="696" t="s">
        <v>5244</v>
      </c>
      <c r="E98" s="696" t="s">
        <v>5245</v>
      </c>
      <c r="F98" s="711">
        <v>12</v>
      </c>
      <c r="G98" s="711">
        <v>276</v>
      </c>
      <c r="H98" s="711">
        <v>1</v>
      </c>
      <c r="I98" s="711">
        <v>23</v>
      </c>
      <c r="J98" s="711">
        <v>6</v>
      </c>
      <c r="K98" s="711">
        <v>138</v>
      </c>
      <c r="L98" s="711">
        <v>0.5</v>
      </c>
      <c r="M98" s="711">
        <v>23</v>
      </c>
      <c r="N98" s="711">
        <v>16</v>
      </c>
      <c r="O98" s="711">
        <v>368</v>
      </c>
      <c r="P98" s="701">
        <v>1.3333333333333333</v>
      </c>
      <c r="Q98" s="712">
        <v>23</v>
      </c>
    </row>
    <row r="99" spans="1:17" ht="14.4" customHeight="1" x14ac:dyDescent="0.3">
      <c r="A99" s="695" t="s">
        <v>5126</v>
      </c>
      <c r="B99" s="696" t="s">
        <v>5127</v>
      </c>
      <c r="C99" s="696" t="s">
        <v>3589</v>
      </c>
      <c r="D99" s="696" t="s">
        <v>5246</v>
      </c>
      <c r="E99" s="696" t="s">
        <v>5247</v>
      </c>
      <c r="F99" s="711">
        <v>1</v>
      </c>
      <c r="G99" s="711">
        <v>130</v>
      </c>
      <c r="H99" s="711">
        <v>1</v>
      </c>
      <c r="I99" s="711">
        <v>130</v>
      </c>
      <c r="J99" s="711">
        <v>1</v>
      </c>
      <c r="K99" s="711">
        <v>131</v>
      </c>
      <c r="L99" s="711">
        <v>1.0076923076923077</v>
      </c>
      <c r="M99" s="711">
        <v>131</v>
      </c>
      <c r="N99" s="711"/>
      <c r="O99" s="711"/>
      <c r="P99" s="701"/>
      <c r="Q99" s="712"/>
    </row>
    <row r="100" spans="1:17" ht="14.4" customHeight="1" x14ac:dyDescent="0.3">
      <c r="A100" s="695" t="s">
        <v>5126</v>
      </c>
      <c r="B100" s="696" t="s">
        <v>5127</v>
      </c>
      <c r="C100" s="696" t="s">
        <v>3589</v>
      </c>
      <c r="D100" s="696" t="s">
        <v>5248</v>
      </c>
      <c r="E100" s="696" t="s">
        <v>5249</v>
      </c>
      <c r="F100" s="711">
        <v>21</v>
      </c>
      <c r="G100" s="711">
        <v>6111</v>
      </c>
      <c r="H100" s="711">
        <v>1</v>
      </c>
      <c r="I100" s="711">
        <v>291</v>
      </c>
      <c r="J100" s="711">
        <v>27</v>
      </c>
      <c r="K100" s="711">
        <v>7857</v>
      </c>
      <c r="L100" s="711">
        <v>1.2857142857142858</v>
      </c>
      <c r="M100" s="711">
        <v>291</v>
      </c>
      <c r="N100" s="711">
        <v>21</v>
      </c>
      <c r="O100" s="711">
        <v>6111</v>
      </c>
      <c r="P100" s="701">
        <v>1</v>
      </c>
      <c r="Q100" s="712">
        <v>291</v>
      </c>
    </row>
    <row r="101" spans="1:17" ht="14.4" customHeight="1" x14ac:dyDescent="0.3">
      <c r="A101" s="695" t="s">
        <v>5126</v>
      </c>
      <c r="B101" s="696" t="s">
        <v>5127</v>
      </c>
      <c r="C101" s="696" t="s">
        <v>3589</v>
      </c>
      <c r="D101" s="696" t="s">
        <v>5250</v>
      </c>
      <c r="E101" s="696" t="s">
        <v>5251</v>
      </c>
      <c r="F101" s="711"/>
      <c r="G101" s="711"/>
      <c r="H101" s="711"/>
      <c r="I101" s="711"/>
      <c r="J101" s="711">
        <v>2</v>
      </c>
      <c r="K101" s="711">
        <v>1178</v>
      </c>
      <c r="L101" s="711"/>
      <c r="M101" s="711">
        <v>589</v>
      </c>
      <c r="N101" s="711"/>
      <c r="O101" s="711"/>
      <c r="P101" s="701"/>
      <c r="Q101" s="712"/>
    </row>
    <row r="102" spans="1:17" ht="14.4" customHeight="1" x14ac:dyDescent="0.3">
      <c r="A102" s="695" t="s">
        <v>5126</v>
      </c>
      <c r="B102" s="696" t="s">
        <v>5127</v>
      </c>
      <c r="C102" s="696" t="s">
        <v>3589</v>
      </c>
      <c r="D102" s="696" t="s">
        <v>5252</v>
      </c>
      <c r="E102" s="696" t="s">
        <v>5253</v>
      </c>
      <c r="F102" s="711"/>
      <c r="G102" s="711"/>
      <c r="H102" s="711"/>
      <c r="I102" s="711"/>
      <c r="J102" s="711"/>
      <c r="K102" s="711"/>
      <c r="L102" s="711"/>
      <c r="M102" s="711"/>
      <c r="N102" s="711">
        <v>36</v>
      </c>
      <c r="O102" s="711">
        <v>1656</v>
      </c>
      <c r="P102" s="701"/>
      <c r="Q102" s="712">
        <v>46</v>
      </c>
    </row>
    <row r="103" spans="1:17" ht="14.4" customHeight="1" x14ac:dyDescent="0.3">
      <c r="A103" s="695" t="s">
        <v>5126</v>
      </c>
      <c r="B103" s="696" t="s">
        <v>5127</v>
      </c>
      <c r="C103" s="696" t="s">
        <v>3589</v>
      </c>
      <c r="D103" s="696" t="s">
        <v>5254</v>
      </c>
      <c r="E103" s="696" t="s">
        <v>5255</v>
      </c>
      <c r="F103" s="711"/>
      <c r="G103" s="711"/>
      <c r="H103" s="711"/>
      <c r="I103" s="711"/>
      <c r="J103" s="711">
        <v>2</v>
      </c>
      <c r="K103" s="711">
        <v>882</v>
      </c>
      <c r="L103" s="711"/>
      <c r="M103" s="711">
        <v>441</v>
      </c>
      <c r="N103" s="711"/>
      <c r="O103" s="711"/>
      <c r="P103" s="701"/>
      <c r="Q103" s="712"/>
    </row>
    <row r="104" spans="1:17" ht="14.4" customHeight="1" x14ac:dyDescent="0.3">
      <c r="A104" s="695" t="s">
        <v>5256</v>
      </c>
      <c r="B104" s="696" t="s">
        <v>5257</v>
      </c>
      <c r="C104" s="696" t="s">
        <v>3598</v>
      </c>
      <c r="D104" s="696" t="s">
        <v>5258</v>
      </c>
      <c r="E104" s="696" t="s">
        <v>5259</v>
      </c>
      <c r="F104" s="711"/>
      <c r="G104" s="711"/>
      <c r="H104" s="711"/>
      <c r="I104" s="711"/>
      <c r="J104" s="711">
        <v>1</v>
      </c>
      <c r="K104" s="711">
        <v>1000.59</v>
      </c>
      <c r="L104" s="711"/>
      <c r="M104" s="711">
        <v>1000.59</v>
      </c>
      <c r="N104" s="711"/>
      <c r="O104" s="711"/>
      <c r="P104" s="701"/>
      <c r="Q104" s="712"/>
    </row>
    <row r="105" spans="1:17" ht="14.4" customHeight="1" x14ac:dyDescent="0.3">
      <c r="A105" s="695" t="s">
        <v>5256</v>
      </c>
      <c r="B105" s="696" t="s">
        <v>5257</v>
      </c>
      <c r="C105" s="696" t="s">
        <v>3598</v>
      </c>
      <c r="D105" s="696" t="s">
        <v>5260</v>
      </c>
      <c r="E105" s="696" t="s">
        <v>5261</v>
      </c>
      <c r="F105" s="711">
        <v>5.6</v>
      </c>
      <c r="G105" s="711">
        <v>8679.0199999999986</v>
      </c>
      <c r="H105" s="711">
        <v>1</v>
      </c>
      <c r="I105" s="711">
        <v>1549.8249999999998</v>
      </c>
      <c r="J105" s="711">
        <v>1.6</v>
      </c>
      <c r="K105" s="711">
        <v>1575.56</v>
      </c>
      <c r="L105" s="711">
        <v>0.18153662510283422</v>
      </c>
      <c r="M105" s="711">
        <v>984.72499999999991</v>
      </c>
      <c r="N105" s="711">
        <v>7.4</v>
      </c>
      <c r="O105" s="711">
        <v>7318.79</v>
      </c>
      <c r="P105" s="701">
        <v>0.84327377975854434</v>
      </c>
      <c r="Q105" s="712">
        <v>989.02567567567564</v>
      </c>
    </row>
    <row r="106" spans="1:17" ht="14.4" customHeight="1" x14ac:dyDescent="0.3">
      <c r="A106" s="695" t="s">
        <v>5256</v>
      </c>
      <c r="B106" s="696" t="s">
        <v>5257</v>
      </c>
      <c r="C106" s="696" t="s">
        <v>3598</v>
      </c>
      <c r="D106" s="696" t="s">
        <v>5262</v>
      </c>
      <c r="E106" s="696" t="s">
        <v>5263</v>
      </c>
      <c r="F106" s="711">
        <v>0.49</v>
      </c>
      <c r="G106" s="711">
        <v>6320.95</v>
      </c>
      <c r="H106" s="711">
        <v>1</v>
      </c>
      <c r="I106" s="711">
        <v>12899.897959183674</v>
      </c>
      <c r="J106" s="711">
        <v>0.59999999999999987</v>
      </c>
      <c r="K106" s="711">
        <v>6202.41</v>
      </c>
      <c r="L106" s="711">
        <v>0.98124648984725393</v>
      </c>
      <c r="M106" s="711">
        <v>10337.350000000002</v>
      </c>
      <c r="N106" s="711">
        <v>0.62</v>
      </c>
      <c r="O106" s="711">
        <v>6409.1799999999994</v>
      </c>
      <c r="P106" s="701">
        <v>1.0139583448690466</v>
      </c>
      <c r="Q106" s="712">
        <v>10337.387096774193</v>
      </c>
    </row>
    <row r="107" spans="1:17" ht="14.4" customHeight="1" x14ac:dyDescent="0.3">
      <c r="A107" s="695" t="s">
        <v>5256</v>
      </c>
      <c r="B107" s="696" t="s">
        <v>5257</v>
      </c>
      <c r="C107" s="696" t="s">
        <v>3598</v>
      </c>
      <c r="D107" s="696" t="s">
        <v>5264</v>
      </c>
      <c r="E107" s="696" t="s">
        <v>5263</v>
      </c>
      <c r="F107" s="711"/>
      <c r="G107" s="711"/>
      <c r="H107" s="711"/>
      <c r="I107" s="711"/>
      <c r="J107" s="711"/>
      <c r="K107" s="711"/>
      <c r="L107" s="711"/>
      <c r="M107" s="711"/>
      <c r="N107" s="711">
        <v>0.3</v>
      </c>
      <c r="O107" s="711">
        <v>1951.96</v>
      </c>
      <c r="P107" s="701"/>
      <c r="Q107" s="712">
        <v>6506.5333333333338</v>
      </c>
    </row>
    <row r="108" spans="1:17" ht="14.4" customHeight="1" x14ac:dyDescent="0.3">
      <c r="A108" s="695" t="s">
        <v>5256</v>
      </c>
      <c r="B108" s="696" t="s">
        <v>5257</v>
      </c>
      <c r="C108" s="696" t="s">
        <v>3598</v>
      </c>
      <c r="D108" s="696" t="s">
        <v>5265</v>
      </c>
      <c r="E108" s="696" t="s">
        <v>5266</v>
      </c>
      <c r="F108" s="711"/>
      <c r="G108" s="711"/>
      <c r="H108" s="711"/>
      <c r="I108" s="711"/>
      <c r="J108" s="711"/>
      <c r="K108" s="711"/>
      <c r="L108" s="711"/>
      <c r="M108" s="711"/>
      <c r="N108" s="711">
        <v>1</v>
      </c>
      <c r="O108" s="711">
        <v>975.22</v>
      </c>
      <c r="P108" s="701"/>
      <c r="Q108" s="712">
        <v>975.22</v>
      </c>
    </row>
    <row r="109" spans="1:17" ht="14.4" customHeight="1" x14ac:dyDescent="0.3">
      <c r="A109" s="695" t="s">
        <v>5256</v>
      </c>
      <c r="B109" s="696" t="s">
        <v>5257</v>
      </c>
      <c r="C109" s="696" t="s">
        <v>3598</v>
      </c>
      <c r="D109" s="696" t="s">
        <v>5267</v>
      </c>
      <c r="E109" s="696" t="s">
        <v>5063</v>
      </c>
      <c r="F109" s="711">
        <v>0.1</v>
      </c>
      <c r="G109" s="711">
        <v>541.33000000000004</v>
      </c>
      <c r="H109" s="711">
        <v>1</v>
      </c>
      <c r="I109" s="711">
        <v>5413.3</v>
      </c>
      <c r="J109" s="711"/>
      <c r="K109" s="711"/>
      <c r="L109" s="711"/>
      <c r="M109" s="711"/>
      <c r="N109" s="711">
        <v>0.08</v>
      </c>
      <c r="O109" s="711">
        <v>436.86</v>
      </c>
      <c r="P109" s="701">
        <v>0.80701235845048302</v>
      </c>
      <c r="Q109" s="712">
        <v>5460.75</v>
      </c>
    </row>
    <row r="110" spans="1:17" ht="14.4" customHeight="1" x14ac:dyDescent="0.3">
      <c r="A110" s="695" t="s">
        <v>5256</v>
      </c>
      <c r="B110" s="696" t="s">
        <v>5257</v>
      </c>
      <c r="C110" s="696" t="s">
        <v>3598</v>
      </c>
      <c r="D110" s="696" t="s">
        <v>5268</v>
      </c>
      <c r="E110" s="696" t="s">
        <v>5063</v>
      </c>
      <c r="F110" s="711">
        <v>1.9600000000000002</v>
      </c>
      <c r="G110" s="711">
        <v>21189.649999999998</v>
      </c>
      <c r="H110" s="711">
        <v>1</v>
      </c>
      <c r="I110" s="711">
        <v>10811.045918367345</v>
      </c>
      <c r="J110" s="711">
        <v>2.12</v>
      </c>
      <c r="K110" s="711">
        <v>23130.84</v>
      </c>
      <c r="L110" s="711">
        <v>1.0916102908731387</v>
      </c>
      <c r="M110" s="711">
        <v>10910.773584905661</v>
      </c>
      <c r="N110" s="711">
        <v>2.8800000000000003</v>
      </c>
      <c r="O110" s="711">
        <v>31486.760000000002</v>
      </c>
      <c r="P110" s="701">
        <v>1.4859499802969849</v>
      </c>
      <c r="Q110" s="712">
        <v>10932.902777777777</v>
      </c>
    </row>
    <row r="111" spans="1:17" ht="14.4" customHeight="1" x14ac:dyDescent="0.3">
      <c r="A111" s="695" t="s">
        <v>5256</v>
      </c>
      <c r="B111" s="696" t="s">
        <v>5257</v>
      </c>
      <c r="C111" s="696" t="s">
        <v>3598</v>
      </c>
      <c r="D111" s="696" t="s">
        <v>5269</v>
      </c>
      <c r="E111" s="696" t="s">
        <v>5270</v>
      </c>
      <c r="F111" s="711">
        <v>0.08</v>
      </c>
      <c r="G111" s="711">
        <v>155.12</v>
      </c>
      <c r="H111" s="711">
        <v>1</v>
      </c>
      <c r="I111" s="711">
        <v>1939</v>
      </c>
      <c r="J111" s="711">
        <v>0.1</v>
      </c>
      <c r="K111" s="711">
        <v>195.61</v>
      </c>
      <c r="L111" s="711">
        <v>1.26102372356885</v>
      </c>
      <c r="M111" s="711">
        <v>1956.1000000000001</v>
      </c>
      <c r="N111" s="711"/>
      <c r="O111" s="711"/>
      <c r="P111" s="701"/>
      <c r="Q111" s="712"/>
    </row>
    <row r="112" spans="1:17" ht="14.4" customHeight="1" x14ac:dyDescent="0.3">
      <c r="A112" s="695" t="s">
        <v>5256</v>
      </c>
      <c r="B112" s="696" t="s">
        <v>5257</v>
      </c>
      <c r="C112" s="696" t="s">
        <v>3620</v>
      </c>
      <c r="D112" s="696" t="s">
        <v>5271</v>
      </c>
      <c r="E112" s="696" t="s">
        <v>5272</v>
      </c>
      <c r="F112" s="711"/>
      <c r="G112" s="711"/>
      <c r="H112" s="711"/>
      <c r="I112" s="711"/>
      <c r="J112" s="711"/>
      <c r="K112" s="711"/>
      <c r="L112" s="711"/>
      <c r="M112" s="711"/>
      <c r="N112" s="711">
        <v>3</v>
      </c>
      <c r="O112" s="711">
        <v>2916.96</v>
      </c>
      <c r="P112" s="701"/>
      <c r="Q112" s="712">
        <v>972.32</v>
      </c>
    </row>
    <row r="113" spans="1:17" ht="14.4" customHeight="1" x14ac:dyDescent="0.3">
      <c r="A113" s="695" t="s">
        <v>5256</v>
      </c>
      <c r="B113" s="696" t="s">
        <v>5257</v>
      </c>
      <c r="C113" s="696" t="s">
        <v>3620</v>
      </c>
      <c r="D113" s="696" t="s">
        <v>5273</v>
      </c>
      <c r="E113" s="696" t="s">
        <v>5272</v>
      </c>
      <c r="F113" s="711"/>
      <c r="G113" s="711"/>
      <c r="H113" s="711"/>
      <c r="I113" s="711"/>
      <c r="J113" s="711">
        <v>1</v>
      </c>
      <c r="K113" s="711">
        <v>1707.31</v>
      </c>
      <c r="L113" s="711"/>
      <c r="M113" s="711">
        <v>1707.31</v>
      </c>
      <c r="N113" s="711">
        <v>3</v>
      </c>
      <c r="O113" s="711">
        <v>5121.93</v>
      </c>
      <c r="P113" s="701"/>
      <c r="Q113" s="712">
        <v>1707.3100000000002</v>
      </c>
    </row>
    <row r="114" spans="1:17" ht="14.4" customHeight="1" x14ac:dyDescent="0.3">
      <c r="A114" s="695" t="s">
        <v>5256</v>
      </c>
      <c r="B114" s="696" t="s">
        <v>5257</v>
      </c>
      <c r="C114" s="696" t="s">
        <v>3620</v>
      </c>
      <c r="D114" s="696" t="s">
        <v>5274</v>
      </c>
      <c r="E114" s="696" t="s">
        <v>5272</v>
      </c>
      <c r="F114" s="711"/>
      <c r="G114" s="711"/>
      <c r="H114" s="711"/>
      <c r="I114" s="711"/>
      <c r="J114" s="711"/>
      <c r="K114" s="711"/>
      <c r="L114" s="711"/>
      <c r="M114" s="711"/>
      <c r="N114" s="711">
        <v>1</v>
      </c>
      <c r="O114" s="711">
        <v>2066.3000000000002</v>
      </c>
      <c r="P114" s="701"/>
      <c r="Q114" s="712">
        <v>2066.3000000000002</v>
      </c>
    </row>
    <row r="115" spans="1:17" ht="14.4" customHeight="1" x14ac:dyDescent="0.3">
      <c r="A115" s="695" t="s">
        <v>5256</v>
      </c>
      <c r="B115" s="696" t="s">
        <v>5257</v>
      </c>
      <c r="C115" s="696" t="s">
        <v>3620</v>
      </c>
      <c r="D115" s="696" t="s">
        <v>5275</v>
      </c>
      <c r="E115" s="696" t="s">
        <v>5276</v>
      </c>
      <c r="F115" s="711"/>
      <c r="G115" s="711"/>
      <c r="H115" s="711"/>
      <c r="I115" s="711"/>
      <c r="J115" s="711"/>
      <c r="K115" s="711"/>
      <c r="L115" s="711"/>
      <c r="M115" s="711"/>
      <c r="N115" s="711">
        <v>2</v>
      </c>
      <c r="O115" s="711">
        <v>3864.18</v>
      </c>
      <c r="P115" s="701"/>
      <c r="Q115" s="712">
        <v>1932.09</v>
      </c>
    </row>
    <row r="116" spans="1:17" ht="14.4" customHeight="1" x14ac:dyDescent="0.3">
      <c r="A116" s="695" t="s">
        <v>5256</v>
      </c>
      <c r="B116" s="696" t="s">
        <v>5257</v>
      </c>
      <c r="C116" s="696" t="s">
        <v>3620</v>
      </c>
      <c r="D116" s="696" t="s">
        <v>5277</v>
      </c>
      <c r="E116" s="696" t="s">
        <v>5278</v>
      </c>
      <c r="F116" s="711"/>
      <c r="G116" s="711"/>
      <c r="H116" s="711"/>
      <c r="I116" s="711"/>
      <c r="J116" s="711">
        <v>1</v>
      </c>
      <c r="K116" s="711">
        <v>1002.8</v>
      </c>
      <c r="L116" s="711"/>
      <c r="M116" s="711">
        <v>1002.8</v>
      </c>
      <c r="N116" s="711"/>
      <c r="O116" s="711"/>
      <c r="P116" s="701"/>
      <c r="Q116" s="712"/>
    </row>
    <row r="117" spans="1:17" ht="14.4" customHeight="1" x14ac:dyDescent="0.3">
      <c r="A117" s="695" t="s">
        <v>5256</v>
      </c>
      <c r="B117" s="696" t="s">
        <v>5257</v>
      </c>
      <c r="C117" s="696" t="s">
        <v>3620</v>
      </c>
      <c r="D117" s="696" t="s">
        <v>5279</v>
      </c>
      <c r="E117" s="696" t="s">
        <v>5280</v>
      </c>
      <c r="F117" s="711"/>
      <c r="G117" s="711"/>
      <c r="H117" s="711"/>
      <c r="I117" s="711"/>
      <c r="J117" s="711"/>
      <c r="K117" s="711"/>
      <c r="L117" s="711"/>
      <c r="M117" s="711"/>
      <c r="N117" s="711">
        <v>4</v>
      </c>
      <c r="O117" s="711">
        <v>21036.92</v>
      </c>
      <c r="P117" s="701"/>
      <c r="Q117" s="712">
        <v>5259.23</v>
      </c>
    </row>
    <row r="118" spans="1:17" ht="14.4" customHeight="1" x14ac:dyDescent="0.3">
      <c r="A118" s="695" t="s">
        <v>5256</v>
      </c>
      <c r="B118" s="696" t="s">
        <v>5257</v>
      </c>
      <c r="C118" s="696" t="s">
        <v>3620</v>
      </c>
      <c r="D118" s="696" t="s">
        <v>5281</v>
      </c>
      <c r="E118" s="696" t="s">
        <v>5282</v>
      </c>
      <c r="F118" s="711"/>
      <c r="G118" s="711"/>
      <c r="H118" s="711"/>
      <c r="I118" s="711"/>
      <c r="J118" s="711">
        <v>1</v>
      </c>
      <c r="K118" s="711">
        <v>1497.44</v>
      </c>
      <c r="L118" s="711"/>
      <c r="M118" s="711">
        <v>1497.44</v>
      </c>
      <c r="N118" s="711"/>
      <c r="O118" s="711"/>
      <c r="P118" s="701"/>
      <c r="Q118" s="712"/>
    </row>
    <row r="119" spans="1:17" ht="14.4" customHeight="1" x14ac:dyDescent="0.3">
      <c r="A119" s="695" t="s">
        <v>5256</v>
      </c>
      <c r="B119" s="696" t="s">
        <v>5257</v>
      </c>
      <c r="C119" s="696" t="s">
        <v>3620</v>
      </c>
      <c r="D119" s="696" t="s">
        <v>5283</v>
      </c>
      <c r="E119" s="696" t="s">
        <v>5284</v>
      </c>
      <c r="F119" s="711"/>
      <c r="G119" s="711"/>
      <c r="H119" s="711"/>
      <c r="I119" s="711"/>
      <c r="J119" s="711"/>
      <c r="K119" s="711"/>
      <c r="L119" s="711"/>
      <c r="M119" s="711"/>
      <c r="N119" s="711">
        <v>1</v>
      </c>
      <c r="O119" s="711">
        <v>831.16</v>
      </c>
      <c r="P119" s="701"/>
      <c r="Q119" s="712">
        <v>831.16</v>
      </c>
    </row>
    <row r="120" spans="1:17" ht="14.4" customHeight="1" x14ac:dyDescent="0.3">
      <c r="A120" s="695" t="s">
        <v>5256</v>
      </c>
      <c r="B120" s="696" t="s">
        <v>5257</v>
      </c>
      <c r="C120" s="696" t="s">
        <v>3620</v>
      </c>
      <c r="D120" s="696" t="s">
        <v>5285</v>
      </c>
      <c r="E120" s="696" t="s">
        <v>5284</v>
      </c>
      <c r="F120" s="711"/>
      <c r="G120" s="711"/>
      <c r="H120" s="711"/>
      <c r="I120" s="711"/>
      <c r="J120" s="711"/>
      <c r="K120" s="711"/>
      <c r="L120" s="711"/>
      <c r="M120" s="711"/>
      <c r="N120" s="711">
        <v>8</v>
      </c>
      <c r="O120" s="711">
        <v>7104.48</v>
      </c>
      <c r="P120" s="701"/>
      <c r="Q120" s="712">
        <v>888.06</v>
      </c>
    </row>
    <row r="121" spans="1:17" ht="14.4" customHeight="1" x14ac:dyDescent="0.3">
      <c r="A121" s="695" t="s">
        <v>5256</v>
      </c>
      <c r="B121" s="696" t="s">
        <v>5257</v>
      </c>
      <c r="C121" s="696" t="s">
        <v>3620</v>
      </c>
      <c r="D121" s="696" t="s">
        <v>5286</v>
      </c>
      <c r="E121" s="696" t="s">
        <v>5287</v>
      </c>
      <c r="F121" s="711"/>
      <c r="G121" s="711"/>
      <c r="H121" s="711"/>
      <c r="I121" s="711"/>
      <c r="J121" s="711"/>
      <c r="K121" s="711"/>
      <c r="L121" s="711"/>
      <c r="M121" s="711"/>
      <c r="N121" s="711">
        <v>2</v>
      </c>
      <c r="O121" s="711">
        <v>1776.12</v>
      </c>
      <c r="P121" s="701"/>
      <c r="Q121" s="712">
        <v>888.06</v>
      </c>
    </row>
    <row r="122" spans="1:17" ht="14.4" customHeight="1" x14ac:dyDescent="0.3">
      <c r="A122" s="695" t="s">
        <v>5256</v>
      </c>
      <c r="B122" s="696" t="s">
        <v>5257</v>
      </c>
      <c r="C122" s="696" t="s">
        <v>3620</v>
      </c>
      <c r="D122" s="696" t="s">
        <v>5288</v>
      </c>
      <c r="E122" s="696" t="s">
        <v>5289</v>
      </c>
      <c r="F122" s="711"/>
      <c r="G122" s="711"/>
      <c r="H122" s="711"/>
      <c r="I122" s="711"/>
      <c r="J122" s="711"/>
      <c r="K122" s="711"/>
      <c r="L122" s="711"/>
      <c r="M122" s="711"/>
      <c r="N122" s="711">
        <v>7</v>
      </c>
      <c r="O122" s="711">
        <v>27291.599999999999</v>
      </c>
      <c r="P122" s="701"/>
      <c r="Q122" s="712">
        <v>3898.7999999999997</v>
      </c>
    </row>
    <row r="123" spans="1:17" ht="14.4" customHeight="1" x14ac:dyDescent="0.3">
      <c r="A123" s="695" t="s">
        <v>5256</v>
      </c>
      <c r="B123" s="696" t="s">
        <v>5257</v>
      </c>
      <c r="C123" s="696" t="s">
        <v>3620</v>
      </c>
      <c r="D123" s="696" t="s">
        <v>5290</v>
      </c>
      <c r="E123" s="696" t="s">
        <v>5291</v>
      </c>
      <c r="F123" s="711"/>
      <c r="G123" s="711"/>
      <c r="H123" s="711"/>
      <c r="I123" s="711"/>
      <c r="J123" s="711"/>
      <c r="K123" s="711"/>
      <c r="L123" s="711"/>
      <c r="M123" s="711"/>
      <c r="N123" s="711">
        <v>3</v>
      </c>
      <c r="O123" s="711">
        <v>10933.74</v>
      </c>
      <c r="P123" s="701"/>
      <c r="Q123" s="712">
        <v>3644.58</v>
      </c>
    </row>
    <row r="124" spans="1:17" ht="14.4" customHeight="1" x14ac:dyDescent="0.3">
      <c r="A124" s="695" t="s">
        <v>5256</v>
      </c>
      <c r="B124" s="696" t="s">
        <v>5257</v>
      </c>
      <c r="C124" s="696" t="s">
        <v>3620</v>
      </c>
      <c r="D124" s="696" t="s">
        <v>5292</v>
      </c>
      <c r="E124" s="696" t="s">
        <v>5293</v>
      </c>
      <c r="F124" s="711"/>
      <c r="G124" s="711"/>
      <c r="H124" s="711"/>
      <c r="I124" s="711"/>
      <c r="J124" s="711"/>
      <c r="K124" s="711"/>
      <c r="L124" s="711"/>
      <c r="M124" s="711"/>
      <c r="N124" s="711">
        <v>5</v>
      </c>
      <c r="O124" s="711">
        <v>1795.5</v>
      </c>
      <c r="P124" s="701"/>
      <c r="Q124" s="712">
        <v>359.1</v>
      </c>
    </row>
    <row r="125" spans="1:17" ht="14.4" customHeight="1" x14ac:dyDescent="0.3">
      <c r="A125" s="695" t="s">
        <v>5256</v>
      </c>
      <c r="B125" s="696" t="s">
        <v>5257</v>
      </c>
      <c r="C125" s="696" t="s">
        <v>3620</v>
      </c>
      <c r="D125" s="696" t="s">
        <v>5294</v>
      </c>
      <c r="E125" s="696" t="s">
        <v>5295</v>
      </c>
      <c r="F125" s="711"/>
      <c r="G125" s="711"/>
      <c r="H125" s="711"/>
      <c r="I125" s="711"/>
      <c r="J125" s="711"/>
      <c r="K125" s="711"/>
      <c r="L125" s="711"/>
      <c r="M125" s="711"/>
      <c r="N125" s="711">
        <v>3</v>
      </c>
      <c r="O125" s="711">
        <v>50495.069999999992</v>
      </c>
      <c r="P125" s="701"/>
      <c r="Q125" s="712">
        <v>16831.689999999999</v>
      </c>
    </row>
    <row r="126" spans="1:17" ht="14.4" customHeight="1" x14ac:dyDescent="0.3">
      <c r="A126" s="695" t="s">
        <v>5256</v>
      </c>
      <c r="B126" s="696" t="s">
        <v>5257</v>
      </c>
      <c r="C126" s="696" t="s">
        <v>3620</v>
      </c>
      <c r="D126" s="696" t="s">
        <v>5296</v>
      </c>
      <c r="E126" s="696" t="s">
        <v>5297</v>
      </c>
      <c r="F126" s="711"/>
      <c r="G126" s="711"/>
      <c r="H126" s="711"/>
      <c r="I126" s="711"/>
      <c r="J126" s="711"/>
      <c r="K126" s="711"/>
      <c r="L126" s="711"/>
      <c r="M126" s="711"/>
      <c r="N126" s="711">
        <v>4</v>
      </c>
      <c r="O126" s="711">
        <v>26348.52</v>
      </c>
      <c r="P126" s="701"/>
      <c r="Q126" s="712">
        <v>6587.13</v>
      </c>
    </row>
    <row r="127" spans="1:17" ht="14.4" customHeight="1" x14ac:dyDescent="0.3">
      <c r="A127" s="695" t="s">
        <v>5256</v>
      </c>
      <c r="B127" s="696" t="s">
        <v>5257</v>
      </c>
      <c r="C127" s="696" t="s">
        <v>3620</v>
      </c>
      <c r="D127" s="696" t="s">
        <v>5298</v>
      </c>
      <c r="E127" s="696" t="s">
        <v>5299</v>
      </c>
      <c r="F127" s="711">
        <v>1</v>
      </c>
      <c r="G127" s="711">
        <v>1841.62</v>
      </c>
      <c r="H127" s="711">
        <v>1</v>
      </c>
      <c r="I127" s="711">
        <v>1841.62</v>
      </c>
      <c r="J127" s="711"/>
      <c r="K127" s="711"/>
      <c r="L127" s="711"/>
      <c r="M127" s="711"/>
      <c r="N127" s="711">
        <v>2</v>
      </c>
      <c r="O127" s="711">
        <v>3683.24</v>
      </c>
      <c r="P127" s="701">
        <v>2</v>
      </c>
      <c r="Q127" s="712">
        <v>1841.62</v>
      </c>
    </row>
    <row r="128" spans="1:17" ht="14.4" customHeight="1" x14ac:dyDescent="0.3">
      <c r="A128" s="695" t="s">
        <v>5256</v>
      </c>
      <c r="B128" s="696" t="s">
        <v>5257</v>
      </c>
      <c r="C128" s="696" t="s">
        <v>3620</v>
      </c>
      <c r="D128" s="696" t="s">
        <v>5300</v>
      </c>
      <c r="E128" s="696" t="s">
        <v>5301</v>
      </c>
      <c r="F128" s="711"/>
      <c r="G128" s="711"/>
      <c r="H128" s="711"/>
      <c r="I128" s="711"/>
      <c r="J128" s="711"/>
      <c r="K128" s="711"/>
      <c r="L128" s="711"/>
      <c r="M128" s="711"/>
      <c r="N128" s="711">
        <v>1</v>
      </c>
      <c r="O128" s="711">
        <v>3106.5</v>
      </c>
      <c r="P128" s="701"/>
      <c r="Q128" s="712">
        <v>3106.5</v>
      </c>
    </row>
    <row r="129" spans="1:17" ht="14.4" customHeight="1" x14ac:dyDescent="0.3">
      <c r="A129" s="695" t="s">
        <v>5256</v>
      </c>
      <c r="B129" s="696" t="s">
        <v>5257</v>
      </c>
      <c r="C129" s="696" t="s">
        <v>3620</v>
      </c>
      <c r="D129" s="696" t="s">
        <v>5302</v>
      </c>
      <c r="E129" s="696" t="s">
        <v>5303</v>
      </c>
      <c r="F129" s="711"/>
      <c r="G129" s="711"/>
      <c r="H129" s="711"/>
      <c r="I129" s="711"/>
      <c r="J129" s="711"/>
      <c r="K129" s="711"/>
      <c r="L129" s="711"/>
      <c r="M129" s="711"/>
      <c r="N129" s="711">
        <v>1</v>
      </c>
      <c r="O129" s="711">
        <v>11608.31</v>
      </c>
      <c r="P129" s="701"/>
      <c r="Q129" s="712">
        <v>11608.31</v>
      </c>
    </row>
    <row r="130" spans="1:17" ht="14.4" customHeight="1" x14ac:dyDescent="0.3">
      <c r="A130" s="695" t="s">
        <v>5256</v>
      </c>
      <c r="B130" s="696" t="s">
        <v>5257</v>
      </c>
      <c r="C130" s="696" t="s">
        <v>3620</v>
      </c>
      <c r="D130" s="696" t="s">
        <v>5304</v>
      </c>
      <c r="E130" s="696" t="s">
        <v>5305</v>
      </c>
      <c r="F130" s="711"/>
      <c r="G130" s="711"/>
      <c r="H130" s="711"/>
      <c r="I130" s="711"/>
      <c r="J130" s="711"/>
      <c r="K130" s="711"/>
      <c r="L130" s="711"/>
      <c r="M130" s="711"/>
      <c r="N130" s="711">
        <v>1</v>
      </c>
      <c r="O130" s="711">
        <v>380.86</v>
      </c>
      <c r="P130" s="701"/>
      <c r="Q130" s="712">
        <v>380.86</v>
      </c>
    </row>
    <row r="131" spans="1:17" ht="14.4" customHeight="1" x14ac:dyDescent="0.3">
      <c r="A131" s="695" t="s">
        <v>5256</v>
      </c>
      <c r="B131" s="696" t="s">
        <v>5257</v>
      </c>
      <c r="C131" s="696" t="s">
        <v>3620</v>
      </c>
      <c r="D131" s="696" t="s">
        <v>5306</v>
      </c>
      <c r="E131" s="696" t="s">
        <v>5307</v>
      </c>
      <c r="F131" s="711"/>
      <c r="G131" s="711"/>
      <c r="H131" s="711"/>
      <c r="I131" s="711"/>
      <c r="J131" s="711"/>
      <c r="K131" s="711"/>
      <c r="L131" s="711"/>
      <c r="M131" s="711"/>
      <c r="N131" s="711">
        <v>1</v>
      </c>
      <c r="O131" s="711">
        <v>3178.63</v>
      </c>
      <c r="P131" s="701"/>
      <c r="Q131" s="712">
        <v>3178.63</v>
      </c>
    </row>
    <row r="132" spans="1:17" ht="14.4" customHeight="1" x14ac:dyDescent="0.3">
      <c r="A132" s="695" t="s">
        <v>5256</v>
      </c>
      <c r="B132" s="696" t="s">
        <v>5257</v>
      </c>
      <c r="C132" s="696" t="s">
        <v>3589</v>
      </c>
      <c r="D132" s="696" t="s">
        <v>5308</v>
      </c>
      <c r="E132" s="696" t="s">
        <v>5309</v>
      </c>
      <c r="F132" s="711">
        <v>14</v>
      </c>
      <c r="G132" s="711">
        <v>2856</v>
      </c>
      <c r="H132" s="711">
        <v>1</v>
      </c>
      <c r="I132" s="711">
        <v>204</v>
      </c>
      <c r="J132" s="711">
        <v>3</v>
      </c>
      <c r="K132" s="711">
        <v>615</v>
      </c>
      <c r="L132" s="711">
        <v>0.21533613445378152</v>
      </c>
      <c r="M132" s="711">
        <v>205</v>
      </c>
      <c r="N132" s="711">
        <v>8</v>
      </c>
      <c r="O132" s="711">
        <v>1640</v>
      </c>
      <c r="P132" s="701">
        <v>0.57422969187675066</v>
      </c>
      <c r="Q132" s="712">
        <v>205</v>
      </c>
    </row>
    <row r="133" spans="1:17" ht="14.4" customHeight="1" x14ac:dyDescent="0.3">
      <c r="A133" s="695" t="s">
        <v>5256</v>
      </c>
      <c r="B133" s="696" t="s">
        <v>5257</v>
      </c>
      <c r="C133" s="696" t="s">
        <v>3589</v>
      </c>
      <c r="D133" s="696" t="s">
        <v>5310</v>
      </c>
      <c r="E133" s="696" t="s">
        <v>5311</v>
      </c>
      <c r="F133" s="711">
        <v>28</v>
      </c>
      <c r="G133" s="711">
        <v>4172</v>
      </c>
      <c r="H133" s="711">
        <v>1</v>
      </c>
      <c r="I133" s="711">
        <v>149</v>
      </c>
      <c r="J133" s="711">
        <v>42</v>
      </c>
      <c r="K133" s="711">
        <v>6300</v>
      </c>
      <c r="L133" s="711">
        <v>1.5100671140939597</v>
      </c>
      <c r="M133" s="711">
        <v>150</v>
      </c>
      <c r="N133" s="711">
        <v>40</v>
      </c>
      <c r="O133" s="711">
        <v>6000</v>
      </c>
      <c r="P133" s="701">
        <v>1.4381591562799616</v>
      </c>
      <c r="Q133" s="712">
        <v>150</v>
      </c>
    </row>
    <row r="134" spans="1:17" ht="14.4" customHeight="1" x14ac:dyDescent="0.3">
      <c r="A134" s="695" t="s">
        <v>5256</v>
      </c>
      <c r="B134" s="696" t="s">
        <v>5257</v>
      </c>
      <c r="C134" s="696" t="s">
        <v>3589</v>
      </c>
      <c r="D134" s="696" t="s">
        <v>5312</v>
      </c>
      <c r="E134" s="696" t="s">
        <v>5313</v>
      </c>
      <c r="F134" s="711">
        <v>14</v>
      </c>
      <c r="G134" s="711">
        <v>2534</v>
      </c>
      <c r="H134" s="711">
        <v>1</v>
      </c>
      <c r="I134" s="711">
        <v>181</v>
      </c>
      <c r="J134" s="711">
        <v>31</v>
      </c>
      <c r="K134" s="711">
        <v>5642</v>
      </c>
      <c r="L134" s="711">
        <v>2.2265193370165748</v>
      </c>
      <c r="M134" s="711">
        <v>182</v>
      </c>
      <c r="N134" s="711">
        <v>14</v>
      </c>
      <c r="O134" s="711">
        <v>2548</v>
      </c>
      <c r="P134" s="701">
        <v>1.0055248618784531</v>
      </c>
      <c r="Q134" s="712">
        <v>182</v>
      </c>
    </row>
    <row r="135" spans="1:17" ht="14.4" customHeight="1" x14ac:dyDescent="0.3">
      <c r="A135" s="695" t="s">
        <v>5256</v>
      </c>
      <c r="B135" s="696" t="s">
        <v>5257</v>
      </c>
      <c r="C135" s="696" t="s">
        <v>3589</v>
      </c>
      <c r="D135" s="696" t="s">
        <v>5314</v>
      </c>
      <c r="E135" s="696" t="s">
        <v>5315</v>
      </c>
      <c r="F135" s="711">
        <v>211</v>
      </c>
      <c r="G135" s="711">
        <v>26164</v>
      </c>
      <c r="H135" s="711">
        <v>1</v>
      </c>
      <c r="I135" s="711">
        <v>124</v>
      </c>
      <c r="J135" s="711">
        <v>163</v>
      </c>
      <c r="K135" s="711">
        <v>20212</v>
      </c>
      <c r="L135" s="711">
        <v>0.77251184834123221</v>
      </c>
      <c r="M135" s="711">
        <v>124</v>
      </c>
      <c r="N135" s="711">
        <v>130</v>
      </c>
      <c r="O135" s="711">
        <v>16120</v>
      </c>
      <c r="P135" s="701">
        <v>0.61611374407582942</v>
      </c>
      <c r="Q135" s="712">
        <v>124</v>
      </c>
    </row>
    <row r="136" spans="1:17" ht="14.4" customHeight="1" x14ac:dyDescent="0.3">
      <c r="A136" s="695" t="s">
        <v>5256</v>
      </c>
      <c r="B136" s="696" t="s">
        <v>5257</v>
      </c>
      <c r="C136" s="696" t="s">
        <v>3589</v>
      </c>
      <c r="D136" s="696" t="s">
        <v>5316</v>
      </c>
      <c r="E136" s="696" t="s">
        <v>5317</v>
      </c>
      <c r="F136" s="711">
        <v>633</v>
      </c>
      <c r="G136" s="711">
        <v>136728</v>
      </c>
      <c r="H136" s="711">
        <v>1</v>
      </c>
      <c r="I136" s="711">
        <v>216</v>
      </c>
      <c r="J136" s="711">
        <v>731</v>
      </c>
      <c r="K136" s="711">
        <v>158627</v>
      </c>
      <c r="L136" s="711">
        <v>1.1601647065707097</v>
      </c>
      <c r="M136" s="711">
        <v>217</v>
      </c>
      <c r="N136" s="711">
        <v>588</v>
      </c>
      <c r="O136" s="711">
        <v>127596</v>
      </c>
      <c r="P136" s="701">
        <v>0.93321046164648058</v>
      </c>
      <c r="Q136" s="712">
        <v>217</v>
      </c>
    </row>
    <row r="137" spans="1:17" ht="14.4" customHeight="1" x14ac:dyDescent="0.3">
      <c r="A137" s="695" t="s">
        <v>5256</v>
      </c>
      <c r="B137" s="696" t="s">
        <v>5257</v>
      </c>
      <c r="C137" s="696" t="s">
        <v>3589</v>
      </c>
      <c r="D137" s="696" t="s">
        <v>5318</v>
      </c>
      <c r="E137" s="696" t="s">
        <v>5319</v>
      </c>
      <c r="F137" s="711">
        <v>17</v>
      </c>
      <c r="G137" s="711">
        <v>3672</v>
      </c>
      <c r="H137" s="711">
        <v>1</v>
      </c>
      <c r="I137" s="711">
        <v>216</v>
      </c>
      <c r="J137" s="711">
        <v>28</v>
      </c>
      <c r="K137" s="711">
        <v>6076</v>
      </c>
      <c r="L137" s="711">
        <v>1.6546840958605664</v>
      </c>
      <c r="M137" s="711">
        <v>217</v>
      </c>
      <c r="N137" s="711">
        <v>33</v>
      </c>
      <c r="O137" s="711">
        <v>7161</v>
      </c>
      <c r="P137" s="701">
        <v>1.9501633986928104</v>
      </c>
      <c r="Q137" s="712">
        <v>217</v>
      </c>
    </row>
    <row r="138" spans="1:17" ht="14.4" customHeight="1" x14ac:dyDescent="0.3">
      <c r="A138" s="695" t="s">
        <v>5256</v>
      </c>
      <c r="B138" s="696" t="s">
        <v>5257</v>
      </c>
      <c r="C138" s="696" t="s">
        <v>3589</v>
      </c>
      <c r="D138" s="696" t="s">
        <v>5320</v>
      </c>
      <c r="E138" s="696" t="s">
        <v>5321</v>
      </c>
      <c r="F138" s="711"/>
      <c r="G138" s="711"/>
      <c r="H138" s="711"/>
      <c r="I138" s="711"/>
      <c r="J138" s="711">
        <v>1</v>
      </c>
      <c r="K138" s="711">
        <v>219</v>
      </c>
      <c r="L138" s="711"/>
      <c r="M138" s="711">
        <v>219</v>
      </c>
      <c r="N138" s="711">
        <v>3</v>
      </c>
      <c r="O138" s="711">
        <v>657</v>
      </c>
      <c r="P138" s="701"/>
      <c r="Q138" s="712">
        <v>219</v>
      </c>
    </row>
    <row r="139" spans="1:17" ht="14.4" customHeight="1" x14ac:dyDescent="0.3">
      <c r="A139" s="695" t="s">
        <v>5256</v>
      </c>
      <c r="B139" s="696" t="s">
        <v>5257</v>
      </c>
      <c r="C139" s="696" t="s">
        <v>3589</v>
      </c>
      <c r="D139" s="696" t="s">
        <v>5322</v>
      </c>
      <c r="E139" s="696" t="s">
        <v>5323</v>
      </c>
      <c r="F139" s="711"/>
      <c r="G139" s="711"/>
      <c r="H139" s="711"/>
      <c r="I139" s="711"/>
      <c r="J139" s="711"/>
      <c r="K139" s="711"/>
      <c r="L139" s="711"/>
      <c r="M139" s="711"/>
      <c r="N139" s="711">
        <v>2</v>
      </c>
      <c r="O139" s="711">
        <v>652</v>
      </c>
      <c r="P139" s="701"/>
      <c r="Q139" s="712">
        <v>326</v>
      </c>
    </row>
    <row r="140" spans="1:17" ht="14.4" customHeight="1" x14ac:dyDescent="0.3">
      <c r="A140" s="695" t="s">
        <v>5256</v>
      </c>
      <c r="B140" s="696" t="s">
        <v>5257</v>
      </c>
      <c r="C140" s="696" t="s">
        <v>3589</v>
      </c>
      <c r="D140" s="696" t="s">
        <v>5324</v>
      </c>
      <c r="E140" s="696" t="s">
        <v>5325</v>
      </c>
      <c r="F140" s="711"/>
      <c r="G140" s="711"/>
      <c r="H140" s="711"/>
      <c r="I140" s="711"/>
      <c r="J140" s="711">
        <v>1</v>
      </c>
      <c r="K140" s="711">
        <v>4127</v>
      </c>
      <c r="L140" s="711"/>
      <c r="M140" s="711">
        <v>4127</v>
      </c>
      <c r="N140" s="711">
        <v>4</v>
      </c>
      <c r="O140" s="711">
        <v>16508</v>
      </c>
      <c r="P140" s="701"/>
      <c r="Q140" s="712">
        <v>4127</v>
      </c>
    </row>
    <row r="141" spans="1:17" ht="14.4" customHeight="1" x14ac:dyDescent="0.3">
      <c r="A141" s="695" t="s">
        <v>5256</v>
      </c>
      <c r="B141" s="696" t="s">
        <v>5257</v>
      </c>
      <c r="C141" s="696" t="s">
        <v>3589</v>
      </c>
      <c r="D141" s="696" t="s">
        <v>5326</v>
      </c>
      <c r="E141" s="696" t="s">
        <v>5327</v>
      </c>
      <c r="F141" s="711">
        <v>3</v>
      </c>
      <c r="G141" s="711">
        <v>11433</v>
      </c>
      <c r="H141" s="711">
        <v>1</v>
      </c>
      <c r="I141" s="711">
        <v>3811</v>
      </c>
      <c r="J141" s="711">
        <v>3</v>
      </c>
      <c r="K141" s="711">
        <v>11445</v>
      </c>
      <c r="L141" s="711">
        <v>1.0010495932826029</v>
      </c>
      <c r="M141" s="711">
        <v>3815</v>
      </c>
      <c r="N141" s="711">
        <v>11</v>
      </c>
      <c r="O141" s="711">
        <v>41965</v>
      </c>
      <c r="P141" s="701">
        <v>3.6705151753695442</v>
      </c>
      <c r="Q141" s="712">
        <v>3815</v>
      </c>
    </row>
    <row r="142" spans="1:17" ht="14.4" customHeight="1" x14ac:dyDescent="0.3">
      <c r="A142" s="695" t="s">
        <v>5256</v>
      </c>
      <c r="B142" s="696" t="s">
        <v>5257</v>
      </c>
      <c r="C142" s="696" t="s">
        <v>3589</v>
      </c>
      <c r="D142" s="696" t="s">
        <v>5328</v>
      </c>
      <c r="E142" s="696" t="s">
        <v>5329</v>
      </c>
      <c r="F142" s="711"/>
      <c r="G142" s="711"/>
      <c r="H142" s="711"/>
      <c r="I142" s="711"/>
      <c r="J142" s="711">
        <v>2</v>
      </c>
      <c r="K142" s="711">
        <v>10300</v>
      </c>
      <c r="L142" s="711"/>
      <c r="M142" s="711">
        <v>5150</v>
      </c>
      <c r="N142" s="711"/>
      <c r="O142" s="711"/>
      <c r="P142" s="701"/>
      <c r="Q142" s="712"/>
    </row>
    <row r="143" spans="1:17" ht="14.4" customHeight="1" x14ac:dyDescent="0.3">
      <c r="A143" s="695" t="s">
        <v>5256</v>
      </c>
      <c r="B143" s="696" t="s">
        <v>5257</v>
      </c>
      <c r="C143" s="696" t="s">
        <v>3589</v>
      </c>
      <c r="D143" s="696" t="s">
        <v>5330</v>
      </c>
      <c r="E143" s="696" t="s">
        <v>5331</v>
      </c>
      <c r="F143" s="711">
        <v>6</v>
      </c>
      <c r="G143" s="711">
        <v>7656</v>
      </c>
      <c r="H143" s="711">
        <v>1</v>
      </c>
      <c r="I143" s="711">
        <v>1276</v>
      </c>
      <c r="J143" s="711">
        <v>6</v>
      </c>
      <c r="K143" s="711">
        <v>7662</v>
      </c>
      <c r="L143" s="711">
        <v>1.0007836990595611</v>
      </c>
      <c r="M143" s="711">
        <v>1277</v>
      </c>
      <c r="N143" s="711">
        <v>10</v>
      </c>
      <c r="O143" s="711">
        <v>12770</v>
      </c>
      <c r="P143" s="701">
        <v>1.6679728317659352</v>
      </c>
      <c r="Q143" s="712">
        <v>1277</v>
      </c>
    </row>
    <row r="144" spans="1:17" ht="14.4" customHeight="1" x14ac:dyDescent="0.3">
      <c r="A144" s="695" t="s">
        <v>5256</v>
      </c>
      <c r="B144" s="696" t="s">
        <v>5257</v>
      </c>
      <c r="C144" s="696" t="s">
        <v>3589</v>
      </c>
      <c r="D144" s="696" t="s">
        <v>5332</v>
      </c>
      <c r="E144" s="696" t="s">
        <v>5333</v>
      </c>
      <c r="F144" s="711">
        <v>6</v>
      </c>
      <c r="G144" s="711">
        <v>6978</v>
      </c>
      <c r="H144" s="711">
        <v>1</v>
      </c>
      <c r="I144" s="711">
        <v>1163</v>
      </c>
      <c r="J144" s="711">
        <v>5</v>
      </c>
      <c r="K144" s="711">
        <v>5820</v>
      </c>
      <c r="L144" s="711">
        <v>0.83404987102321582</v>
      </c>
      <c r="M144" s="711">
        <v>1164</v>
      </c>
      <c r="N144" s="711">
        <v>1</v>
      </c>
      <c r="O144" s="711">
        <v>1164</v>
      </c>
      <c r="P144" s="701">
        <v>0.16680997420464316</v>
      </c>
      <c r="Q144" s="712">
        <v>1164</v>
      </c>
    </row>
    <row r="145" spans="1:17" ht="14.4" customHeight="1" x14ac:dyDescent="0.3">
      <c r="A145" s="695" t="s">
        <v>5256</v>
      </c>
      <c r="B145" s="696" t="s">
        <v>5257</v>
      </c>
      <c r="C145" s="696" t="s">
        <v>3589</v>
      </c>
      <c r="D145" s="696" t="s">
        <v>5334</v>
      </c>
      <c r="E145" s="696" t="s">
        <v>5335</v>
      </c>
      <c r="F145" s="711">
        <v>7</v>
      </c>
      <c r="G145" s="711">
        <v>35455</v>
      </c>
      <c r="H145" s="711">
        <v>1</v>
      </c>
      <c r="I145" s="711">
        <v>5065</v>
      </c>
      <c r="J145" s="711">
        <v>11</v>
      </c>
      <c r="K145" s="711">
        <v>55748</v>
      </c>
      <c r="L145" s="711">
        <v>1.5723593287265547</v>
      </c>
      <c r="M145" s="711">
        <v>5068</v>
      </c>
      <c r="N145" s="711">
        <v>11</v>
      </c>
      <c r="O145" s="711">
        <v>55748</v>
      </c>
      <c r="P145" s="701">
        <v>1.5723593287265547</v>
      </c>
      <c r="Q145" s="712">
        <v>5068</v>
      </c>
    </row>
    <row r="146" spans="1:17" ht="14.4" customHeight="1" x14ac:dyDescent="0.3">
      <c r="A146" s="695" t="s">
        <v>5256</v>
      </c>
      <c r="B146" s="696" t="s">
        <v>5257</v>
      </c>
      <c r="C146" s="696" t="s">
        <v>3589</v>
      </c>
      <c r="D146" s="696" t="s">
        <v>5336</v>
      </c>
      <c r="E146" s="696" t="s">
        <v>5337</v>
      </c>
      <c r="F146" s="711"/>
      <c r="G146" s="711"/>
      <c r="H146" s="711"/>
      <c r="I146" s="711"/>
      <c r="J146" s="711"/>
      <c r="K146" s="711"/>
      <c r="L146" s="711"/>
      <c r="M146" s="711"/>
      <c r="N146" s="711">
        <v>1</v>
      </c>
      <c r="O146" s="711">
        <v>5508</v>
      </c>
      <c r="P146" s="701"/>
      <c r="Q146" s="712">
        <v>5508</v>
      </c>
    </row>
    <row r="147" spans="1:17" ht="14.4" customHeight="1" x14ac:dyDescent="0.3">
      <c r="A147" s="695" t="s">
        <v>5256</v>
      </c>
      <c r="B147" s="696" t="s">
        <v>5257</v>
      </c>
      <c r="C147" s="696" t="s">
        <v>3589</v>
      </c>
      <c r="D147" s="696" t="s">
        <v>5338</v>
      </c>
      <c r="E147" s="696" t="s">
        <v>5339</v>
      </c>
      <c r="F147" s="711"/>
      <c r="G147" s="711"/>
      <c r="H147" s="711"/>
      <c r="I147" s="711"/>
      <c r="J147" s="711"/>
      <c r="K147" s="711"/>
      <c r="L147" s="711"/>
      <c r="M147" s="711"/>
      <c r="N147" s="711">
        <v>2</v>
      </c>
      <c r="O147" s="711">
        <v>1484</v>
      </c>
      <c r="P147" s="701"/>
      <c r="Q147" s="712">
        <v>742</v>
      </c>
    </row>
    <row r="148" spans="1:17" ht="14.4" customHeight="1" x14ac:dyDescent="0.3">
      <c r="A148" s="695" t="s">
        <v>5256</v>
      </c>
      <c r="B148" s="696" t="s">
        <v>5257</v>
      </c>
      <c r="C148" s="696" t="s">
        <v>3589</v>
      </c>
      <c r="D148" s="696" t="s">
        <v>5340</v>
      </c>
      <c r="E148" s="696" t="s">
        <v>5341</v>
      </c>
      <c r="F148" s="711">
        <v>241</v>
      </c>
      <c r="G148" s="711">
        <v>41452</v>
      </c>
      <c r="H148" s="711">
        <v>1</v>
      </c>
      <c r="I148" s="711">
        <v>172</v>
      </c>
      <c r="J148" s="711">
        <v>232</v>
      </c>
      <c r="K148" s="711">
        <v>40136</v>
      </c>
      <c r="L148" s="711">
        <v>0.96825243655312165</v>
      </c>
      <c r="M148" s="711">
        <v>173</v>
      </c>
      <c r="N148" s="711">
        <v>197</v>
      </c>
      <c r="O148" s="711">
        <v>34081</v>
      </c>
      <c r="P148" s="701">
        <v>0.82217987069381449</v>
      </c>
      <c r="Q148" s="712">
        <v>173</v>
      </c>
    </row>
    <row r="149" spans="1:17" ht="14.4" customHeight="1" x14ac:dyDescent="0.3">
      <c r="A149" s="695" t="s">
        <v>5256</v>
      </c>
      <c r="B149" s="696" t="s">
        <v>5257</v>
      </c>
      <c r="C149" s="696" t="s">
        <v>3589</v>
      </c>
      <c r="D149" s="696" t="s">
        <v>5342</v>
      </c>
      <c r="E149" s="696" t="s">
        <v>5343</v>
      </c>
      <c r="F149" s="711">
        <v>125</v>
      </c>
      <c r="G149" s="711">
        <v>249250</v>
      </c>
      <c r="H149" s="711">
        <v>1</v>
      </c>
      <c r="I149" s="711">
        <v>1994</v>
      </c>
      <c r="J149" s="711">
        <v>99</v>
      </c>
      <c r="K149" s="711">
        <v>197604</v>
      </c>
      <c r="L149" s="711">
        <v>0.79279438314944839</v>
      </c>
      <c r="M149" s="711">
        <v>1996</v>
      </c>
      <c r="N149" s="711">
        <v>125</v>
      </c>
      <c r="O149" s="711">
        <v>249500</v>
      </c>
      <c r="P149" s="701">
        <v>1.0010030090270812</v>
      </c>
      <c r="Q149" s="712">
        <v>1996</v>
      </c>
    </row>
    <row r="150" spans="1:17" ht="14.4" customHeight="1" x14ac:dyDescent="0.3">
      <c r="A150" s="695" t="s">
        <v>5256</v>
      </c>
      <c r="B150" s="696" t="s">
        <v>5257</v>
      </c>
      <c r="C150" s="696" t="s">
        <v>3589</v>
      </c>
      <c r="D150" s="696" t="s">
        <v>5344</v>
      </c>
      <c r="E150" s="696" t="s">
        <v>5345</v>
      </c>
      <c r="F150" s="711"/>
      <c r="G150" s="711"/>
      <c r="H150" s="711"/>
      <c r="I150" s="711"/>
      <c r="J150" s="711">
        <v>1</v>
      </c>
      <c r="K150" s="711">
        <v>2692</v>
      </c>
      <c r="L150" s="711"/>
      <c r="M150" s="711">
        <v>2692</v>
      </c>
      <c r="N150" s="711">
        <v>1</v>
      </c>
      <c r="O150" s="711">
        <v>2692</v>
      </c>
      <c r="P150" s="701"/>
      <c r="Q150" s="712">
        <v>2692</v>
      </c>
    </row>
    <row r="151" spans="1:17" ht="14.4" customHeight="1" x14ac:dyDescent="0.3">
      <c r="A151" s="695" t="s">
        <v>5256</v>
      </c>
      <c r="B151" s="696" t="s">
        <v>5257</v>
      </c>
      <c r="C151" s="696" t="s">
        <v>3589</v>
      </c>
      <c r="D151" s="696" t="s">
        <v>5346</v>
      </c>
      <c r="E151" s="696" t="s">
        <v>5347</v>
      </c>
      <c r="F151" s="711"/>
      <c r="G151" s="711"/>
      <c r="H151" s="711"/>
      <c r="I151" s="711"/>
      <c r="J151" s="711">
        <v>1</v>
      </c>
      <c r="K151" s="711">
        <v>5180</v>
      </c>
      <c r="L151" s="711"/>
      <c r="M151" s="711">
        <v>5180</v>
      </c>
      <c r="N151" s="711"/>
      <c r="O151" s="711"/>
      <c r="P151" s="701"/>
      <c r="Q151" s="712"/>
    </row>
    <row r="152" spans="1:17" ht="14.4" customHeight="1" x14ac:dyDescent="0.3">
      <c r="A152" s="695" t="s">
        <v>5256</v>
      </c>
      <c r="B152" s="696" t="s">
        <v>5257</v>
      </c>
      <c r="C152" s="696" t="s">
        <v>3589</v>
      </c>
      <c r="D152" s="696" t="s">
        <v>5348</v>
      </c>
      <c r="E152" s="696" t="s">
        <v>5349</v>
      </c>
      <c r="F152" s="711">
        <v>92</v>
      </c>
      <c r="G152" s="711">
        <v>13708</v>
      </c>
      <c r="H152" s="711">
        <v>1</v>
      </c>
      <c r="I152" s="711">
        <v>149</v>
      </c>
      <c r="J152" s="711">
        <v>92</v>
      </c>
      <c r="K152" s="711">
        <v>13800</v>
      </c>
      <c r="L152" s="711">
        <v>1.0067114093959733</v>
      </c>
      <c r="M152" s="711">
        <v>150</v>
      </c>
      <c r="N152" s="711">
        <v>90</v>
      </c>
      <c r="O152" s="711">
        <v>13500</v>
      </c>
      <c r="P152" s="701">
        <v>0.98482637875693024</v>
      </c>
      <c r="Q152" s="712">
        <v>150</v>
      </c>
    </row>
    <row r="153" spans="1:17" ht="14.4" customHeight="1" x14ac:dyDescent="0.3">
      <c r="A153" s="695" t="s">
        <v>5256</v>
      </c>
      <c r="B153" s="696" t="s">
        <v>5257</v>
      </c>
      <c r="C153" s="696" t="s">
        <v>3589</v>
      </c>
      <c r="D153" s="696" t="s">
        <v>5350</v>
      </c>
      <c r="E153" s="696" t="s">
        <v>5351</v>
      </c>
      <c r="F153" s="711">
        <v>73</v>
      </c>
      <c r="G153" s="711">
        <v>14016</v>
      </c>
      <c r="H153" s="711">
        <v>1</v>
      </c>
      <c r="I153" s="711">
        <v>192</v>
      </c>
      <c r="J153" s="711">
        <v>80</v>
      </c>
      <c r="K153" s="711">
        <v>15440</v>
      </c>
      <c r="L153" s="711">
        <v>1.1015981735159817</v>
      </c>
      <c r="M153" s="711">
        <v>193</v>
      </c>
      <c r="N153" s="711">
        <v>93</v>
      </c>
      <c r="O153" s="711">
        <v>17949</v>
      </c>
      <c r="P153" s="701">
        <v>1.2806078767123288</v>
      </c>
      <c r="Q153" s="712">
        <v>193</v>
      </c>
    </row>
    <row r="154" spans="1:17" ht="14.4" customHeight="1" x14ac:dyDescent="0.3">
      <c r="A154" s="695" t="s">
        <v>5256</v>
      </c>
      <c r="B154" s="696" t="s">
        <v>5257</v>
      </c>
      <c r="C154" s="696" t="s">
        <v>3589</v>
      </c>
      <c r="D154" s="696" t="s">
        <v>5352</v>
      </c>
      <c r="E154" s="696" t="s">
        <v>5353</v>
      </c>
      <c r="F154" s="711">
        <v>1078</v>
      </c>
      <c r="G154" s="711">
        <v>212366</v>
      </c>
      <c r="H154" s="711">
        <v>1</v>
      </c>
      <c r="I154" s="711">
        <v>197</v>
      </c>
      <c r="J154" s="711">
        <v>992</v>
      </c>
      <c r="K154" s="711">
        <v>196416</v>
      </c>
      <c r="L154" s="711">
        <v>0.92489381539417792</v>
      </c>
      <c r="M154" s="711">
        <v>198</v>
      </c>
      <c r="N154" s="711">
        <v>985</v>
      </c>
      <c r="O154" s="711">
        <v>195030</v>
      </c>
      <c r="P154" s="701">
        <v>0.91836734693877553</v>
      </c>
      <c r="Q154" s="712">
        <v>198</v>
      </c>
    </row>
    <row r="155" spans="1:17" ht="14.4" customHeight="1" x14ac:dyDescent="0.3">
      <c r="A155" s="695" t="s">
        <v>5256</v>
      </c>
      <c r="B155" s="696" t="s">
        <v>5257</v>
      </c>
      <c r="C155" s="696" t="s">
        <v>3589</v>
      </c>
      <c r="D155" s="696" t="s">
        <v>5354</v>
      </c>
      <c r="E155" s="696" t="s">
        <v>5355</v>
      </c>
      <c r="F155" s="711">
        <v>1</v>
      </c>
      <c r="G155" s="711">
        <v>414</v>
      </c>
      <c r="H155" s="711">
        <v>1</v>
      </c>
      <c r="I155" s="711">
        <v>414</v>
      </c>
      <c r="J155" s="711"/>
      <c r="K155" s="711"/>
      <c r="L155" s="711"/>
      <c r="M155" s="711"/>
      <c r="N155" s="711">
        <v>1</v>
      </c>
      <c r="O155" s="711">
        <v>415</v>
      </c>
      <c r="P155" s="701">
        <v>1.0024154589371981</v>
      </c>
      <c r="Q155" s="712">
        <v>415</v>
      </c>
    </row>
    <row r="156" spans="1:17" ht="14.4" customHeight="1" x14ac:dyDescent="0.3">
      <c r="A156" s="695" t="s">
        <v>5256</v>
      </c>
      <c r="B156" s="696" t="s">
        <v>5257</v>
      </c>
      <c r="C156" s="696" t="s">
        <v>3589</v>
      </c>
      <c r="D156" s="696" t="s">
        <v>5356</v>
      </c>
      <c r="E156" s="696" t="s">
        <v>5357</v>
      </c>
      <c r="F156" s="711">
        <v>20</v>
      </c>
      <c r="G156" s="711">
        <v>3140</v>
      </c>
      <c r="H156" s="711">
        <v>1</v>
      </c>
      <c r="I156" s="711">
        <v>157</v>
      </c>
      <c r="J156" s="711">
        <v>35</v>
      </c>
      <c r="K156" s="711">
        <v>5530</v>
      </c>
      <c r="L156" s="711">
        <v>1.7611464968152866</v>
      </c>
      <c r="M156" s="711">
        <v>158</v>
      </c>
      <c r="N156" s="711">
        <v>21</v>
      </c>
      <c r="O156" s="711">
        <v>3318</v>
      </c>
      <c r="P156" s="701">
        <v>1.0566878980891721</v>
      </c>
      <c r="Q156" s="712">
        <v>158</v>
      </c>
    </row>
    <row r="157" spans="1:17" ht="14.4" customHeight="1" x14ac:dyDescent="0.3">
      <c r="A157" s="695" t="s">
        <v>5256</v>
      </c>
      <c r="B157" s="696" t="s">
        <v>5257</v>
      </c>
      <c r="C157" s="696" t="s">
        <v>3589</v>
      </c>
      <c r="D157" s="696" t="s">
        <v>5358</v>
      </c>
      <c r="E157" s="696" t="s">
        <v>5359</v>
      </c>
      <c r="F157" s="711">
        <v>5</v>
      </c>
      <c r="G157" s="711">
        <v>10580</v>
      </c>
      <c r="H157" s="711">
        <v>1</v>
      </c>
      <c r="I157" s="711">
        <v>2116</v>
      </c>
      <c r="J157" s="711">
        <v>57</v>
      </c>
      <c r="K157" s="711">
        <v>120726</v>
      </c>
      <c r="L157" s="711">
        <v>11.41077504725898</v>
      </c>
      <c r="M157" s="711">
        <v>2118</v>
      </c>
      <c r="N157" s="711">
        <v>78</v>
      </c>
      <c r="O157" s="711">
        <v>165204</v>
      </c>
      <c r="P157" s="701">
        <v>15.614744801512288</v>
      </c>
      <c r="Q157" s="712">
        <v>2118</v>
      </c>
    </row>
    <row r="158" spans="1:17" ht="14.4" customHeight="1" x14ac:dyDescent="0.3">
      <c r="A158" s="695" t="s">
        <v>5256</v>
      </c>
      <c r="B158" s="696" t="s">
        <v>5257</v>
      </c>
      <c r="C158" s="696" t="s">
        <v>3589</v>
      </c>
      <c r="D158" s="696" t="s">
        <v>5360</v>
      </c>
      <c r="E158" s="696" t="s">
        <v>5327</v>
      </c>
      <c r="F158" s="711">
        <v>4</v>
      </c>
      <c r="G158" s="711">
        <v>7448</v>
      </c>
      <c r="H158" s="711">
        <v>1</v>
      </c>
      <c r="I158" s="711">
        <v>1862</v>
      </c>
      <c r="J158" s="711">
        <v>6</v>
      </c>
      <c r="K158" s="711">
        <v>11184</v>
      </c>
      <c r="L158" s="711">
        <v>1.5016111707841031</v>
      </c>
      <c r="M158" s="711">
        <v>1864</v>
      </c>
      <c r="N158" s="711">
        <v>14</v>
      </c>
      <c r="O158" s="711">
        <v>26096</v>
      </c>
      <c r="P158" s="701">
        <v>3.5037593984962405</v>
      </c>
      <c r="Q158" s="712">
        <v>1864</v>
      </c>
    </row>
    <row r="159" spans="1:17" ht="14.4" customHeight="1" x14ac:dyDescent="0.3">
      <c r="A159" s="695" t="s">
        <v>5256</v>
      </c>
      <c r="B159" s="696" t="s">
        <v>5257</v>
      </c>
      <c r="C159" s="696" t="s">
        <v>3589</v>
      </c>
      <c r="D159" s="696" t="s">
        <v>5361</v>
      </c>
      <c r="E159" s="696" t="s">
        <v>5362</v>
      </c>
      <c r="F159" s="711">
        <v>3</v>
      </c>
      <c r="G159" s="711">
        <v>471</v>
      </c>
      <c r="H159" s="711">
        <v>1</v>
      </c>
      <c r="I159" s="711">
        <v>157</v>
      </c>
      <c r="J159" s="711">
        <v>4</v>
      </c>
      <c r="K159" s="711">
        <v>632</v>
      </c>
      <c r="L159" s="711">
        <v>1.3418259023354564</v>
      </c>
      <c r="M159" s="711">
        <v>158</v>
      </c>
      <c r="N159" s="711"/>
      <c r="O159" s="711"/>
      <c r="P159" s="701"/>
      <c r="Q159" s="712"/>
    </row>
    <row r="160" spans="1:17" ht="14.4" customHeight="1" x14ac:dyDescent="0.3">
      <c r="A160" s="695" t="s">
        <v>5256</v>
      </c>
      <c r="B160" s="696" t="s">
        <v>5257</v>
      </c>
      <c r="C160" s="696" t="s">
        <v>3589</v>
      </c>
      <c r="D160" s="696" t="s">
        <v>5363</v>
      </c>
      <c r="E160" s="696" t="s">
        <v>5364</v>
      </c>
      <c r="F160" s="711"/>
      <c r="G160" s="711"/>
      <c r="H160" s="711"/>
      <c r="I160" s="711"/>
      <c r="J160" s="711"/>
      <c r="K160" s="711"/>
      <c r="L160" s="711"/>
      <c r="M160" s="711"/>
      <c r="N160" s="711">
        <v>1</v>
      </c>
      <c r="O160" s="711">
        <v>9711</v>
      </c>
      <c r="P160" s="701"/>
      <c r="Q160" s="712">
        <v>9711</v>
      </c>
    </row>
    <row r="161" spans="1:17" ht="14.4" customHeight="1" x14ac:dyDescent="0.3">
      <c r="A161" s="695" t="s">
        <v>5256</v>
      </c>
      <c r="B161" s="696" t="s">
        <v>5257</v>
      </c>
      <c r="C161" s="696" t="s">
        <v>3589</v>
      </c>
      <c r="D161" s="696" t="s">
        <v>5365</v>
      </c>
      <c r="E161" s="696" t="s">
        <v>5366</v>
      </c>
      <c r="F161" s="711">
        <v>2</v>
      </c>
      <c r="G161" s="711">
        <v>16756</v>
      </c>
      <c r="H161" s="711">
        <v>1</v>
      </c>
      <c r="I161" s="711">
        <v>8378</v>
      </c>
      <c r="J161" s="711">
        <v>4</v>
      </c>
      <c r="K161" s="711">
        <v>33536</v>
      </c>
      <c r="L161" s="711">
        <v>2.0014323227500599</v>
      </c>
      <c r="M161" s="711">
        <v>8384</v>
      </c>
      <c r="N161" s="711">
        <v>8</v>
      </c>
      <c r="O161" s="711">
        <v>67072</v>
      </c>
      <c r="P161" s="701">
        <v>4.0028646455001198</v>
      </c>
      <c r="Q161" s="712">
        <v>8384</v>
      </c>
    </row>
    <row r="162" spans="1:17" ht="14.4" customHeight="1" x14ac:dyDescent="0.3">
      <c r="A162" s="695" t="s">
        <v>5256</v>
      </c>
      <c r="B162" s="696" t="s">
        <v>5257</v>
      </c>
      <c r="C162" s="696" t="s">
        <v>3589</v>
      </c>
      <c r="D162" s="696" t="s">
        <v>5367</v>
      </c>
      <c r="E162" s="696" t="s">
        <v>5368</v>
      </c>
      <c r="F162" s="711">
        <v>1</v>
      </c>
      <c r="G162" s="711">
        <v>1988</v>
      </c>
      <c r="H162" s="711">
        <v>1</v>
      </c>
      <c r="I162" s="711">
        <v>1988</v>
      </c>
      <c r="J162" s="711"/>
      <c r="K162" s="711"/>
      <c r="L162" s="711"/>
      <c r="M162" s="711"/>
      <c r="N162" s="711">
        <v>2</v>
      </c>
      <c r="O162" s="711">
        <v>3986</v>
      </c>
      <c r="P162" s="701">
        <v>2.0050301810865192</v>
      </c>
      <c r="Q162" s="712">
        <v>1993</v>
      </c>
    </row>
    <row r="163" spans="1:17" ht="14.4" customHeight="1" x14ac:dyDescent="0.3">
      <c r="A163" s="695" t="s">
        <v>5256</v>
      </c>
      <c r="B163" s="696" t="s">
        <v>5257</v>
      </c>
      <c r="C163" s="696" t="s">
        <v>3589</v>
      </c>
      <c r="D163" s="696" t="s">
        <v>5369</v>
      </c>
      <c r="E163" s="696" t="s">
        <v>5370</v>
      </c>
      <c r="F163" s="711"/>
      <c r="G163" s="711"/>
      <c r="H163" s="711"/>
      <c r="I163" s="711"/>
      <c r="J163" s="711"/>
      <c r="K163" s="711"/>
      <c r="L163" s="711"/>
      <c r="M163" s="711"/>
      <c r="N163" s="711">
        <v>1</v>
      </c>
      <c r="O163" s="711">
        <v>276</v>
      </c>
      <c r="P163" s="701"/>
      <c r="Q163" s="712">
        <v>276</v>
      </c>
    </row>
    <row r="164" spans="1:17" ht="14.4" customHeight="1" x14ac:dyDescent="0.3">
      <c r="A164" s="695" t="s">
        <v>5371</v>
      </c>
      <c r="B164" s="696" t="s">
        <v>5372</v>
      </c>
      <c r="C164" s="696" t="s">
        <v>3589</v>
      </c>
      <c r="D164" s="696" t="s">
        <v>5373</v>
      </c>
      <c r="E164" s="696" t="s">
        <v>5374</v>
      </c>
      <c r="F164" s="711">
        <v>231</v>
      </c>
      <c r="G164" s="711">
        <v>46662</v>
      </c>
      <c r="H164" s="711">
        <v>1</v>
      </c>
      <c r="I164" s="711">
        <v>202</v>
      </c>
      <c r="J164" s="711">
        <v>166</v>
      </c>
      <c r="K164" s="711">
        <v>33698</v>
      </c>
      <c r="L164" s="711">
        <v>0.7221722172217222</v>
      </c>
      <c r="M164" s="711">
        <v>203</v>
      </c>
      <c r="N164" s="711">
        <v>217</v>
      </c>
      <c r="O164" s="711">
        <v>44051</v>
      </c>
      <c r="P164" s="701">
        <v>0.94404440444044402</v>
      </c>
      <c r="Q164" s="712">
        <v>203</v>
      </c>
    </row>
    <row r="165" spans="1:17" ht="14.4" customHeight="1" x14ac:dyDescent="0.3">
      <c r="A165" s="695" t="s">
        <v>5371</v>
      </c>
      <c r="B165" s="696" t="s">
        <v>5372</v>
      </c>
      <c r="C165" s="696" t="s">
        <v>3589</v>
      </c>
      <c r="D165" s="696" t="s">
        <v>5375</v>
      </c>
      <c r="E165" s="696" t="s">
        <v>5376</v>
      </c>
      <c r="F165" s="711">
        <v>54</v>
      </c>
      <c r="G165" s="711">
        <v>15714</v>
      </c>
      <c r="H165" s="711">
        <v>1</v>
      </c>
      <c r="I165" s="711">
        <v>291</v>
      </c>
      <c r="J165" s="711">
        <v>145</v>
      </c>
      <c r="K165" s="711">
        <v>42340</v>
      </c>
      <c r="L165" s="711">
        <v>2.6944126256841034</v>
      </c>
      <c r="M165" s="711">
        <v>292</v>
      </c>
      <c r="N165" s="711">
        <v>79</v>
      </c>
      <c r="O165" s="711">
        <v>23068</v>
      </c>
      <c r="P165" s="701">
        <v>1.4679903270968564</v>
      </c>
      <c r="Q165" s="712">
        <v>292</v>
      </c>
    </row>
    <row r="166" spans="1:17" ht="14.4" customHeight="1" x14ac:dyDescent="0.3">
      <c r="A166" s="695" t="s">
        <v>5371</v>
      </c>
      <c r="B166" s="696" t="s">
        <v>5372</v>
      </c>
      <c r="C166" s="696" t="s">
        <v>3589</v>
      </c>
      <c r="D166" s="696" t="s">
        <v>5377</v>
      </c>
      <c r="E166" s="696" t="s">
        <v>5378</v>
      </c>
      <c r="F166" s="711">
        <v>12</v>
      </c>
      <c r="G166" s="711">
        <v>1596</v>
      </c>
      <c r="H166" s="711">
        <v>1</v>
      </c>
      <c r="I166" s="711">
        <v>133</v>
      </c>
      <c r="J166" s="711">
        <v>16</v>
      </c>
      <c r="K166" s="711">
        <v>2144</v>
      </c>
      <c r="L166" s="711">
        <v>1.3433583959899749</v>
      </c>
      <c r="M166" s="711">
        <v>134</v>
      </c>
      <c r="N166" s="711">
        <v>17</v>
      </c>
      <c r="O166" s="711">
        <v>2278</v>
      </c>
      <c r="P166" s="701">
        <v>1.4273182957393484</v>
      </c>
      <c r="Q166" s="712">
        <v>134</v>
      </c>
    </row>
    <row r="167" spans="1:17" ht="14.4" customHeight="1" x14ac:dyDescent="0.3">
      <c r="A167" s="695" t="s">
        <v>5371</v>
      </c>
      <c r="B167" s="696" t="s">
        <v>5372</v>
      </c>
      <c r="C167" s="696" t="s">
        <v>3589</v>
      </c>
      <c r="D167" s="696" t="s">
        <v>5379</v>
      </c>
      <c r="E167" s="696" t="s">
        <v>5378</v>
      </c>
      <c r="F167" s="711">
        <v>1</v>
      </c>
      <c r="G167" s="711">
        <v>174</v>
      </c>
      <c r="H167" s="711">
        <v>1</v>
      </c>
      <c r="I167" s="711">
        <v>174</v>
      </c>
      <c r="J167" s="711"/>
      <c r="K167" s="711"/>
      <c r="L167" s="711"/>
      <c r="M167" s="711"/>
      <c r="N167" s="711"/>
      <c r="O167" s="711"/>
      <c r="P167" s="701"/>
      <c r="Q167" s="712"/>
    </row>
    <row r="168" spans="1:17" ht="14.4" customHeight="1" x14ac:dyDescent="0.3">
      <c r="A168" s="695" t="s">
        <v>5371</v>
      </c>
      <c r="B168" s="696" t="s">
        <v>5372</v>
      </c>
      <c r="C168" s="696" t="s">
        <v>3589</v>
      </c>
      <c r="D168" s="696" t="s">
        <v>5380</v>
      </c>
      <c r="E168" s="696" t="s">
        <v>5381</v>
      </c>
      <c r="F168" s="711">
        <v>2</v>
      </c>
      <c r="G168" s="711">
        <v>316</v>
      </c>
      <c r="H168" s="711">
        <v>1</v>
      </c>
      <c r="I168" s="711">
        <v>158</v>
      </c>
      <c r="J168" s="711">
        <v>7</v>
      </c>
      <c r="K168" s="711">
        <v>1113</v>
      </c>
      <c r="L168" s="711">
        <v>3.5221518987341773</v>
      </c>
      <c r="M168" s="711">
        <v>159</v>
      </c>
      <c r="N168" s="711">
        <v>5</v>
      </c>
      <c r="O168" s="711">
        <v>795</v>
      </c>
      <c r="P168" s="701">
        <v>2.5158227848101267</v>
      </c>
      <c r="Q168" s="712">
        <v>159</v>
      </c>
    </row>
    <row r="169" spans="1:17" ht="14.4" customHeight="1" x14ac:dyDescent="0.3">
      <c r="A169" s="695" t="s">
        <v>5371</v>
      </c>
      <c r="B169" s="696" t="s">
        <v>5372</v>
      </c>
      <c r="C169" s="696" t="s">
        <v>3589</v>
      </c>
      <c r="D169" s="696" t="s">
        <v>5382</v>
      </c>
      <c r="E169" s="696" t="s">
        <v>5383</v>
      </c>
      <c r="F169" s="711">
        <v>71</v>
      </c>
      <c r="G169" s="711">
        <v>18531</v>
      </c>
      <c r="H169" s="711">
        <v>1</v>
      </c>
      <c r="I169" s="711">
        <v>261</v>
      </c>
      <c r="J169" s="711">
        <v>53</v>
      </c>
      <c r="K169" s="711">
        <v>13886</v>
      </c>
      <c r="L169" s="711">
        <v>0.7493389455506988</v>
      </c>
      <c r="M169" s="711">
        <v>262</v>
      </c>
      <c r="N169" s="711">
        <v>56</v>
      </c>
      <c r="O169" s="711">
        <v>14672</v>
      </c>
      <c r="P169" s="701">
        <v>0.7917543575630025</v>
      </c>
      <c r="Q169" s="712">
        <v>262</v>
      </c>
    </row>
    <row r="170" spans="1:17" ht="14.4" customHeight="1" x14ac:dyDescent="0.3">
      <c r="A170" s="695" t="s">
        <v>5371</v>
      </c>
      <c r="B170" s="696" t="s">
        <v>5372</v>
      </c>
      <c r="C170" s="696" t="s">
        <v>3589</v>
      </c>
      <c r="D170" s="696" t="s">
        <v>5384</v>
      </c>
      <c r="E170" s="696" t="s">
        <v>5385</v>
      </c>
      <c r="F170" s="711">
        <v>89</v>
      </c>
      <c r="G170" s="711">
        <v>12460</v>
      </c>
      <c r="H170" s="711">
        <v>1</v>
      </c>
      <c r="I170" s="711">
        <v>140</v>
      </c>
      <c r="J170" s="711">
        <v>57</v>
      </c>
      <c r="K170" s="711">
        <v>8037</v>
      </c>
      <c r="L170" s="711">
        <v>0.64502407704654896</v>
      </c>
      <c r="M170" s="711">
        <v>141</v>
      </c>
      <c r="N170" s="711">
        <v>66</v>
      </c>
      <c r="O170" s="711">
        <v>9306</v>
      </c>
      <c r="P170" s="701">
        <v>0.74686998394863569</v>
      </c>
      <c r="Q170" s="712">
        <v>141</v>
      </c>
    </row>
    <row r="171" spans="1:17" ht="14.4" customHeight="1" x14ac:dyDescent="0.3">
      <c r="A171" s="695" t="s">
        <v>5371</v>
      </c>
      <c r="B171" s="696" t="s">
        <v>5372</v>
      </c>
      <c r="C171" s="696" t="s">
        <v>3589</v>
      </c>
      <c r="D171" s="696" t="s">
        <v>5386</v>
      </c>
      <c r="E171" s="696" t="s">
        <v>5385</v>
      </c>
      <c r="F171" s="711">
        <v>12</v>
      </c>
      <c r="G171" s="711">
        <v>936</v>
      </c>
      <c r="H171" s="711">
        <v>1</v>
      </c>
      <c r="I171" s="711">
        <v>78</v>
      </c>
      <c r="J171" s="711">
        <v>16</v>
      </c>
      <c r="K171" s="711">
        <v>1248</v>
      </c>
      <c r="L171" s="711">
        <v>1.3333333333333333</v>
      </c>
      <c r="M171" s="711">
        <v>78</v>
      </c>
      <c r="N171" s="711">
        <v>17</v>
      </c>
      <c r="O171" s="711">
        <v>1326</v>
      </c>
      <c r="P171" s="701">
        <v>1.4166666666666667</v>
      </c>
      <c r="Q171" s="712">
        <v>78</v>
      </c>
    </row>
    <row r="172" spans="1:17" ht="14.4" customHeight="1" x14ac:dyDescent="0.3">
      <c r="A172" s="695" t="s">
        <v>5371</v>
      </c>
      <c r="B172" s="696" t="s">
        <v>5372</v>
      </c>
      <c r="C172" s="696" t="s">
        <v>3589</v>
      </c>
      <c r="D172" s="696" t="s">
        <v>5387</v>
      </c>
      <c r="E172" s="696" t="s">
        <v>5388</v>
      </c>
      <c r="F172" s="711">
        <v>89</v>
      </c>
      <c r="G172" s="711">
        <v>26878</v>
      </c>
      <c r="H172" s="711">
        <v>1</v>
      </c>
      <c r="I172" s="711">
        <v>302</v>
      </c>
      <c r="J172" s="711">
        <v>57</v>
      </c>
      <c r="K172" s="711">
        <v>17271</v>
      </c>
      <c r="L172" s="711">
        <v>0.64257013170622812</v>
      </c>
      <c r="M172" s="711">
        <v>303</v>
      </c>
      <c r="N172" s="711">
        <v>66</v>
      </c>
      <c r="O172" s="711">
        <v>19998</v>
      </c>
      <c r="P172" s="701">
        <v>0.74402857355457996</v>
      </c>
      <c r="Q172" s="712">
        <v>303</v>
      </c>
    </row>
    <row r="173" spans="1:17" ht="14.4" customHeight="1" x14ac:dyDescent="0.3">
      <c r="A173" s="695" t="s">
        <v>5371</v>
      </c>
      <c r="B173" s="696" t="s">
        <v>5372</v>
      </c>
      <c r="C173" s="696" t="s">
        <v>3589</v>
      </c>
      <c r="D173" s="696" t="s">
        <v>5389</v>
      </c>
      <c r="E173" s="696" t="s">
        <v>5390</v>
      </c>
      <c r="F173" s="711">
        <v>12</v>
      </c>
      <c r="G173" s="711">
        <v>1908</v>
      </c>
      <c r="H173" s="711">
        <v>1</v>
      </c>
      <c r="I173" s="711">
        <v>159</v>
      </c>
      <c r="J173" s="711">
        <v>11</v>
      </c>
      <c r="K173" s="711">
        <v>1760</v>
      </c>
      <c r="L173" s="711">
        <v>0.92243186582809222</v>
      </c>
      <c r="M173" s="711">
        <v>160</v>
      </c>
      <c r="N173" s="711">
        <v>9</v>
      </c>
      <c r="O173" s="711">
        <v>1440</v>
      </c>
      <c r="P173" s="701">
        <v>0.75471698113207553</v>
      </c>
      <c r="Q173" s="712">
        <v>160</v>
      </c>
    </row>
    <row r="174" spans="1:17" ht="14.4" customHeight="1" x14ac:dyDescent="0.3">
      <c r="A174" s="695" t="s">
        <v>5371</v>
      </c>
      <c r="B174" s="696" t="s">
        <v>5372</v>
      </c>
      <c r="C174" s="696" t="s">
        <v>3589</v>
      </c>
      <c r="D174" s="696" t="s">
        <v>5391</v>
      </c>
      <c r="E174" s="696" t="s">
        <v>5374</v>
      </c>
      <c r="F174" s="711">
        <v>34</v>
      </c>
      <c r="G174" s="711">
        <v>2380</v>
      </c>
      <c r="H174" s="711">
        <v>1</v>
      </c>
      <c r="I174" s="711">
        <v>70</v>
      </c>
      <c r="J174" s="711">
        <v>49</v>
      </c>
      <c r="K174" s="711">
        <v>3430</v>
      </c>
      <c r="L174" s="711">
        <v>1.4411764705882353</v>
      </c>
      <c r="M174" s="711">
        <v>70</v>
      </c>
      <c r="N174" s="711">
        <v>32</v>
      </c>
      <c r="O174" s="711">
        <v>2240</v>
      </c>
      <c r="P174" s="701">
        <v>0.94117647058823528</v>
      </c>
      <c r="Q174" s="712">
        <v>70</v>
      </c>
    </row>
    <row r="175" spans="1:17" ht="14.4" customHeight="1" x14ac:dyDescent="0.3">
      <c r="A175" s="695" t="s">
        <v>5371</v>
      </c>
      <c r="B175" s="696" t="s">
        <v>5372</v>
      </c>
      <c r="C175" s="696" t="s">
        <v>3589</v>
      </c>
      <c r="D175" s="696" t="s">
        <v>5392</v>
      </c>
      <c r="E175" s="696" t="s">
        <v>5393</v>
      </c>
      <c r="F175" s="711">
        <v>1</v>
      </c>
      <c r="G175" s="711">
        <v>215</v>
      </c>
      <c r="H175" s="711">
        <v>1</v>
      </c>
      <c r="I175" s="711">
        <v>215</v>
      </c>
      <c r="J175" s="711"/>
      <c r="K175" s="711"/>
      <c r="L175" s="711"/>
      <c r="M175" s="711"/>
      <c r="N175" s="711"/>
      <c r="O175" s="711"/>
      <c r="P175" s="701"/>
      <c r="Q175" s="712"/>
    </row>
    <row r="176" spans="1:17" ht="14.4" customHeight="1" x14ac:dyDescent="0.3">
      <c r="A176" s="695" t="s">
        <v>5371</v>
      </c>
      <c r="B176" s="696" t="s">
        <v>5372</v>
      </c>
      <c r="C176" s="696" t="s">
        <v>3589</v>
      </c>
      <c r="D176" s="696" t="s">
        <v>5394</v>
      </c>
      <c r="E176" s="696" t="s">
        <v>5395</v>
      </c>
      <c r="F176" s="711">
        <v>2</v>
      </c>
      <c r="G176" s="711">
        <v>2372</v>
      </c>
      <c r="H176" s="711">
        <v>1</v>
      </c>
      <c r="I176" s="711">
        <v>1186</v>
      </c>
      <c r="J176" s="711">
        <v>3</v>
      </c>
      <c r="K176" s="711">
        <v>3567</v>
      </c>
      <c r="L176" s="711">
        <v>1.5037942664418213</v>
      </c>
      <c r="M176" s="711">
        <v>1189</v>
      </c>
      <c r="N176" s="711">
        <v>2</v>
      </c>
      <c r="O176" s="711">
        <v>2378</v>
      </c>
      <c r="P176" s="701">
        <v>1.0025295109612142</v>
      </c>
      <c r="Q176" s="712">
        <v>1189</v>
      </c>
    </row>
    <row r="177" spans="1:17" ht="14.4" customHeight="1" x14ac:dyDescent="0.3">
      <c r="A177" s="695" t="s">
        <v>5371</v>
      </c>
      <c r="B177" s="696" t="s">
        <v>5372</v>
      </c>
      <c r="C177" s="696" t="s">
        <v>3589</v>
      </c>
      <c r="D177" s="696" t="s">
        <v>5396</v>
      </c>
      <c r="E177" s="696" t="s">
        <v>5397</v>
      </c>
      <c r="F177" s="711">
        <v>3</v>
      </c>
      <c r="G177" s="711">
        <v>321</v>
      </c>
      <c r="H177" s="711">
        <v>1</v>
      </c>
      <c r="I177" s="711">
        <v>107</v>
      </c>
      <c r="J177" s="711">
        <v>4</v>
      </c>
      <c r="K177" s="711">
        <v>432</v>
      </c>
      <c r="L177" s="711">
        <v>1.3457943925233644</v>
      </c>
      <c r="M177" s="711">
        <v>108</v>
      </c>
      <c r="N177" s="711">
        <v>1</v>
      </c>
      <c r="O177" s="711">
        <v>108</v>
      </c>
      <c r="P177" s="701">
        <v>0.3364485981308411</v>
      </c>
      <c r="Q177" s="712">
        <v>108</v>
      </c>
    </row>
    <row r="178" spans="1:17" ht="14.4" customHeight="1" x14ac:dyDescent="0.3">
      <c r="A178" s="695" t="s">
        <v>5371</v>
      </c>
      <c r="B178" s="696" t="s">
        <v>5372</v>
      </c>
      <c r="C178" s="696" t="s">
        <v>3589</v>
      </c>
      <c r="D178" s="696" t="s">
        <v>5398</v>
      </c>
      <c r="E178" s="696" t="s">
        <v>5399</v>
      </c>
      <c r="F178" s="711">
        <v>1</v>
      </c>
      <c r="G178" s="711">
        <v>318</v>
      </c>
      <c r="H178" s="711">
        <v>1</v>
      </c>
      <c r="I178" s="711">
        <v>318</v>
      </c>
      <c r="J178" s="711"/>
      <c r="K178" s="711"/>
      <c r="L178" s="711"/>
      <c r="M178" s="711"/>
      <c r="N178" s="711"/>
      <c r="O178" s="711"/>
      <c r="P178" s="701"/>
      <c r="Q178" s="712"/>
    </row>
    <row r="179" spans="1:17" ht="14.4" customHeight="1" x14ac:dyDescent="0.3">
      <c r="A179" s="695" t="s">
        <v>5400</v>
      </c>
      <c r="B179" s="696" t="s">
        <v>5401</v>
      </c>
      <c r="C179" s="696" t="s">
        <v>3589</v>
      </c>
      <c r="D179" s="696" t="s">
        <v>5402</v>
      </c>
      <c r="E179" s="696" t="s">
        <v>5403</v>
      </c>
      <c r="F179" s="711">
        <v>4</v>
      </c>
      <c r="G179" s="711">
        <v>212</v>
      </c>
      <c r="H179" s="711">
        <v>1</v>
      </c>
      <c r="I179" s="711">
        <v>53</v>
      </c>
      <c r="J179" s="711">
        <v>8</v>
      </c>
      <c r="K179" s="711">
        <v>424</v>
      </c>
      <c r="L179" s="711">
        <v>2</v>
      </c>
      <c r="M179" s="711">
        <v>53</v>
      </c>
      <c r="N179" s="711">
        <v>18</v>
      </c>
      <c r="O179" s="711">
        <v>954</v>
      </c>
      <c r="P179" s="701">
        <v>4.5</v>
      </c>
      <c r="Q179" s="712">
        <v>53</v>
      </c>
    </row>
    <row r="180" spans="1:17" ht="14.4" customHeight="1" x14ac:dyDescent="0.3">
      <c r="A180" s="695" t="s">
        <v>5400</v>
      </c>
      <c r="B180" s="696" t="s">
        <v>5401</v>
      </c>
      <c r="C180" s="696" t="s">
        <v>3589</v>
      </c>
      <c r="D180" s="696" t="s">
        <v>5404</v>
      </c>
      <c r="E180" s="696" t="s">
        <v>5405</v>
      </c>
      <c r="F180" s="711"/>
      <c r="G180" s="711"/>
      <c r="H180" s="711"/>
      <c r="I180" s="711"/>
      <c r="J180" s="711">
        <v>4</v>
      </c>
      <c r="K180" s="711">
        <v>484</v>
      </c>
      <c r="L180" s="711"/>
      <c r="M180" s="711">
        <v>121</v>
      </c>
      <c r="N180" s="711">
        <v>8</v>
      </c>
      <c r="O180" s="711">
        <v>968</v>
      </c>
      <c r="P180" s="701"/>
      <c r="Q180" s="712">
        <v>121</v>
      </c>
    </row>
    <row r="181" spans="1:17" ht="14.4" customHeight="1" x14ac:dyDescent="0.3">
      <c r="A181" s="695" t="s">
        <v>5400</v>
      </c>
      <c r="B181" s="696" t="s">
        <v>5401</v>
      </c>
      <c r="C181" s="696" t="s">
        <v>3589</v>
      </c>
      <c r="D181" s="696" t="s">
        <v>5406</v>
      </c>
      <c r="E181" s="696" t="s">
        <v>5407</v>
      </c>
      <c r="F181" s="711"/>
      <c r="G181" s="711"/>
      <c r="H181" s="711"/>
      <c r="I181" s="711"/>
      <c r="J181" s="711">
        <v>4</v>
      </c>
      <c r="K181" s="711">
        <v>696</v>
      </c>
      <c r="L181" s="711"/>
      <c r="M181" s="711">
        <v>174</v>
      </c>
      <c r="N181" s="711">
        <v>1</v>
      </c>
      <c r="O181" s="711">
        <v>174</v>
      </c>
      <c r="P181" s="701"/>
      <c r="Q181" s="712">
        <v>174</v>
      </c>
    </row>
    <row r="182" spans="1:17" ht="14.4" customHeight="1" x14ac:dyDescent="0.3">
      <c r="A182" s="695" t="s">
        <v>5400</v>
      </c>
      <c r="B182" s="696" t="s">
        <v>5401</v>
      </c>
      <c r="C182" s="696" t="s">
        <v>3589</v>
      </c>
      <c r="D182" s="696" t="s">
        <v>5408</v>
      </c>
      <c r="E182" s="696" t="s">
        <v>5409</v>
      </c>
      <c r="F182" s="711"/>
      <c r="G182" s="711"/>
      <c r="H182" s="711"/>
      <c r="I182" s="711"/>
      <c r="J182" s="711">
        <v>7</v>
      </c>
      <c r="K182" s="711">
        <v>1176</v>
      </c>
      <c r="L182" s="711"/>
      <c r="M182" s="711">
        <v>168</v>
      </c>
      <c r="N182" s="711">
        <v>2</v>
      </c>
      <c r="O182" s="711">
        <v>336</v>
      </c>
      <c r="P182" s="701"/>
      <c r="Q182" s="712">
        <v>168</v>
      </c>
    </row>
    <row r="183" spans="1:17" ht="14.4" customHeight="1" x14ac:dyDescent="0.3">
      <c r="A183" s="695" t="s">
        <v>5400</v>
      </c>
      <c r="B183" s="696" t="s">
        <v>5401</v>
      </c>
      <c r="C183" s="696" t="s">
        <v>3589</v>
      </c>
      <c r="D183" s="696" t="s">
        <v>5410</v>
      </c>
      <c r="E183" s="696" t="s">
        <v>5411</v>
      </c>
      <c r="F183" s="711">
        <v>2</v>
      </c>
      <c r="G183" s="711">
        <v>626</v>
      </c>
      <c r="H183" s="711">
        <v>1</v>
      </c>
      <c r="I183" s="711">
        <v>313</v>
      </c>
      <c r="J183" s="711">
        <v>2</v>
      </c>
      <c r="K183" s="711">
        <v>632</v>
      </c>
      <c r="L183" s="711">
        <v>1.0095846645367412</v>
      </c>
      <c r="M183" s="711">
        <v>316</v>
      </c>
      <c r="N183" s="711"/>
      <c r="O183" s="711"/>
      <c r="P183" s="701"/>
      <c r="Q183" s="712"/>
    </row>
    <row r="184" spans="1:17" ht="14.4" customHeight="1" x14ac:dyDescent="0.3">
      <c r="A184" s="695" t="s">
        <v>5400</v>
      </c>
      <c r="B184" s="696" t="s">
        <v>5401</v>
      </c>
      <c r="C184" s="696" t="s">
        <v>3589</v>
      </c>
      <c r="D184" s="696" t="s">
        <v>5412</v>
      </c>
      <c r="E184" s="696" t="s">
        <v>5413</v>
      </c>
      <c r="F184" s="711"/>
      <c r="G184" s="711"/>
      <c r="H184" s="711"/>
      <c r="I184" s="711"/>
      <c r="J184" s="711">
        <v>1</v>
      </c>
      <c r="K184" s="711">
        <v>435</v>
      </c>
      <c r="L184" s="711"/>
      <c r="M184" s="711">
        <v>435</v>
      </c>
      <c r="N184" s="711"/>
      <c r="O184" s="711"/>
      <c r="P184" s="701"/>
      <c r="Q184" s="712"/>
    </row>
    <row r="185" spans="1:17" ht="14.4" customHeight="1" x14ac:dyDescent="0.3">
      <c r="A185" s="695" t="s">
        <v>5400</v>
      </c>
      <c r="B185" s="696" t="s">
        <v>5401</v>
      </c>
      <c r="C185" s="696" t="s">
        <v>3589</v>
      </c>
      <c r="D185" s="696" t="s">
        <v>5414</v>
      </c>
      <c r="E185" s="696" t="s">
        <v>5415</v>
      </c>
      <c r="F185" s="711"/>
      <c r="G185" s="711"/>
      <c r="H185" s="711"/>
      <c r="I185" s="711"/>
      <c r="J185" s="711">
        <v>13</v>
      </c>
      <c r="K185" s="711">
        <v>4394</v>
      </c>
      <c r="L185" s="711"/>
      <c r="M185" s="711">
        <v>338</v>
      </c>
      <c r="N185" s="711"/>
      <c r="O185" s="711"/>
      <c r="P185" s="701"/>
      <c r="Q185" s="712"/>
    </row>
    <row r="186" spans="1:17" ht="14.4" customHeight="1" x14ac:dyDescent="0.3">
      <c r="A186" s="695" t="s">
        <v>5400</v>
      </c>
      <c r="B186" s="696" t="s">
        <v>5401</v>
      </c>
      <c r="C186" s="696" t="s">
        <v>3589</v>
      </c>
      <c r="D186" s="696" t="s">
        <v>5416</v>
      </c>
      <c r="E186" s="696" t="s">
        <v>5417</v>
      </c>
      <c r="F186" s="711"/>
      <c r="G186" s="711"/>
      <c r="H186" s="711"/>
      <c r="I186" s="711"/>
      <c r="J186" s="711"/>
      <c r="K186" s="711"/>
      <c r="L186" s="711"/>
      <c r="M186" s="711"/>
      <c r="N186" s="711">
        <v>1</v>
      </c>
      <c r="O186" s="711">
        <v>365</v>
      </c>
      <c r="P186" s="701"/>
      <c r="Q186" s="712">
        <v>365</v>
      </c>
    </row>
    <row r="187" spans="1:17" ht="14.4" customHeight="1" x14ac:dyDescent="0.3">
      <c r="A187" s="695" t="s">
        <v>5400</v>
      </c>
      <c r="B187" s="696" t="s">
        <v>5401</v>
      </c>
      <c r="C187" s="696" t="s">
        <v>3589</v>
      </c>
      <c r="D187" s="696" t="s">
        <v>5418</v>
      </c>
      <c r="E187" s="696" t="s">
        <v>5419</v>
      </c>
      <c r="F187" s="711"/>
      <c r="G187" s="711"/>
      <c r="H187" s="711"/>
      <c r="I187" s="711"/>
      <c r="J187" s="711"/>
      <c r="K187" s="711"/>
      <c r="L187" s="711"/>
      <c r="M187" s="711"/>
      <c r="N187" s="711">
        <v>1</v>
      </c>
      <c r="O187" s="711">
        <v>664</v>
      </c>
      <c r="P187" s="701"/>
      <c r="Q187" s="712">
        <v>664</v>
      </c>
    </row>
    <row r="188" spans="1:17" ht="14.4" customHeight="1" x14ac:dyDescent="0.3">
      <c r="A188" s="695" t="s">
        <v>5400</v>
      </c>
      <c r="B188" s="696" t="s">
        <v>5401</v>
      </c>
      <c r="C188" s="696" t="s">
        <v>3589</v>
      </c>
      <c r="D188" s="696" t="s">
        <v>5420</v>
      </c>
      <c r="E188" s="696" t="s">
        <v>5421</v>
      </c>
      <c r="F188" s="711">
        <v>4</v>
      </c>
      <c r="G188" s="711">
        <v>1120</v>
      </c>
      <c r="H188" s="711">
        <v>1</v>
      </c>
      <c r="I188" s="711">
        <v>280</v>
      </c>
      <c r="J188" s="711">
        <v>8</v>
      </c>
      <c r="K188" s="711">
        <v>2248</v>
      </c>
      <c r="L188" s="711">
        <v>2.0071428571428571</v>
      </c>
      <c r="M188" s="711">
        <v>281</v>
      </c>
      <c r="N188" s="711">
        <v>12</v>
      </c>
      <c r="O188" s="711">
        <v>3372</v>
      </c>
      <c r="P188" s="701">
        <v>3.0107142857142857</v>
      </c>
      <c r="Q188" s="712">
        <v>281</v>
      </c>
    </row>
    <row r="189" spans="1:17" ht="14.4" customHeight="1" x14ac:dyDescent="0.3">
      <c r="A189" s="695" t="s">
        <v>5400</v>
      </c>
      <c r="B189" s="696" t="s">
        <v>5401</v>
      </c>
      <c r="C189" s="696" t="s">
        <v>3589</v>
      </c>
      <c r="D189" s="696" t="s">
        <v>5422</v>
      </c>
      <c r="E189" s="696" t="s">
        <v>5423</v>
      </c>
      <c r="F189" s="711"/>
      <c r="G189" s="711"/>
      <c r="H189" s="711"/>
      <c r="I189" s="711"/>
      <c r="J189" s="711">
        <v>3</v>
      </c>
      <c r="K189" s="711">
        <v>1368</v>
      </c>
      <c r="L189" s="711"/>
      <c r="M189" s="711">
        <v>456</v>
      </c>
      <c r="N189" s="711"/>
      <c r="O189" s="711"/>
      <c r="P189" s="701"/>
      <c r="Q189" s="712"/>
    </row>
    <row r="190" spans="1:17" ht="14.4" customHeight="1" x14ac:dyDescent="0.3">
      <c r="A190" s="695" t="s">
        <v>5400</v>
      </c>
      <c r="B190" s="696" t="s">
        <v>5401</v>
      </c>
      <c r="C190" s="696" t="s">
        <v>3589</v>
      </c>
      <c r="D190" s="696" t="s">
        <v>5424</v>
      </c>
      <c r="E190" s="696" t="s">
        <v>5425</v>
      </c>
      <c r="F190" s="711">
        <v>4</v>
      </c>
      <c r="G190" s="711">
        <v>1380</v>
      </c>
      <c r="H190" s="711">
        <v>1</v>
      </c>
      <c r="I190" s="711">
        <v>345</v>
      </c>
      <c r="J190" s="711">
        <v>11</v>
      </c>
      <c r="K190" s="711">
        <v>3828</v>
      </c>
      <c r="L190" s="711">
        <v>2.7739130434782608</v>
      </c>
      <c r="M190" s="711">
        <v>348</v>
      </c>
      <c r="N190" s="711">
        <v>16</v>
      </c>
      <c r="O190" s="711">
        <v>5568</v>
      </c>
      <c r="P190" s="701">
        <v>4.034782608695652</v>
      </c>
      <c r="Q190" s="712">
        <v>348</v>
      </c>
    </row>
    <row r="191" spans="1:17" ht="14.4" customHeight="1" x14ac:dyDescent="0.3">
      <c r="A191" s="695" t="s">
        <v>5400</v>
      </c>
      <c r="B191" s="696" t="s">
        <v>5401</v>
      </c>
      <c r="C191" s="696" t="s">
        <v>3589</v>
      </c>
      <c r="D191" s="696" t="s">
        <v>5426</v>
      </c>
      <c r="E191" s="696" t="s">
        <v>5427</v>
      </c>
      <c r="F191" s="711"/>
      <c r="G191" s="711"/>
      <c r="H191" s="711"/>
      <c r="I191" s="711"/>
      <c r="J191" s="711"/>
      <c r="K191" s="711"/>
      <c r="L191" s="711"/>
      <c r="M191" s="711"/>
      <c r="N191" s="711">
        <v>3</v>
      </c>
      <c r="O191" s="711">
        <v>345</v>
      </c>
      <c r="P191" s="701"/>
      <c r="Q191" s="712">
        <v>115</v>
      </c>
    </row>
    <row r="192" spans="1:17" ht="14.4" customHeight="1" x14ac:dyDescent="0.3">
      <c r="A192" s="695" t="s">
        <v>5400</v>
      </c>
      <c r="B192" s="696" t="s">
        <v>5401</v>
      </c>
      <c r="C192" s="696" t="s">
        <v>3589</v>
      </c>
      <c r="D192" s="696" t="s">
        <v>5428</v>
      </c>
      <c r="E192" s="696" t="s">
        <v>5429</v>
      </c>
      <c r="F192" s="711">
        <v>1</v>
      </c>
      <c r="G192" s="711">
        <v>425</v>
      </c>
      <c r="H192" s="711">
        <v>1</v>
      </c>
      <c r="I192" s="711">
        <v>425</v>
      </c>
      <c r="J192" s="711">
        <v>2</v>
      </c>
      <c r="K192" s="711">
        <v>858</v>
      </c>
      <c r="L192" s="711">
        <v>2.0188235294117649</v>
      </c>
      <c r="M192" s="711">
        <v>429</v>
      </c>
      <c r="N192" s="711"/>
      <c r="O192" s="711"/>
      <c r="P192" s="701"/>
      <c r="Q192" s="712"/>
    </row>
    <row r="193" spans="1:17" ht="14.4" customHeight="1" x14ac:dyDescent="0.3">
      <c r="A193" s="695" t="s">
        <v>5400</v>
      </c>
      <c r="B193" s="696" t="s">
        <v>5401</v>
      </c>
      <c r="C193" s="696" t="s">
        <v>3589</v>
      </c>
      <c r="D193" s="696" t="s">
        <v>5430</v>
      </c>
      <c r="E193" s="696" t="s">
        <v>5431</v>
      </c>
      <c r="F193" s="711">
        <v>2</v>
      </c>
      <c r="G193" s="711">
        <v>106</v>
      </c>
      <c r="H193" s="711">
        <v>1</v>
      </c>
      <c r="I193" s="711">
        <v>53</v>
      </c>
      <c r="J193" s="711">
        <v>6</v>
      </c>
      <c r="K193" s="711">
        <v>318</v>
      </c>
      <c r="L193" s="711">
        <v>3</v>
      </c>
      <c r="M193" s="711">
        <v>53</v>
      </c>
      <c r="N193" s="711">
        <v>8</v>
      </c>
      <c r="O193" s="711">
        <v>424</v>
      </c>
      <c r="P193" s="701">
        <v>4</v>
      </c>
      <c r="Q193" s="712">
        <v>53</v>
      </c>
    </row>
    <row r="194" spans="1:17" ht="14.4" customHeight="1" x14ac:dyDescent="0.3">
      <c r="A194" s="695" t="s">
        <v>5400</v>
      </c>
      <c r="B194" s="696" t="s">
        <v>5401</v>
      </c>
      <c r="C194" s="696" t="s">
        <v>3589</v>
      </c>
      <c r="D194" s="696" t="s">
        <v>5432</v>
      </c>
      <c r="E194" s="696" t="s">
        <v>5433</v>
      </c>
      <c r="F194" s="711">
        <v>4</v>
      </c>
      <c r="G194" s="711">
        <v>656</v>
      </c>
      <c r="H194" s="711">
        <v>1</v>
      </c>
      <c r="I194" s="711">
        <v>164</v>
      </c>
      <c r="J194" s="711">
        <v>23</v>
      </c>
      <c r="K194" s="711">
        <v>3795</v>
      </c>
      <c r="L194" s="711">
        <v>5.7850609756097562</v>
      </c>
      <c r="M194" s="711">
        <v>165</v>
      </c>
      <c r="N194" s="711">
        <v>22</v>
      </c>
      <c r="O194" s="711">
        <v>3630</v>
      </c>
      <c r="P194" s="701">
        <v>5.5335365853658534</v>
      </c>
      <c r="Q194" s="712">
        <v>165</v>
      </c>
    </row>
    <row r="195" spans="1:17" ht="14.4" customHeight="1" x14ac:dyDescent="0.3">
      <c r="A195" s="695" t="s">
        <v>5400</v>
      </c>
      <c r="B195" s="696" t="s">
        <v>5401</v>
      </c>
      <c r="C195" s="696" t="s">
        <v>3589</v>
      </c>
      <c r="D195" s="696" t="s">
        <v>5434</v>
      </c>
      <c r="E195" s="696" t="s">
        <v>5435</v>
      </c>
      <c r="F195" s="711"/>
      <c r="G195" s="711"/>
      <c r="H195" s="711"/>
      <c r="I195" s="711"/>
      <c r="J195" s="711"/>
      <c r="K195" s="711"/>
      <c r="L195" s="711"/>
      <c r="M195" s="711"/>
      <c r="N195" s="711">
        <v>2</v>
      </c>
      <c r="O195" s="711">
        <v>158</v>
      </c>
      <c r="P195" s="701"/>
      <c r="Q195" s="712">
        <v>79</v>
      </c>
    </row>
    <row r="196" spans="1:17" ht="14.4" customHeight="1" x14ac:dyDescent="0.3">
      <c r="A196" s="695" t="s">
        <v>5400</v>
      </c>
      <c r="B196" s="696" t="s">
        <v>5401</v>
      </c>
      <c r="C196" s="696" t="s">
        <v>3589</v>
      </c>
      <c r="D196" s="696" t="s">
        <v>5436</v>
      </c>
      <c r="E196" s="696" t="s">
        <v>5437</v>
      </c>
      <c r="F196" s="711">
        <v>2</v>
      </c>
      <c r="G196" s="711">
        <v>318</v>
      </c>
      <c r="H196" s="711">
        <v>1</v>
      </c>
      <c r="I196" s="711">
        <v>159</v>
      </c>
      <c r="J196" s="711">
        <v>1</v>
      </c>
      <c r="K196" s="711">
        <v>160</v>
      </c>
      <c r="L196" s="711">
        <v>0.50314465408805031</v>
      </c>
      <c r="M196" s="711">
        <v>160</v>
      </c>
      <c r="N196" s="711">
        <v>2</v>
      </c>
      <c r="O196" s="711">
        <v>320</v>
      </c>
      <c r="P196" s="701">
        <v>1.0062893081761006</v>
      </c>
      <c r="Q196" s="712">
        <v>160</v>
      </c>
    </row>
    <row r="197" spans="1:17" ht="14.4" customHeight="1" x14ac:dyDescent="0.3">
      <c r="A197" s="695" t="s">
        <v>5400</v>
      </c>
      <c r="B197" s="696" t="s">
        <v>5401</v>
      </c>
      <c r="C197" s="696" t="s">
        <v>3589</v>
      </c>
      <c r="D197" s="696" t="s">
        <v>5438</v>
      </c>
      <c r="E197" s="696" t="s">
        <v>5439</v>
      </c>
      <c r="F197" s="711"/>
      <c r="G197" s="711"/>
      <c r="H197" s="711"/>
      <c r="I197" s="711"/>
      <c r="J197" s="711"/>
      <c r="K197" s="711"/>
      <c r="L197" s="711"/>
      <c r="M197" s="711"/>
      <c r="N197" s="711">
        <v>1</v>
      </c>
      <c r="O197" s="711">
        <v>243</v>
      </c>
      <c r="P197" s="701"/>
      <c r="Q197" s="712">
        <v>243</v>
      </c>
    </row>
    <row r="198" spans="1:17" ht="14.4" customHeight="1" x14ac:dyDescent="0.3">
      <c r="A198" s="695" t="s">
        <v>5400</v>
      </c>
      <c r="B198" s="696" t="s">
        <v>5440</v>
      </c>
      <c r="C198" s="696" t="s">
        <v>3589</v>
      </c>
      <c r="D198" s="696" t="s">
        <v>5441</v>
      </c>
      <c r="E198" s="696" t="s">
        <v>5442</v>
      </c>
      <c r="F198" s="711"/>
      <c r="G198" s="711"/>
      <c r="H198" s="711"/>
      <c r="I198" s="711"/>
      <c r="J198" s="711">
        <v>2</v>
      </c>
      <c r="K198" s="711">
        <v>2070</v>
      </c>
      <c r="L198" s="711"/>
      <c r="M198" s="711">
        <v>1035</v>
      </c>
      <c r="N198" s="711"/>
      <c r="O198" s="711"/>
      <c r="P198" s="701"/>
      <c r="Q198" s="712"/>
    </row>
    <row r="199" spans="1:17" ht="14.4" customHeight="1" x14ac:dyDescent="0.3">
      <c r="A199" s="695" t="s">
        <v>5400</v>
      </c>
      <c r="B199" s="696" t="s">
        <v>5440</v>
      </c>
      <c r="C199" s="696" t="s">
        <v>3589</v>
      </c>
      <c r="D199" s="696" t="s">
        <v>5443</v>
      </c>
      <c r="E199" s="696" t="s">
        <v>5444</v>
      </c>
      <c r="F199" s="711"/>
      <c r="G199" s="711"/>
      <c r="H199" s="711"/>
      <c r="I199" s="711"/>
      <c r="J199" s="711">
        <v>1</v>
      </c>
      <c r="K199" s="711">
        <v>217</v>
      </c>
      <c r="L199" s="711"/>
      <c r="M199" s="711">
        <v>217</v>
      </c>
      <c r="N199" s="711"/>
      <c r="O199" s="711"/>
      <c r="P199" s="701"/>
      <c r="Q199" s="712"/>
    </row>
    <row r="200" spans="1:17" ht="14.4" customHeight="1" x14ac:dyDescent="0.3">
      <c r="A200" s="695" t="s">
        <v>5445</v>
      </c>
      <c r="B200" s="696" t="s">
        <v>1087</v>
      </c>
      <c r="C200" s="696" t="s">
        <v>3589</v>
      </c>
      <c r="D200" s="696" t="s">
        <v>5446</v>
      </c>
      <c r="E200" s="696" t="s">
        <v>5447</v>
      </c>
      <c r="F200" s="711">
        <v>329</v>
      </c>
      <c r="G200" s="711">
        <v>51982</v>
      </c>
      <c r="H200" s="711">
        <v>1</v>
      </c>
      <c r="I200" s="711">
        <v>158</v>
      </c>
      <c r="J200" s="711">
        <v>309</v>
      </c>
      <c r="K200" s="711">
        <v>49131</v>
      </c>
      <c r="L200" s="711">
        <v>0.94515409180100807</v>
      </c>
      <c r="M200" s="711">
        <v>159</v>
      </c>
      <c r="N200" s="711">
        <v>295</v>
      </c>
      <c r="O200" s="711">
        <v>46905</v>
      </c>
      <c r="P200" s="701">
        <v>0.90233157631487826</v>
      </c>
      <c r="Q200" s="712">
        <v>159</v>
      </c>
    </row>
    <row r="201" spans="1:17" ht="14.4" customHeight="1" x14ac:dyDescent="0.3">
      <c r="A201" s="695" t="s">
        <v>5445</v>
      </c>
      <c r="B201" s="696" t="s">
        <v>1087</v>
      </c>
      <c r="C201" s="696" t="s">
        <v>3589</v>
      </c>
      <c r="D201" s="696" t="s">
        <v>5448</v>
      </c>
      <c r="E201" s="696" t="s">
        <v>5449</v>
      </c>
      <c r="F201" s="711">
        <v>23</v>
      </c>
      <c r="G201" s="711">
        <v>897</v>
      </c>
      <c r="H201" s="711">
        <v>1</v>
      </c>
      <c r="I201" s="711">
        <v>39</v>
      </c>
      <c r="J201" s="711">
        <v>20</v>
      </c>
      <c r="K201" s="711">
        <v>780</v>
      </c>
      <c r="L201" s="711">
        <v>0.86956521739130432</v>
      </c>
      <c r="M201" s="711">
        <v>39</v>
      </c>
      <c r="N201" s="711">
        <v>34</v>
      </c>
      <c r="O201" s="711">
        <v>1326</v>
      </c>
      <c r="P201" s="701">
        <v>1.4782608695652173</v>
      </c>
      <c r="Q201" s="712">
        <v>39</v>
      </c>
    </row>
    <row r="202" spans="1:17" ht="14.4" customHeight="1" x14ac:dyDescent="0.3">
      <c r="A202" s="695" t="s">
        <v>5445</v>
      </c>
      <c r="B202" s="696" t="s">
        <v>1087</v>
      </c>
      <c r="C202" s="696" t="s">
        <v>3589</v>
      </c>
      <c r="D202" s="696" t="s">
        <v>5450</v>
      </c>
      <c r="E202" s="696" t="s">
        <v>5451</v>
      </c>
      <c r="F202" s="711">
        <v>1</v>
      </c>
      <c r="G202" s="711">
        <v>404</v>
      </c>
      <c r="H202" s="711">
        <v>1</v>
      </c>
      <c r="I202" s="711">
        <v>404</v>
      </c>
      <c r="J202" s="711"/>
      <c r="K202" s="711"/>
      <c r="L202" s="711"/>
      <c r="M202" s="711"/>
      <c r="N202" s="711"/>
      <c r="O202" s="711"/>
      <c r="P202" s="701"/>
      <c r="Q202" s="712"/>
    </row>
    <row r="203" spans="1:17" ht="14.4" customHeight="1" x14ac:dyDescent="0.3">
      <c r="A203" s="695" t="s">
        <v>5445</v>
      </c>
      <c r="B203" s="696" t="s">
        <v>1087</v>
      </c>
      <c r="C203" s="696" t="s">
        <v>3589</v>
      </c>
      <c r="D203" s="696" t="s">
        <v>5452</v>
      </c>
      <c r="E203" s="696" t="s">
        <v>5453</v>
      </c>
      <c r="F203" s="711">
        <v>2</v>
      </c>
      <c r="G203" s="711">
        <v>764</v>
      </c>
      <c r="H203" s="711">
        <v>1</v>
      </c>
      <c r="I203" s="711">
        <v>382</v>
      </c>
      <c r="J203" s="711">
        <v>1</v>
      </c>
      <c r="K203" s="711">
        <v>382</v>
      </c>
      <c r="L203" s="711">
        <v>0.5</v>
      </c>
      <c r="M203" s="711">
        <v>382</v>
      </c>
      <c r="N203" s="711">
        <v>3</v>
      </c>
      <c r="O203" s="711">
        <v>1146</v>
      </c>
      <c r="P203" s="701">
        <v>1.5</v>
      </c>
      <c r="Q203" s="712">
        <v>382</v>
      </c>
    </row>
    <row r="204" spans="1:17" ht="14.4" customHeight="1" x14ac:dyDescent="0.3">
      <c r="A204" s="695" t="s">
        <v>5445</v>
      </c>
      <c r="B204" s="696" t="s">
        <v>1087</v>
      </c>
      <c r="C204" s="696" t="s">
        <v>3589</v>
      </c>
      <c r="D204" s="696" t="s">
        <v>5454</v>
      </c>
      <c r="E204" s="696" t="s">
        <v>5455</v>
      </c>
      <c r="F204" s="711">
        <v>1</v>
      </c>
      <c r="G204" s="711">
        <v>40</v>
      </c>
      <c r="H204" s="711">
        <v>1</v>
      </c>
      <c r="I204" s="711">
        <v>40</v>
      </c>
      <c r="J204" s="711"/>
      <c r="K204" s="711"/>
      <c r="L204" s="711"/>
      <c r="M204" s="711"/>
      <c r="N204" s="711">
        <v>1</v>
      </c>
      <c r="O204" s="711">
        <v>41</v>
      </c>
      <c r="P204" s="701">
        <v>1.0249999999999999</v>
      </c>
      <c r="Q204" s="712">
        <v>41</v>
      </c>
    </row>
    <row r="205" spans="1:17" ht="14.4" customHeight="1" x14ac:dyDescent="0.3">
      <c r="A205" s="695" t="s">
        <v>5445</v>
      </c>
      <c r="B205" s="696" t="s">
        <v>1087</v>
      </c>
      <c r="C205" s="696" t="s">
        <v>3589</v>
      </c>
      <c r="D205" s="696" t="s">
        <v>5456</v>
      </c>
      <c r="E205" s="696" t="s">
        <v>5457</v>
      </c>
      <c r="F205" s="711">
        <v>1</v>
      </c>
      <c r="G205" s="711">
        <v>490</v>
      </c>
      <c r="H205" s="711">
        <v>1</v>
      </c>
      <c r="I205" s="711">
        <v>490</v>
      </c>
      <c r="J205" s="711"/>
      <c r="K205" s="711"/>
      <c r="L205" s="711"/>
      <c r="M205" s="711"/>
      <c r="N205" s="711">
        <v>2</v>
      </c>
      <c r="O205" s="711">
        <v>980</v>
      </c>
      <c r="P205" s="701">
        <v>2</v>
      </c>
      <c r="Q205" s="712">
        <v>490</v>
      </c>
    </row>
    <row r="206" spans="1:17" ht="14.4" customHeight="1" x14ac:dyDescent="0.3">
      <c r="A206" s="695" t="s">
        <v>5445</v>
      </c>
      <c r="B206" s="696" t="s">
        <v>1087</v>
      </c>
      <c r="C206" s="696" t="s">
        <v>3589</v>
      </c>
      <c r="D206" s="696" t="s">
        <v>5458</v>
      </c>
      <c r="E206" s="696" t="s">
        <v>5459</v>
      </c>
      <c r="F206" s="711">
        <v>8</v>
      </c>
      <c r="G206" s="711">
        <v>248</v>
      </c>
      <c r="H206" s="711">
        <v>1</v>
      </c>
      <c r="I206" s="711">
        <v>31</v>
      </c>
      <c r="J206" s="711">
        <v>3</v>
      </c>
      <c r="K206" s="711">
        <v>93</v>
      </c>
      <c r="L206" s="711">
        <v>0.375</v>
      </c>
      <c r="M206" s="711">
        <v>31</v>
      </c>
      <c r="N206" s="711">
        <v>4</v>
      </c>
      <c r="O206" s="711">
        <v>124</v>
      </c>
      <c r="P206" s="701">
        <v>0.5</v>
      </c>
      <c r="Q206" s="712">
        <v>31</v>
      </c>
    </row>
    <row r="207" spans="1:17" ht="14.4" customHeight="1" x14ac:dyDescent="0.3">
      <c r="A207" s="695" t="s">
        <v>5445</v>
      </c>
      <c r="B207" s="696" t="s">
        <v>1087</v>
      </c>
      <c r="C207" s="696" t="s">
        <v>3589</v>
      </c>
      <c r="D207" s="696" t="s">
        <v>5460</v>
      </c>
      <c r="E207" s="696" t="s">
        <v>5461</v>
      </c>
      <c r="F207" s="711">
        <v>87</v>
      </c>
      <c r="G207" s="711">
        <v>9744</v>
      </c>
      <c r="H207" s="711">
        <v>1</v>
      </c>
      <c r="I207" s="711">
        <v>112</v>
      </c>
      <c r="J207" s="711">
        <v>88</v>
      </c>
      <c r="K207" s="711">
        <v>9944</v>
      </c>
      <c r="L207" s="711">
        <v>1.0205254515599342</v>
      </c>
      <c r="M207" s="711">
        <v>113</v>
      </c>
      <c r="N207" s="711">
        <v>114</v>
      </c>
      <c r="O207" s="711">
        <v>12882</v>
      </c>
      <c r="P207" s="701">
        <v>1.3220443349753694</v>
      </c>
      <c r="Q207" s="712">
        <v>113</v>
      </c>
    </row>
    <row r="208" spans="1:17" ht="14.4" customHeight="1" x14ac:dyDescent="0.3">
      <c r="A208" s="695" t="s">
        <v>5445</v>
      </c>
      <c r="B208" s="696" t="s">
        <v>1087</v>
      </c>
      <c r="C208" s="696" t="s">
        <v>3589</v>
      </c>
      <c r="D208" s="696" t="s">
        <v>5462</v>
      </c>
      <c r="E208" s="696" t="s">
        <v>5463</v>
      </c>
      <c r="F208" s="711">
        <v>24</v>
      </c>
      <c r="G208" s="711">
        <v>1992</v>
      </c>
      <c r="H208" s="711">
        <v>1</v>
      </c>
      <c r="I208" s="711">
        <v>83</v>
      </c>
      <c r="J208" s="711">
        <v>23</v>
      </c>
      <c r="K208" s="711">
        <v>1932</v>
      </c>
      <c r="L208" s="711">
        <v>0.96987951807228912</v>
      </c>
      <c r="M208" s="711">
        <v>84</v>
      </c>
      <c r="N208" s="711">
        <v>57</v>
      </c>
      <c r="O208" s="711">
        <v>4788</v>
      </c>
      <c r="P208" s="701">
        <v>2.4036144578313254</v>
      </c>
      <c r="Q208" s="712">
        <v>84</v>
      </c>
    </row>
    <row r="209" spans="1:17" ht="14.4" customHeight="1" x14ac:dyDescent="0.3">
      <c r="A209" s="695" t="s">
        <v>5445</v>
      </c>
      <c r="B209" s="696" t="s">
        <v>1087</v>
      </c>
      <c r="C209" s="696" t="s">
        <v>3589</v>
      </c>
      <c r="D209" s="696" t="s">
        <v>5464</v>
      </c>
      <c r="E209" s="696" t="s">
        <v>5465</v>
      </c>
      <c r="F209" s="711">
        <v>15</v>
      </c>
      <c r="G209" s="711">
        <v>315</v>
      </c>
      <c r="H209" s="711">
        <v>1</v>
      </c>
      <c r="I209" s="711">
        <v>21</v>
      </c>
      <c r="J209" s="711">
        <v>12</v>
      </c>
      <c r="K209" s="711">
        <v>252</v>
      </c>
      <c r="L209" s="711">
        <v>0.8</v>
      </c>
      <c r="M209" s="711">
        <v>21</v>
      </c>
      <c r="N209" s="711">
        <v>10</v>
      </c>
      <c r="O209" s="711">
        <v>210</v>
      </c>
      <c r="P209" s="701">
        <v>0.66666666666666663</v>
      </c>
      <c r="Q209" s="712">
        <v>21</v>
      </c>
    </row>
    <row r="210" spans="1:17" ht="14.4" customHeight="1" x14ac:dyDescent="0.3">
      <c r="A210" s="695" t="s">
        <v>5445</v>
      </c>
      <c r="B210" s="696" t="s">
        <v>1087</v>
      </c>
      <c r="C210" s="696" t="s">
        <v>3589</v>
      </c>
      <c r="D210" s="696" t="s">
        <v>5466</v>
      </c>
      <c r="E210" s="696" t="s">
        <v>5467</v>
      </c>
      <c r="F210" s="711">
        <v>15</v>
      </c>
      <c r="G210" s="711">
        <v>7290</v>
      </c>
      <c r="H210" s="711">
        <v>1</v>
      </c>
      <c r="I210" s="711">
        <v>486</v>
      </c>
      <c r="J210" s="711"/>
      <c r="K210" s="711"/>
      <c r="L210" s="711"/>
      <c r="M210" s="711"/>
      <c r="N210" s="711">
        <v>5</v>
      </c>
      <c r="O210" s="711">
        <v>2430</v>
      </c>
      <c r="P210" s="701">
        <v>0.33333333333333331</v>
      </c>
      <c r="Q210" s="712">
        <v>486</v>
      </c>
    </row>
    <row r="211" spans="1:17" ht="14.4" customHeight="1" x14ac:dyDescent="0.3">
      <c r="A211" s="695" t="s">
        <v>5445</v>
      </c>
      <c r="B211" s="696" t="s">
        <v>1087</v>
      </c>
      <c r="C211" s="696" t="s">
        <v>3589</v>
      </c>
      <c r="D211" s="696" t="s">
        <v>5468</v>
      </c>
      <c r="E211" s="696" t="s">
        <v>5469</v>
      </c>
      <c r="F211" s="711">
        <v>12</v>
      </c>
      <c r="G211" s="711">
        <v>480</v>
      </c>
      <c r="H211" s="711">
        <v>1</v>
      </c>
      <c r="I211" s="711">
        <v>40</v>
      </c>
      <c r="J211" s="711">
        <v>10</v>
      </c>
      <c r="K211" s="711">
        <v>400</v>
      </c>
      <c r="L211" s="711">
        <v>0.83333333333333337</v>
      </c>
      <c r="M211" s="711">
        <v>40</v>
      </c>
      <c r="N211" s="711">
        <v>23</v>
      </c>
      <c r="O211" s="711">
        <v>920</v>
      </c>
      <c r="P211" s="701">
        <v>1.9166666666666667</v>
      </c>
      <c r="Q211" s="712">
        <v>40</v>
      </c>
    </row>
    <row r="212" spans="1:17" ht="14.4" customHeight="1" x14ac:dyDescent="0.3">
      <c r="A212" s="695" t="s">
        <v>5445</v>
      </c>
      <c r="B212" s="696" t="s">
        <v>1087</v>
      </c>
      <c r="C212" s="696" t="s">
        <v>3589</v>
      </c>
      <c r="D212" s="696" t="s">
        <v>5470</v>
      </c>
      <c r="E212" s="696" t="s">
        <v>5471</v>
      </c>
      <c r="F212" s="711"/>
      <c r="G212" s="711"/>
      <c r="H212" s="711"/>
      <c r="I212" s="711"/>
      <c r="J212" s="711"/>
      <c r="K212" s="711"/>
      <c r="L212" s="711"/>
      <c r="M212" s="711"/>
      <c r="N212" s="711">
        <v>1</v>
      </c>
      <c r="O212" s="711">
        <v>604</v>
      </c>
      <c r="P212" s="701"/>
      <c r="Q212" s="712">
        <v>604</v>
      </c>
    </row>
    <row r="213" spans="1:17" ht="14.4" customHeight="1" thickBot="1" x14ac:dyDescent="0.35">
      <c r="A213" s="703" t="s">
        <v>5445</v>
      </c>
      <c r="B213" s="704" t="s">
        <v>1087</v>
      </c>
      <c r="C213" s="704" t="s">
        <v>3589</v>
      </c>
      <c r="D213" s="704" t="s">
        <v>5472</v>
      </c>
      <c r="E213" s="704" t="s">
        <v>5473</v>
      </c>
      <c r="F213" s="713">
        <v>1</v>
      </c>
      <c r="G213" s="713">
        <v>961</v>
      </c>
      <c r="H213" s="713">
        <v>1</v>
      </c>
      <c r="I213" s="713">
        <v>961</v>
      </c>
      <c r="J213" s="713"/>
      <c r="K213" s="713"/>
      <c r="L213" s="713"/>
      <c r="M213" s="713"/>
      <c r="N213" s="713"/>
      <c r="O213" s="713"/>
      <c r="P213" s="709"/>
      <c r="Q213" s="71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9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2" customWidth="1"/>
    <col min="6" max="6" width="6.109375" style="203" customWidth="1"/>
    <col min="7" max="9" width="8.33203125" style="204" customWidth="1"/>
    <col min="10" max="10" width="6.109375" style="203" customWidth="1"/>
    <col min="11" max="13" width="8.33203125" style="204" customWidth="1"/>
    <col min="14" max="14" width="8.33203125" style="202" customWidth="1"/>
    <col min="15" max="16384" width="8.88671875" style="192"/>
  </cols>
  <sheetData>
    <row r="1" spans="1:14" ht="18.600000000000001" customHeight="1" thickBot="1" x14ac:dyDescent="0.4">
      <c r="A1" s="577" t="s">
        <v>182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</row>
    <row r="2" spans="1:14" ht="14.4" customHeight="1" thickBot="1" x14ac:dyDescent="0.35">
      <c r="A2" s="386" t="s">
        <v>321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1818</v>
      </c>
      <c r="D3" s="197">
        <f>SUBTOTAL(9,D6:D1048576)</f>
        <v>1757</v>
      </c>
      <c r="E3" s="197">
        <f>SUBTOTAL(9,E6:E1048576)</f>
        <v>1856</v>
      </c>
      <c r="F3" s="198">
        <f>IF(OR(E3=0,C3=0),"",E3/C3)</f>
        <v>1.0209020902090209</v>
      </c>
      <c r="G3" s="199">
        <f>SUBTOTAL(9,G6:G1048576)</f>
        <v>4280212</v>
      </c>
      <c r="H3" s="200">
        <f>SUBTOTAL(9,H6:H1048576)</f>
        <v>4345054</v>
      </c>
      <c r="I3" s="200">
        <f>SUBTOTAL(9,I6:I1048576)</f>
        <v>4610402</v>
      </c>
      <c r="J3" s="198">
        <f>IF(OR(I3=0,G3=0),"",I3/G3)</f>
        <v>1.0771433751412314</v>
      </c>
      <c r="K3" s="199">
        <f>SUBTOTAL(9,K6:K1048576)</f>
        <v>689400</v>
      </c>
      <c r="L3" s="200">
        <f>SUBTOTAL(9,L6:L1048576)</f>
        <v>684560</v>
      </c>
      <c r="M3" s="200">
        <f>SUBTOTAL(9,M6:M1048576)</f>
        <v>744420</v>
      </c>
      <c r="N3" s="201">
        <f>IF(OR(M3=0,E3=0),"",M3/E3)</f>
        <v>401.08836206896552</v>
      </c>
    </row>
    <row r="4" spans="1:14" ht="14.4" customHeight="1" x14ac:dyDescent="0.3">
      <c r="A4" s="579" t="s">
        <v>90</v>
      </c>
      <c r="B4" s="580" t="s">
        <v>11</v>
      </c>
      <c r="C4" s="581" t="s">
        <v>91</v>
      </c>
      <c r="D4" s="581"/>
      <c r="E4" s="581"/>
      <c r="F4" s="582"/>
      <c r="G4" s="583" t="s">
        <v>14</v>
      </c>
      <c r="H4" s="581"/>
      <c r="I4" s="581"/>
      <c r="J4" s="582"/>
      <c r="K4" s="583" t="s">
        <v>92</v>
      </c>
      <c r="L4" s="581"/>
      <c r="M4" s="581"/>
      <c r="N4" s="584"/>
    </row>
    <row r="5" spans="1:14" ht="14.4" customHeight="1" thickBot="1" x14ac:dyDescent="0.35">
      <c r="A5" s="865"/>
      <c r="B5" s="866"/>
      <c r="C5" s="873">
        <v>2012</v>
      </c>
      <c r="D5" s="873">
        <v>2013</v>
      </c>
      <c r="E5" s="873">
        <v>2014</v>
      </c>
      <c r="F5" s="874" t="s">
        <v>2</v>
      </c>
      <c r="G5" s="884">
        <v>2012</v>
      </c>
      <c r="H5" s="873">
        <v>2013</v>
      </c>
      <c r="I5" s="873">
        <v>2014</v>
      </c>
      <c r="J5" s="874" t="s">
        <v>2</v>
      </c>
      <c r="K5" s="884">
        <v>2012</v>
      </c>
      <c r="L5" s="873">
        <v>2013</v>
      </c>
      <c r="M5" s="873">
        <v>2014</v>
      </c>
      <c r="N5" s="891" t="s">
        <v>93</v>
      </c>
    </row>
    <row r="6" spans="1:14" ht="14.4" customHeight="1" x14ac:dyDescent="0.3">
      <c r="A6" s="867" t="s">
        <v>4536</v>
      </c>
      <c r="B6" s="870" t="s">
        <v>5475</v>
      </c>
      <c r="C6" s="875">
        <v>1495</v>
      </c>
      <c r="D6" s="876">
        <v>1413</v>
      </c>
      <c r="E6" s="876">
        <v>1491</v>
      </c>
      <c r="F6" s="881">
        <v>0.99732441471571909</v>
      </c>
      <c r="G6" s="885">
        <v>1451018</v>
      </c>
      <c r="H6" s="886">
        <v>1426634</v>
      </c>
      <c r="I6" s="886">
        <v>1461244</v>
      </c>
      <c r="J6" s="881">
        <v>1.0070474659859492</v>
      </c>
      <c r="K6" s="885">
        <v>179400</v>
      </c>
      <c r="L6" s="886">
        <v>169560</v>
      </c>
      <c r="M6" s="886">
        <v>178920</v>
      </c>
      <c r="N6" s="892">
        <v>120</v>
      </c>
    </row>
    <row r="7" spans="1:14" ht="14.4" customHeight="1" x14ac:dyDescent="0.3">
      <c r="A7" s="868" t="s">
        <v>4794</v>
      </c>
      <c r="B7" s="871" t="s">
        <v>5476</v>
      </c>
      <c r="C7" s="877">
        <v>192</v>
      </c>
      <c r="D7" s="878">
        <v>190</v>
      </c>
      <c r="E7" s="878">
        <v>206</v>
      </c>
      <c r="F7" s="882">
        <v>1.0729166666666667</v>
      </c>
      <c r="G7" s="887">
        <v>2054073</v>
      </c>
      <c r="H7" s="888">
        <v>2034257</v>
      </c>
      <c r="I7" s="888">
        <v>2205703</v>
      </c>
      <c r="J7" s="882">
        <v>1.0738191875361782</v>
      </c>
      <c r="K7" s="887">
        <v>384000</v>
      </c>
      <c r="L7" s="888">
        <v>380000</v>
      </c>
      <c r="M7" s="888">
        <v>412000</v>
      </c>
      <c r="N7" s="893">
        <v>2000</v>
      </c>
    </row>
    <row r="8" spans="1:14" ht="14.4" customHeight="1" x14ac:dyDescent="0.3">
      <c r="A8" s="868" t="s">
        <v>4798</v>
      </c>
      <c r="B8" s="871" t="s">
        <v>5476</v>
      </c>
      <c r="C8" s="877">
        <v>121</v>
      </c>
      <c r="D8" s="878">
        <v>116</v>
      </c>
      <c r="E8" s="878">
        <v>148</v>
      </c>
      <c r="F8" s="882">
        <v>1.2231404958677685</v>
      </c>
      <c r="G8" s="887">
        <v>725927</v>
      </c>
      <c r="H8" s="888">
        <v>696893</v>
      </c>
      <c r="I8" s="888">
        <v>889243</v>
      </c>
      <c r="J8" s="882">
        <v>1.2249757895766378</v>
      </c>
      <c r="K8" s="887">
        <v>121000</v>
      </c>
      <c r="L8" s="888">
        <v>116000</v>
      </c>
      <c r="M8" s="888">
        <v>148000</v>
      </c>
      <c r="N8" s="893">
        <v>1000</v>
      </c>
    </row>
    <row r="9" spans="1:14" ht="14.4" customHeight="1" thickBot="1" x14ac:dyDescent="0.35">
      <c r="A9" s="869" t="s">
        <v>4796</v>
      </c>
      <c r="B9" s="872" t="s">
        <v>5476</v>
      </c>
      <c r="C9" s="879">
        <v>10</v>
      </c>
      <c r="D9" s="880">
        <v>38</v>
      </c>
      <c r="E9" s="880">
        <v>11</v>
      </c>
      <c r="F9" s="883">
        <v>1.1000000000000001</v>
      </c>
      <c r="G9" s="889">
        <v>49194</v>
      </c>
      <c r="H9" s="890">
        <v>187270</v>
      </c>
      <c r="I9" s="890">
        <v>54212</v>
      </c>
      <c r="J9" s="883">
        <v>1.1020043094686345</v>
      </c>
      <c r="K9" s="889">
        <v>5000</v>
      </c>
      <c r="L9" s="890">
        <v>19000</v>
      </c>
      <c r="M9" s="890">
        <v>5500</v>
      </c>
      <c r="N9" s="894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7" bestFit="1" customWidth="1"/>
    <col min="2" max="3" width="9.5546875" style="257" customWidth="1"/>
    <col min="4" max="4" width="2.21875" style="257" customWidth="1"/>
    <col min="5" max="8" width="9.5546875" style="257" customWidth="1"/>
    <col min="9" max="16384" width="8.88671875" style="257"/>
  </cols>
  <sheetData>
    <row r="1" spans="1:8" ht="18.600000000000001" customHeight="1" thickBot="1" x14ac:dyDescent="0.4">
      <c r="A1" s="458" t="s">
        <v>176</v>
      </c>
      <c r="B1" s="458"/>
      <c r="C1" s="458"/>
      <c r="D1" s="458"/>
      <c r="E1" s="458"/>
      <c r="F1" s="458"/>
      <c r="G1" s="459"/>
      <c r="H1" s="459"/>
    </row>
    <row r="2" spans="1:8" ht="14.4" customHeight="1" thickBot="1" x14ac:dyDescent="0.35">
      <c r="A2" s="386" t="s">
        <v>321</v>
      </c>
      <c r="B2" s="227"/>
      <c r="C2" s="227"/>
      <c r="D2" s="227"/>
      <c r="E2" s="227"/>
      <c r="F2" s="227"/>
    </row>
    <row r="3" spans="1:8" ht="14.4" customHeight="1" x14ac:dyDescent="0.3">
      <c r="A3" s="460"/>
      <c r="B3" s="223">
        <v>2012</v>
      </c>
      <c r="C3" s="44">
        <v>2013</v>
      </c>
      <c r="D3" s="11"/>
      <c r="E3" s="464">
        <v>2014</v>
      </c>
      <c r="F3" s="465"/>
      <c r="G3" s="465"/>
      <c r="H3" s="466"/>
    </row>
    <row r="4" spans="1:8" ht="14.4" customHeight="1" thickBot="1" x14ac:dyDescent="0.35">
      <c r="A4" s="461"/>
      <c r="B4" s="462" t="s">
        <v>94</v>
      </c>
      <c r="C4" s="463"/>
      <c r="D4" s="11"/>
      <c r="E4" s="244" t="s">
        <v>94</v>
      </c>
      <c r="F4" s="225" t="s">
        <v>95</v>
      </c>
      <c r="G4" s="225" t="s">
        <v>69</v>
      </c>
      <c r="H4" s="226" t="s">
        <v>96</v>
      </c>
    </row>
    <row r="5" spans="1:8" ht="14.4" customHeight="1" x14ac:dyDescent="0.3">
      <c r="A5" s="228" t="str">
        <f>HYPERLINK("#'Léky Žádanky'!A1","Léky (Kč)")</f>
        <v>Léky (Kč)</v>
      </c>
      <c r="B5" s="31">
        <v>925.75657999999999</v>
      </c>
      <c r="C5" s="33">
        <v>524.40706</v>
      </c>
      <c r="D5" s="12"/>
      <c r="E5" s="233">
        <v>527.47383000000002</v>
      </c>
      <c r="F5" s="32">
        <v>513.75</v>
      </c>
      <c r="G5" s="232">
        <f>E5-F5</f>
        <v>13.723830000000021</v>
      </c>
      <c r="H5" s="238">
        <f>IF(F5&lt;0.00000001,"",E5/F5)</f>
        <v>1.0267130510948905</v>
      </c>
    </row>
    <row r="6" spans="1:8" ht="14.4" customHeight="1" x14ac:dyDescent="0.3">
      <c r="A6" s="228" t="str">
        <f>HYPERLINK("#'Materiál Žádanky'!A1","Materiál - SZM (Kč)")</f>
        <v>Materiál - SZM (Kč)</v>
      </c>
      <c r="B6" s="14">
        <v>4378.4408700000004</v>
      </c>
      <c r="C6" s="35">
        <v>2971.1634300000001</v>
      </c>
      <c r="D6" s="12"/>
      <c r="E6" s="234">
        <v>2918.1325800000041</v>
      </c>
      <c r="F6" s="34">
        <v>3256.25</v>
      </c>
      <c r="G6" s="235">
        <f>E6-F6</f>
        <v>-338.11741999999595</v>
      </c>
      <c r="H6" s="239">
        <f>IF(F6&lt;0.00000001,"",E6/F6)</f>
        <v>0.89616355623800503</v>
      </c>
    </row>
    <row r="7" spans="1:8" ht="14.4" customHeight="1" x14ac:dyDescent="0.3">
      <c r="A7" s="228" t="str">
        <f>HYPERLINK("#'Osobní náklady'!A1","Osobní náklady (Kč) *")</f>
        <v>Osobní náklady (Kč) *</v>
      </c>
      <c r="B7" s="14">
        <v>9245.2914999999994</v>
      </c>
      <c r="C7" s="35">
        <v>8846.8355200000005</v>
      </c>
      <c r="D7" s="12"/>
      <c r="E7" s="234">
        <v>9584.2099300000173</v>
      </c>
      <c r="F7" s="34">
        <v>9907.25</v>
      </c>
      <c r="G7" s="235">
        <f>E7-F7</f>
        <v>-323.04006999998273</v>
      </c>
      <c r="H7" s="239">
        <f>IF(F7&lt;0.00000001,"",E7/F7)</f>
        <v>0.96739356834641477</v>
      </c>
    </row>
    <row r="8" spans="1:8" ht="14.4" customHeight="1" thickBot="1" x14ac:dyDescent="0.35">
      <c r="A8" s="1" t="s">
        <v>97</v>
      </c>
      <c r="B8" s="15">
        <v>1963.1388800000013</v>
      </c>
      <c r="C8" s="37">
        <v>1657.0609399999998</v>
      </c>
      <c r="D8" s="12"/>
      <c r="E8" s="236">
        <v>1435.1727900000042</v>
      </c>
      <c r="F8" s="36">
        <v>1529.25</v>
      </c>
      <c r="G8" s="237">
        <f>E8-F8</f>
        <v>-94.07720999999583</v>
      </c>
      <c r="H8" s="240">
        <f>IF(F8&lt;0.00000001,"",E8/F8)</f>
        <v>0.93848147130946813</v>
      </c>
    </row>
    <row r="9" spans="1:8" ht="14.4" customHeight="1" thickBot="1" x14ac:dyDescent="0.35">
      <c r="A9" s="2" t="s">
        <v>98</v>
      </c>
      <c r="B9" s="3">
        <v>16512.627830000001</v>
      </c>
      <c r="C9" s="39">
        <v>13999.46695</v>
      </c>
      <c r="D9" s="12"/>
      <c r="E9" s="3">
        <v>14464.989130000025</v>
      </c>
      <c r="F9" s="38">
        <v>15206.5</v>
      </c>
      <c r="G9" s="38">
        <f>E9-F9</f>
        <v>-741.5108699999746</v>
      </c>
      <c r="H9" s="241">
        <f>IF(F9&lt;0.00000001,"",E9/F9)</f>
        <v>0.9512372426265101</v>
      </c>
    </row>
    <row r="10" spans="1:8" ht="14.4" customHeight="1" thickBot="1" x14ac:dyDescent="0.35">
      <c r="A10" s="16"/>
      <c r="B10" s="16"/>
      <c r="C10" s="224"/>
      <c r="D10" s="12"/>
      <c r="E10" s="16"/>
      <c r="F10" s="17"/>
    </row>
    <row r="11" spans="1:8" ht="14.4" customHeight="1" x14ac:dyDescent="0.3">
      <c r="A11" s="260" t="str">
        <f>HYPERLINK("#'ZV Vykáz.-A'!A1","Ambulance *")</f>
        <v>Ambulance *</v>
      </c>
      <c r="B11" s="13">
        <f>IF(ISERROR(VLOOKUP("Celkem:",'ZV Vykáz.-A'!A:F,2,0)),0,VLOOKUP("Celkem:",'ZV Vykáz.-A'!A:F,2,0)/1000)</f>
        <v>732.75699999999995</v>
      </c>
      <c r="C11" s="33">
        <f>IF(ISERROR(VLOOKUP("Celkem:",'ZV Vykáz.-A'!A:F,4,0)),0,VLOOKUP("Celkem:",'ZV Vykáz.-A'!A:F,4,0)/1000)</f>
        <v>651.69100000000003</v>
      </c>
      <c r="D11" s="12"/>
      <c r="E11" s="233">
        <f>IF(ISERROR(VLOOKUP("Celkem:",'ZV Vykáz.-A'!A:F,6,0)),0,VLOOKUP("Celkem:",'ZV Vykáz.-A'!A:F,6,0)/1000)</f>
        <v>673.56899999999996</v>
      </c>
      <c r="F11" s="32">
        <f>B11</f>
        <v>732.75699999999995</v>
      </c>
      <c r="G11" s="232">
        <f>E11-F11</f>
        <v>-59.187999999999988</v>
      </c>
      <c r="H11" s="238">
        <f>IF(F11&lt;0.00000001,"",E11/F11)</f>
        <v>0.91922560958134825</v>
      </c>
    </row>
    <row r="12" spans="1:8" ht="14.4" customHeight="1" thickBot="1" x14ac:dyDescent="0.35">
      <c r="A12" s="261" t="str">
        <f>HYPERLINK("#CaseMix!A1","Hospitalizace *")</f>
        <v>Hospitalizace *</v>
      </c>
      <c r="B12" s="15">
        <f>IF(ISERROR(VLOOKUP("Celkem",CaseMix!A:D,2,0)),0,VLOOKUP("Celkem",CaseMix!A:D,2,0)*30)</f>
        <v>14007.239999999998</v>
      </c>
      <c r="C12" s="37">
        <f>IF(ISERROR(VLOOKUP("Celkem",CaseMix!A:D,3,0)),0,VLOOKUP("Celkem",CaseMix!A:D,3,0)*30)</f>
        <v>14244.300000000001</v>
      </c>
      <c r="D12" s="12"/>
      <c r="E12" s="236">
        <f>IF(ISERROR(VLOOKUP("Celkem",CaseMix!A:D,4,0)),0,VLOOKUP("Celkem",CaseMix!A:D,4,0)*30)</f>
        <v>11660.88</v>
      </c>
      <c r="F12" s="36">
        <f>B12</f>
        <v>14007.239999999998</v>
      </c>
      <c r="G12" s="237">
        <f>E12-F12</f>
        <v>-2346.3599999999988</v>
      </c>
      <c r="H12" s="240">
        <f>IF(F12&lt;0.00000001,"",E12/F12)</f>
        <v>0.83248948400969791</v>
      </c>
    </row>
    <row r="13" spans="1:8" ht="14.4" customHeight="1" thickBot="1" x14ac:dyDescent="0.35">
      <c r="A13" s="4" t="s">
        <v>101</v>
      </c>
      <c r="B13" s="9">
        <f>SUM(B11:B12)</f>
        <v>14739.996999999998</v>
      </c>
      <c r="C13" s="41">
        <f>SUM(C11:C12)</f>
        <v>14895.991000000002</v>
      </c>
      <c r="D13" s="12"/>
      <c r="E13" s="9">
        <f>SUM(E11:E12)</f>
        <v>12334.448999999999</v>
      </c>
      <c r="F13" s="40">
        <f>SUM(F11:F12)</f>
        <v>14739.996999999998</v>
      </c>
      <c r="G13" s="40">
        <f>E13-F13</f>
        <v>-2405.5479999999989</v>
      </c>
      <c r="H13" s="242">
        <f>IF(F13&lt;0.00000001,"",E13/F13)</f>
        <v>0.83680132363663307</v>
      </c>
    </row>
    <row r="14" spans="1:8" ht="14.4" customHeight="1" thickBot="1" x14ac:dyDescent="0.35">
      <c r="A14" s="16"/>
      <c r="B14" s="16"/>
      <c r="C14" s="224"/>
      <c r="D14" s="12"/>
      <c r="E14" s="16"/>
      <c r="F14" s="17"/>
    </row>
    <row r="15" spans="1:8" ht="14.4" customHeight="1" thickBot="1" x14ac:dyDescent="0.35">
      <c r="A15" s="262" t="str">
        <f>HYPERLINK("#'HI Graf'!A1","Hospodářský index (Výnosy / Náklady) *")</f>
        <v>Hospodářský index (Výnosy / Náklady) *</v>
      </c>
      <c r="B15" s="10">
        <f>IF(B9=0,"",B13/B9)</f>
        <v>0.89264998592292477</v>
      </c>
      <c r="C15" s="43">
        <f>IF(C9=0,"",C13/C9)</f>
        <v>1.0640398704609251</v>
      </c>
      <c r="D15" s="12"/>
      <c r="E15" s="10">
        <f>IF(E9=0,"",E13/E9)</f>
        <v>0.85271056128335831</v>
      </c>
      <c r="F15" s="42">
        <f>IF(F9=0,"",F13/F9)</f>
        <v>0.96932213198303341</v>
      </c>
      <c r="G15" s="42">
        <f>IF(ISERROR(F15-E15),"",E15-F15)</f>
        <v>-0.11661157069967509</v>
      </c>
      <c r="H15" s="243">
        <f>IF(ISERROR(F15-E15),"",IF(F15&lt;0.00000001,"",E15/F15))</f>
        <v>0.87969781473872688</v>
      </c>
    </row>
    <row r="17" spans="1:8" ht="14.4" customHeight="1" x14ac:dyDescent="0.3">
      <c r="A17" s="229" t="s">
        <v>203</v>
      </c>
    </row>
    <row r="18" spans="1:8" ht="14.4" customHeight="1" x14ac:dyDescent="0.3">
      <c r="A18" s="439" t="s">
        <v>271</v>
      </c>
      <c r="B18" s="440"/>
      <c r="C18" s="440"/>
      <c r="D18" s="440"/>
      <c r="E18" s="440"/>
      <c r="F18" s="440"/>
      <c r="G18" s="440"/>
      <c r="H18" s="440"/>
    </row>
    <row r="19" spans="1:8" x14ac:dyDescent="0.3">
      <c r="A19" s="438" t="s">
        <v>270</v>
      </c>
      <c r="B19" s="440"/>
      <c r="C19" s="440"/>
      <c r="D19" s="440"/>
      <c r="E19" s="440"/>
      <c r="F19" s="440"/>
      <c r="G19" s="440"/>
      <c r="H19" s="440"/>
    </row>
    <row r="20" spans="1:8" ht="14.4" customHeight="1" x14ac:dyDescent="0.3">
      <c r="A20" s="230" t="s">
        <v>204</v>
      </c>
    </row>
    <row r="21" spans="1:8" ht="14.4" customHeight="1" x14ac:dyDescent="0.3">
      <c r="A21" s="230" t="s">
        <v>205</v>
      </c>
    </row>
    <row r="22" spans="1:8" ht="14.4" customHeight="1" x14ac:dyDescent="0.3">
      <c r="A22" s="231" t="s">
        <v>206</v>
      </c>
    </row>
    <row r="23" spans="1:8" ht="14.4" customHeight="1" x14ac:dyDescent="0.3">
      <c r="A23" s="231" t="s">
        <v>207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3" priority="4" operator="greaterThan">
      <formula>0</formula>
    </cfRule>
  </conditionalFormatting>
  <conditionalFormatting sqref="G11:G13 G15">
    <cfRule type="cellIs" dxfId="72" priority="3" operator="lessThan">
      <formula>0</formula>
    </cfRule>
  </conditionalFormatting>
  <conditionalFormatting sqref="H5:H9">
    <cfRule type="cellIs" dxfId="71" priority="2" operator="greaterThan">
      <formula>1</formula>
    </cfRule>
  </conditionalFormatting>
  <conditionalFormatting sqref="H11:H13 H15">
    <cfRule type="cellIs" dxfId="7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7"/>
    <col min="2" max="13" width="8.88671875" style="257" customWidth="1"/>
    <col min="14" max="16384" width="8.88671875" style="257"/>
  </cols>
  <sheetData>
    <row r="1" spans="1:13" ht="18.600000000000001" customHeight="1" thickBot="1" x14ac:dyDescent="0.4">
      <c r="A1" s="458" t="s">
        <v>129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x14ac:dyDescent="0.3">
      <c r="A2" s="386" t="s">
        <v>321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3" ht="14.4" customHeight="1" x14ac:dyDescent="0.3">
      <c r="A3" s="331"/>
      <c r="B3" s="332" t="s">
        <v>103</v>
      </c>
      <c r="C3" s="333" t="s">
        <v>104</v>
      </c>
      <c r="D3" s="333" t="s">
        <v>105</v>
      </c>
      <c r="E3" s="332" t="s">
        <v>106</v>
      </c>
      <c r="F3" s="333" t="s">
        <v>107</v>
      </c>
      <c r="G3" s="333" t="s">
        <v>108</v>
      </c>
      <c r="H3" s="333" t="s">
        <v>109</v>
      </c>
      <c r="I3" s="333" t="s">
        <v>110</v>
      </c>
      <c r="J3" s="333" t="s">
        <v>111</v>
      </c>
      <c r="K3" s="333" t="s">
        <v>112</v>
      </c>
      <c r="L3" s="333" t="s">
        <v>113</v>
      </c>
      <c r="M3" s="333" t="s">
        <v>114</v>
      </c>
    </row>
    <row r="4" spans="1:13" ht="14.4" customHeight="1" x14ac:dyDescent="0.3">
      <c r="A4" s="331" t="s">
        <v>102</v>
      </c>
      <c r="B4" s="334">
        <f>(B10+B8)/B6</f>
        <v>0.83635626654873252</v>
      </c>
      <c r="C4" s="334">
        <f t="shared" ref="C4:M4" si="0">(C10+C8)/C6</f>
        <v>0.72087351636882924</v>
      </c>
      <c r="D4" s="334">
        <f t="shared" si="0"/>
        <v>0.85271056128335876</v>
      </c>
      <c r="E4" s="334">
        <f t="shared" si="0"/>
        <v>4.6565468798247141E-2</v>
      </c>
      <c r="F4" s="334">
        <f t="shared" si="0"/>
        <v>4.6565468798247141E-2</v>
      </c>
      <c r="G4" s="334">
        <f t="shared" si="0"/>
        <v>4.6565468798247141E-2</v>
      </c>
      <c r="H4" s="334">
        <f t="shared" si="0"/>
        <v>4.6565468798247141E-2</v>
      </c>
      <c r="I4" s="334">
        <f t="shared" si="0"/>
        <v>4.6565468798247141E-2</v>
      </c>
      <c r="J4" s="334">
        <f t="shared" si="0"/>
        <v>4.6565468798247141E-2</v>
      </c>
      <c r="K4" s="334">
        <f t="shared" si="0"/>
        <v>4.6565468798247141E-2</v>
      </c>
      <c r="L4" s="334">
        <f t="shared" si="0"/>
        <v>4.6565468798247141E-2</v>
      </c>
      <c r="M4" s="334">
        <f t="shared" si="0"/>
        <v>4.6565468798247141E-2</v>
      </c>
    </row>
    <row r="5" spans="1:13" ht="14.4" customHeight="1" x14ac:dyDescent="0.3">
      <c r="A5" s="335" t="s">
        <v>53</v>
      </c>
      <c r="B5" s="334">
        <f>IF(ISERROR(VLOOKUP($A5,'Man Tab'!$A:$Q,COLUMN()+2,0)),0,VLOOKUP($A5,'Man Tab'!$A:$Q,COLUMN()+2,0))</f>
        <v>4596.2422400000196</v>
      </c>
      <c r="C5" s="334">
        <f>IF(ISERROR(VLOOKUP($A5,'Man Tab'!$A:$Q,COLUMN()+2,0)),0,VLOOKUP($A5,'Man Tab'!$A:$Q,COLUMN()+2,0))</f>
        <v>4746.5312800000002</v>
      </c>
      <c r="D5" s="334">
        <f>IF(ISERROR(VLOOKUP($A5,'Man Tab'!$A:$Q,COLUMN()+2,0)),0,VLOOKUP($A5,'Man Tab'!$A:$Q,COLUMN()+2,0))</f>
        <v>5122.2156100000002</v>
      </c>
      <c r="E5" s="334">
        <f>IF(ISERROR(VLOOKUP($A5,'Man Tab'!$A:$Q,COLUMN()+2,0)),0,VLOOKUP($A5,'Man Tab'!$A:$Q,COLUMN()+2,0))</f>
        <v>4.9406564584124654E-324</v>
      </c>
      <c r="F5" s="334">
        <f>IF(ISERROR(VLOOKUP($A5,'Man Tab'!$A:$Q,COLUMN()+2,0)),0,VLOOKUP($A5,'Man Tab'!$A:$Q,COLUMN()+2,0))</f>
        <v>4.9406564584124654E-324</v>
      </c>
      <c r="G5" s="334">
        <f>IF(ISERROR(VLOOKUP($A5,'Man Tab'!$A:$Q,COLUMN()+2,0)),0,VLOOKUP($A5,'Man Tab'!$A:$Q,COLUMN()+2,0))</f>
        <v>4.9406564584124654E-324</v>
      </c>
      <c r="H5" s="334">
        <f>IF(ISERROR(VLOOKUP($A5,'Man Tab'!$A:$Q,COLUMN()+2,0)),0,VLOOKUP($A5,'Man Tab'!$A:$Q,COLUMN()+2,0))</f>
        <v>4.9406564584124654E-324</v>
      </c>
      <c r="I5" s="334">
        <f>IF(ISERROR(VLOOKUP($A5,'Man Tab'!$A:$Q,COLUMN()+2,0)),0,VLOOKUP($A5,'Man Tab'!$A:$Q,COLUMN()+2,0))</f>
        <v>4.9406564584124654E-324</v>
      </c>
      <c r="J5" s="334">
        <f>IF(ISERROR(VLOOKUP($A5,'Man Tab'!$A:$Q,COLUMN()+2,0)),0,VLOOKUP($A5,'Man Tab'!$A:$Q,COLUMN()+2,0))</f>
        <v>4.9406564584124654E-324</v>
      </c>
      <c r="K5" s="334">
        <f>IF(ISERROR(VLOOKUP($A5,'Man Tab'!$A:$Q,COLUMN()+2,0)),0,VLOOKUP($A5,'Man Tab'!$A:$Q,COLUMN()+2,0))</f>
        <v>4.9406564584124654E-324</v>
      </c>
      <c r="L5" s="334">
        <f>IF(ISERROR(VLOOKUP($A5,'Man Tab'!$A:$Q,COLUMN()+2,0)),0,VLOOKUP($A5,'Man Tab'!$A:$Q,COLUMN()+2,0))</f>
        <v>4.9406564584124654E-324</v>
      </c>
      <c r="M5" s="334">
        <f>IF(ISERROR(VLOOKUP($A5,'Man Tab'!$A:$Q,COLUMN()+2,0)),0,VLOOKUP($A5,'Man Tab'!$A:$Q,COLUMN()+2,0))</f>
        <v>4.9406564584124654E-324</v>
      </c>
    </row>
    <row r="6" spans="1:13" ht="14.4" customHeight="1" x14ac:dyDescent="0.3">
      <c r="A6" s="335" t="s">
        <v>98</v>
      </c>
      <c r="B6" s="336">
        <f>B5</f>
        <v>4596.2422400000196</v>
      </c>
      <c r="C6" s="336">
        <f t="shared" ref="C6:M6" si="1">C5+B6</f>
        <v>9342.7735200000207</v>
      </c>
      <c r="D6" s="336">
        <f t="shared" si="1"/>
        <v>14464.98913000002</v>
      </c>
      <c r="E6" s="336">
        <f t="shared" si="1"/>
        <v>14464.98913000002</v>
      </c>
      <c r="F6" s="336">
        <f t="shared" si="1"/>
        <v>14464.98913000002</v>
      </c>
      <c r="G6" s="336">
        <f t="shared" si="1"/>
        <v>14464.98913000002</v>
      </c>
      <c r="H6" s="336">
        <f t="shared" si="1"/>
        <v>14464.98913000002</v>
      </c>
      <c r="I6" s="336">
        <f t="shared" si="1"/>
        <v>14464.98913000002</v>
      </c>
      <c r="J6" s="336">
        <f t="shared" si="1"/>
        <v>14464.98913000002</v>
      </c>
      <c r="K6" s="336">
        <f t="shared" si="1"/>
        <v>14464.98913000002</v>
      </c>
      <c r="L6" s="336">
        <f t="shared" si="1"/>
        <v>14464.98913000002</v>
      </c>
      <c r="M6" s="336">
        <f t="shared" si="1"/>
        <v>14464.98913000002</v>
      </c>
    </row>
    <row r="7" spans="1:13" ht="14.4" customHeight="1" x14ac:dyDescent="0.3">
      <c r="A7" s="335" t="s">
        <v>127</v>
      </c>
      <c r="B7" s="335">
        <v>120.178</v>
      </c>
      <c r="C7" s="335">
        <v>209.684</v>
      </c>
      <c r="D7" s="335">
        <v>388.69600000000003</v>
      </c>
      <c r="E7" s="335"/>
      <c r="F7" s="335"/>
      <c r="G7" s="335"/>
      <c r="H7" s="335"/>
      <c r="I7" s="335"/>
      <c r="J7" s="335"/>
      <c r="K7" s="335"/>
      <c r="L7" s="335"/>
      <c r="M7" s="335"/>
    </row>
    <row r="8" spans="1:13" ht="14.4" customHeight="1" x14ac:dyDescent="0.3">
      <c r="A8" s="335" t="s">
        <v>99</v>
      </c>
      <c r="B8" s="336">
        <f>B7*30</f>
        <v>3605.34</v>
      </c>
      <c r="C8" s="336">
        <f t="shared" ref="C8:M8" si="2">C7*30</f>
        <v>6290.5199999999995</v>
      </c>
      <c r="D8" s="336">
        <f t="shared" si="2"/>
        <v>11660.880000000001</v>
      </c>
      <c r="E8" s="336">
        <f t="shared" si="2"/>
        <v>0</v>
      </c>
      <c r="F8" s="336">
        <f t="shared" si="2"/>
        <v>0</v>
      </c>
      <c r="G8" s="336">
        <f t="shared" si="2"/>
        <v>0</v>
      </c>
      <c r="H8" s="336">
        <f t="shared" si="2"/>
        <v>0</v>
      </c>
      <c r="I8" s="336">
        <f t="shared" si="2"/>
        <v>0</v>
      </c>
      <c r="J8" s="336">
        <f t="shared" si="2"/>
        <v>0</v>
      </c>
      <c r="K8" s="336">
        <f t="shared" si="2"/>
        <v>0</v>
      </c>
      <c r="L8" s="336">
        <f t="shared" si="2"/>
        <v>0</v>
      </c>
      <c r="M8" s="336">
        <f t="shared" si="2"/>
        <v>0</v>
      </c>
    </row>
    <row r="9" spans="1:13" ht="14.4" customHeight="1" x14ac:dyDescent="0.3">
      <c r="A9" s="335" t="s">
        <v>128</v>
      </c>
      <c r="B9" s="335">
        <v>238756</v>
      </c>
      <c r="C9" s="335">
        <v>205682</v>
      </c>
      <c r="D9" s="335">
        <v>229131</v>
      </c>
      <c r="E9" s="335">
        <v>0</v>
      </c>
      <c r="F9" s="335">
        <v>0</v>
      </c>
      <c r="G9" s="335">
        <v>0</v>
      </c>
      <c r="H9" s="335">
        <v>0</v>
      </c>
      <c r="I9" s="335">
        <v>0</v>
      </c>
      <c r="J9" s="335">
        <v>0</v>
      </c>
      <c r="K9" s="335">
        <v>0</v>
      </c>
      <c r="L9" s="335">
        <v>0</v>
      </c>
      <c r="M9" s="335">
        <v>0</v>
      </c>
    </row>
    <row r="10" spans="1:13" ht="14.4" customHeight="1" x14ac:dyDescent="0.3">
      <c r="A10" s="335" t="s">
        <v>100</v>
      </c>
      <c r="B10" s="336">
        <f>B9/1000</f>
        <v>238.756</v>
      </c>
      <c r="C10" s="336">
        <f t="shared" ref="C10:M10" si="3">C9/1000+B10</f>
        <v>444.43799999999999</v>
      </c>
      <c r="D10" s="336">
        <f t="shared" si="3"/>
        <v>673.56899999999996</v>
      </c>
      <c r="E10" s="336">
        <f t="shared" si="3"/>
        <v>673.56899999999996</v>
      </c>
      <c r="F10" s="336">
        <f t="shared" si="3"/>
        <v>673.56899999999996</v>
      </c>
      <c r="G10" s="336">
        <f t="shared" si="3"/>
        <v>673.56899999999996</v>
      </c>
      <c r="H10" s="336">
        <f t="shared" si="3"/>
        <v>673.56899999999996</v>
      </c>
      <c r="I10" s="336">
        <f t="shared" si="3"/>
        <v>673.56899999999996</v>
      </c>
      <c r="J10" s="336">
        <f t="shared" si="3"/>
        <v>673.56899999999996</v>
      </c>
      <c r="K10" s="336">
        <f t="shared" si="3"/>
        <v>673.56899999999996</v>
      </c>
      <c r="L10" s="336">
        <f t="shared" si="3"/>
        <v>673.56899999999996</v>
      </c>
      <c r="M10" s="336">
        <f t="shared" si="3"/>
        <v>673.56899999999996</v>
      </c>
    </row>
    <row r="11" spans="1:13" ht="14.4" customHeight="1" x14ac:dyDescent="0.3">
      <c r="A11" s="331"/>
      <c r="B11" s="331" t="s">
        <v>116</v>
      </c>
      <c r="C11" s="331">
        <f ca="1">IF(MONTH(TODAY())=1,12,MONTH(TODAY())-1)</f>
        <v>3</v>
      </c>
      <c r="D11" s="331"/>
      <c r="E11" s="331"/>
      <c r="F11" s="331"/>
      <c r="G11" s="331"/>
      <c r="H11" s="331"/>
      <c r="I11" s="331"/>
      <c r="J11" s="331"/>
      <c r="K11" s="331"/>
      <c r="L11" s="331"/>
      <c r="M11" s="331"/>
    </row>
    <row r="12" spans="1:13" ht="14.4" customHeight="1" x14ac:dyDescent="0.3">
      <c r="A12" s="331">
        <v>0</v>
      </c>
      <c r="B12" s="334">
        <f>IF(ISERROR(HI!F15),#REF!,HI!F15)</f>
        <v>0.96932213198303341</v>
      </c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</row>
    <row r="13" spans="1:13" ht="14.4" customHeight="1" x14ac:dyDescent="0.3">
      <c r="A13" s="331">
        <v>1</v>
      </c>
      <c r="B13" s="334">
        <f>IF(ISERROR(HI!F15),#REF!,HI!F15)</f>
        <v>0.96932213198303341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7" bestFit="1" customWidth="1"/>
    <col min="2" max="2" width="12.77734375" style="257" bestFit="1" customWidth="1"/>
    <col min="3" max="3" width="13.6640625" style="257" bestFit="1" customWidth="1"/>
    <col min="4" max="15" width="7.77734375" style="257" bestFit="1" customWidth="1"/>
    <col min="16" max="16" width="8.88671875" style="257" customWidth="1"/>
    <col min="17" max="17" width="6.6640625" style="257" bestFit="1" customWidth="1"/>
    <col min="18" max="16384" width="8.88671875" style="257"/>
  </cols>
  <sheetData>
    <row r="1" spans="1:17" s="337" customFormat="1" ht="18.600000000000001" customHeight="1" thickBot="1" x14ac:dyDescent="0.4">
      <c r="A1" s="467" t="s">
        <v>323</v>
      </c>
      <c r="B1" s="467"/>
      <c r="C1" s="467"/>
      <c r="D1" s="467"/>
      <c r="E1" s="467"/>
      <c r="F1" s="467"/>
      <c r="G1" s="467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s="337" customFormat="1" ht="14.4" customHeight="1" thickBot="1" x14ac:dyDescent="0.3">
      <c r="A2" s="386" t="s">
        <v>321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</row>
    <row r="3" spans="1:17" ht="14.4" customHeight="1" x14ac:dyDescent="0.3">
      <c r="A3" s="101"/>
      <c r="B3" s="468" t="s">
        <v>29</v>
      </c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266"/>
      <c r="Q3" s="268"/>
    </row>
    <row r="4" spans="1:17" ht="14.4" customHeight="1" x14ac:dyDescent="0.3">
      <c r="A4" s="102"/>
      <c r="B4" s="24">
        <v>2014</v>
      </c>
      <c r="C4" s="267" t="s">
        <v>30</v>
      </c>
      <c r="D4" s="245" t="s">
        <v>210</v>
      </c>
      <c r="E4" s="245" t="s">
        <v>211</v>
      </c>
      <c r="F4" s="245" t="s">
        <v>212</v>
      </c>
      <c r="G4" s="245" t="s">
        <v>213</v>
      </c>
      <c r="H4" s="245" t="s">
        <v>214</v>
      </c>
      <c r="I4" s="245" t="s">
        <v>215</v>
      </c>
      <c r="J4" s="245" t="s">
        <v>216</v>
      </c>
      <c r="K4" s="245" t="s">
        <v>217</v>
      </c>
      <c r="L4" s="245" t="s">
        <v>218</v>
      </c>
      <c r="M4" s="245" t="s">
        <v>219</v>
      </c>
      <c r="N4" s="245" t="s">
        <v>220</v>
      </c>
      <c r="O4" s="245" t="s">
        <v>221</v>
      </c>
      <c r="P4" s="470" t="s">
        <v>3</v>
      </c>
      <c r="Q4" s="47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64.999999999997996</v>
      </c>
      <c r="C6" s="53">
        <v>5.4166666666659999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1.4821969375237396E-323</v>
      </c>
      <c r="Q6" s="188">
        <v>0</v>
      </c>
    </row>
    <row r="7" spans="1:17" ht="14.4" customHeight="1" x14ac:dyDescent="0.3">
      <c r="A7" s="19" t="s">
        <v>35</v>
      </c>
      <c r="B7" s="55">
        <v>2055.3949405722801</v>
      </c>
      <c r="C7" s="56">
        <v>171.282911714356</v>
      </c>
      <c r="D7" s="56">
        <v>133.51288000000099</v>
      </c>
      <c r="E7" s="56">
        <v>187.2449</v>
      </c>
      <c r="F7" s="56">
        <v>206.71605</v>
      </c>
      <c r="G7" s="56">
        <v>4.9406564584124654E-324</v>
      </c>
      <c r="H7" s="56">
        <v>4.9406564584124654E-324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527.47383000000104</v>
      </c>
      <c r="Q7" s="189">
        <v>1.0265157699630001</v>
      </c>
    </row>
    <row r="8" spans="1:17" ht="14.4" customHeight="1" x14ac:dyDescent="0.3">
      <c r="A8" s="19" t="s">
        <v>36</v>
      </c>
      <c r="B8" s="55">
        <v>1109.9245287471199</v>
      </c>
      <c r="C8" s="56">
        <v>92.493710728926004</v>
      </c>
      <c r="D8" s="56">
        <v>74.668999999999997</v>
      </c>
      <c r="E8" s="56">
        <v>80.046999999999997</v>
      </c>
      <c r="F8" s="56">
        <v>63.232999999999997</v>
      </c>
      <c r="G8" s="56">
        <v>4.9406564584124654E-324</v>
      </c>
      <c r="H8" s="56">
        <v>4.9406564584124654E-324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217.94900000000001</v>
      </c>
      <c r="Q8" s="189">
        <v>0.78545520656599999</v>
      </c>
    </row>
    <row r="9" spans="1:17" ht="14.4" customHeight="1" x14ac:dyDescent="0.3">
      <c r="A9" s="19" t="s">
        <v>37</v>
      </c>
      <c r="B9" s="55">
        <v>12822.266089697599</v>
      </c>
      <c r="C9" s="56">
        <v>1068.52217414147</v>
      </c>
      <c r="D9" s="56">
        <v>752.83187000000396</v>
      </c>
      <c r="E9" s="56">
        <v>982.60769000000005</v>
      </c>
      <c r="F9" s="56">
        <v>1182.6930199999999</v>
      </c>
      <c r="G9" s="56">
        <v>4.9406564584124654E-324</v>
      </c>
      <c r="H9" s="56">
        <v>4.9406564584124654E-324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2918.13258</v>
      </c>
      <c r="Q9" s="189">
        <v>0.91033287239100003</v>
      </c>
    </row>
    <row r="10" spans="1:17" ht="14.4" customHeight="1" x14ac:dyDescent="0.3">
      <c r="A10" s="19" t="s">
        <v>38</v>
      </c>
      <c r="B10" s="55">
        <v>595.99789803240299</v>
      </c>
      <c r="C10" s="56">
        <v>49.666491502699998</v>
      </c>
      <c r="D10" s="56">
        <v>52.648310000000002</v>
      </c>
      <c r="E10" s="56">
        <v>48.41977</v>
      </c>
      <c r="F10" s="56">
        <v>52.522750000000002</v>
      </c>
      <c r="G10" s="56">
        <v>4.9406564584124654E-324</v>
      </c>
      <c r="H10" s="56">
        <v>4.9406564584124654E-324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153.59083000000001</v>
      </c>
      <c r="Q10" s="189">
        <v>1.030814575065</v>
      </c>
    </row>
    <row r="11" spans="1:17" ht="14.4" customHeight="1" x14ac:dyDescent="0.3">
      <c r="A11" s="19" t="s">
        <v>39</v>
      </c>
      <c r="B11" s="55">
        <v>492.18302822225002</v>
      </c>
      <c r="C11" s="56">
        <v>41.015252351854002</v>
      </c>
      <c r="D11" s="56">
        <v>26.711089999999999</v>
      </c>
      <c r="E11" s="56">
        <v>30.9343</v>
      </c>
      <c r="F11" s="56">
        <v>31.230509999999999</v>
      </c>
      <c r="G11" s="56">
        <v>4.9406564584124654E-324</v>
      </c>
      <c r="H11" s="56">
        <v>4.9406564584124654E-324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88.875900000000001</v>
      </c>
      <c r="Q11" s="189">
        <v>0.72229959103600005</v>
      </c>
    </row>
    <row r="12" spans="1:17" ht="14.4" customHeight="1" x14ac:dyDescent="0.3">
      <c r="A12" s="19" t="s">
        <v>40</v>
      </c>
      <c r="B12" s="55">
        <v>13.879919137276</v>
      </c>
      <c r="C12" s="56">
        <v>1.1566599281059999</v>
      </c>
      <c r="D12" s="56">
        <v>2.6848299999999998</v>
      </c>
      <c r="E12" s="56">
        <v>2.3937300000000001</v>
      </c>
      <c r="F12" s="56">
        <v>6.0252999999999997</v>
      </c>
      <c r="G12" s="56">
        <v>4.9406564584124654E-324</v>
      </c>
      <c r="H12" s="56">
        <v>4.9406564584124654E-324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11.103859999999999</v>
      </c>
      <c r="Q12" s="189">
        <v>3.1999782967549999</v>
      </c>
    </row>
    <row r="13" spans="1:17" ht="14.4" customHeight="1" x14ac:dyDescent="0.3">
      <c r="A13" s="19" t="s">
        <v>41</v>
      </c>
      <c r="B13" s="55">
        <v>98.066734764765997</v>
      </c>
      <c r="C13" s="56">
        <v>8.1722278970629993</v>
      </c>
      <c r="D13" s="56">
        <v>8.6585900000000002</v>
      </c>
      <c r="E13" s="56">
        <v>7.7115900000000002</v>
      </c>
      <c r="F13" s="56">
        <v>5.0428800000000003</v>
      </c>
      <c r="G13" s="56">
        <v>4.9406564584124654E-324</v>
      </c>
      <c r="H13" s="56">
        <v>4.9406564584124654E-324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21.413060000000002</v>
      </c>
      <c r="Q13" s="189">
        <v>0.87340768717799999</v>
      </c>
    </row>
    <row r="14" spans="1:17" ht="14.4" customHeight="1" x14ac:dyDescent="0.3">
      <c r="A14" s="19" t="s">
        <v>42</v>
      </c>
      <c r="B14" s="55">
        <v>1291.7360622456899</v>
      </c>
      <c r="C14" s="56">
        <v>107.64467185380801</v>
      </c>
      <c r="D14" s="56">
        <v>130.99200000000101</v>
      </c>
      <c r="E14" s="56">
        <v>110.79300000000001</v>
      </c>
      <c r="F14" s="56">
        <v>102.71299999999999</v>
      </c>
      <c r="G14" s="56">
        <v>4.9406564584124654E-324</v>
      </c>
      <c r="H14" s="56">
        <v>4.9406564584124654E-324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344.49800000000101</v>
      </c>
      <c r="Q14" s="189">
        <v>1.0667752029799999</v>
      </c>
    </row>
    <row r="15" spans="1:17" ht="14.4" customHeight="1" x14ac:dyDescent="0.3">
      <c r="A15" s="19" t="s">
        <v>43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1.4821969375237396E-323</v>
      </c>
      <c r="Q15" s="189" t="s">
        <v>322</v>
      </c>
    </row>
    <row r="16" spans="1:17" ht="14.4" customHeight="1" x14ac:dyDescent="0.3">
      <c r="A16" s="19" t="s">
        <v>44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1.4821969375237396E-323</v>
      </c>
      <c r="Q16" s="189" t="s">
        <v>322</v>
      </c>
    </row>
    <row r="17" spans="1:17" ht="14.4" customHeight="1" x14ac:dyDescent="0.3">
      <c r="A17" s="19" t="s">
        <v>45</v>
      </c>
      <c r="B17" s="55">
        <v>290.771883358217</v>
      </c>
      <c r="C17" s="56">
        <v>24.230990279851</v>
      </c>
      <c r="D17" s="56">
        <v>4.9926000000000004</v>
      </c>
      <c r="E17" s="56">
        <v>7.8703900000000004</v>
      </c>
      <c r="F17" s="56">
        <v>8.7984100000000005</v>
      </c>
      <c r="G17" s="56">
        <v>4.9406564584124654E-324</v>
      </c>
      <c r="H17" s="56">
        <v>4.9406564584124654E-324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21.6614</v>
      </c>
      <c r="Q17" s="189">
        <v>0.297984794813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4.9406564584124654E-324</v>
      </c>
      <c r="E18" s="56">
        <v>4.7039999999999997</v>
      </c>
      <c r="F18" s="56">
        <v>3.64</v>
      </c>
      <c r="G18" s="56">
        <v>4.9406564584124654E-324</v>
      </c>
      <c r="H18" s="56">
        <v>4.9406564584124654E-324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8.3439999999999994</v>
      </c>
      <c r="Q18" s="189" t="s">
        <v>322</v>
      </c>
    </row>
    <row r="19" spans="1:17" ht="14.4" customHeight="1" x14ac:dyDescent="0.3">
      <c r="A19" s="19" t="s">
        <v>47</v>
      </c>
      <c r="B19" s="55">
        <v>1093.2269958030299</v>
      </c>
      <c r="C19" s="56">
        <v>91.102249650252006</v>
      </c>
      <c r="D19" s="56">
        <v>71.328029999999998</v>
      </c>
      <c r="E19" s="56">
        <v>36.723999999999997</v>
      </c>
      <c r="F19" s="56">
        <v>95.460800000000006</v>
      </c>
      <c r="G19" s="56">
        <v>4.9406564584124654E-324</v>
      </c>
      <c r="H19" s="56">
        <v>4.9406564584124654E-324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203.51283000000001</v>
      </c>
      <c r="Q19" s="189">
        <v>0.74463155696399996</v>
      </c>
    </row>
    <row r="20" spans="1:17" ht="14.4" customHeight="1" x14ac:dyDescent="0.3">
      <c r="A20" s="19" t="s">
        <v>48</v>
      </c>
      <c r="B20" s="55">
        <v>39635</v>
      </c>
      <c r="C20" s="56">
        <v>3302.9166666666702</v>
      </c>
      <c r="D20" s="56">
        <v>3212.3433300000202</v>
      </c>
      <c r="E20" s="56">
        <v>3141.6011699999999</v>
      </c>
      <c r="F20" s="56">
        <v>3230.2654299999999</v>
      </c>
      <c r="G20" s="56">
        <v>4.9406564584124654E-324</v>
      </c>
      <c r="H20" s="56">
        <v>4.9406564584124654E-324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9584.2099300000209</v>
      </c>
      <c r="Q20" s="189">
        <v>0.967247122997</v>
      </c>
    </row>
    <row r="21" spans="1:17" ht="14.4" customHeight="1" x14ac:dyDescent="0.3">
      <c r="A21" s="20" t="s">
        <v>49</v>
      </c>
      <c r="B21" s="55">
        <v>1074.9909964390899</v>
      </c>
      <c r="C21" s="56">
        <v>89.582583036591004</v>
      </c>
      <c r="D21" s="56">
        <v>86.766999999999996</v>
      </c>
      <c r="E21" s="56">
        <v>86.766000000000005</v>
      </c>
      <c r="F21" s="56">
        <v>86.765000000000001</v>
      </c>
      <c r="G21" s="56">
        <v>1.4821969375237396E-323</v>
      </c>
      <c r="H21" s="56">
        <v>1.4821969375237396E-323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260.298</v>
      </c>
      <c r="Q21" s="189">
        <v>0.96855880974700004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35.683</v>
      </c>
      <c r="E22" s="56">
        <v>11.9137</v>
      </c>
      <c r="F22" s="56">
        <v>10.18989</v>
      </c>
      <c r="G22" s="56">
        <v>4.9406564584124654E-324</v>
      </c>
      <c r="H22" s="56">
        <v>4.9406564584124654E-324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57.786589999999997</v>
      </c>
      <c r="Q22" s="189" t="s">
        <v>322</v>
      </c>
    </row>
    <row r="23" spans="1:17" ht="14.4" customHeight="1" x14ac:dyDescent="0.3">
      <c r="A23" s="20" t="s">
        <v>51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5.9287877500949585E-323</v>
      </c>
      <c r="Q23" s="189" t="s">
        <v>322</v>
      </c>
    </row>
    <row r="24" spans="1:17" ht="14.4" customHeight="1" x14ac:dyDescent="0.3">
      <c r="A24" s="20" t="s">
        <v>52</v>
      </c>
      <c r="B24" s="55">
        <v>-1.45519152283669E-11</v>
      </c>
      <c r="C24" s="56">
        <v>0</v>
      </c>
      <c r="D24" s="56">
        <v>2.4197099999999998</v>
      </c>
      <c r="E24" s="56">
        <v>6.8000400000000001</v>
      </c>
      <c r="F24" s="56">
        <v>36.91957</v>
      </c>
      <c r="G24" s="56">
        <v>-1.0869444208507424E-322</v>
      </c>
      <c r="H24" s="56">
        <v>-1.0869444208507424E-322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46.139319999999998</v>
      </c>
      <c r="Q24" s="189"/>
    </row>
    <row r="25" spans="1:17" ht="14.4" customHeight="1" x14ac:dyDescent="0.3">
      <c r="A25" s="21" t="s">
        <v>53</v>
      </c>
      <c r="B25" s="58">
        <v>60638.439077019801</v>
      </c>
      <c r="C25" s="59">
        <v>5053.20325641831</v>
      </c>
      <c r="D25" s="59">
        <v>4596.2422400000196</v>
      </c>
      <c r="E25" s="59">
        <v>4746.5312800000002</v>
      </c>
      <c r="F25" s="59">
        <v>5122.2156100000002</v>
      </c>
      <c r="G25" s="59">
        <v>4.9406564584124654E-324</v>
      </c>
      <c r="H25" s="59">
        <v>4.9406564584124654E-324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14464.98913</v>
      </c>
      <c r="Q25" s="190">
        <v>0.954179517162</v>
      </c>
    </row>
    <row r="26" spans="1:17" ht="14.4" customHeight="1" x14ac:dyDescent="0.3">
      <c r="A26" s="19" t="s">
        <v>54</v>
      </c>
      <c r="B26" s="55">
        <v>6451.0085058123104</v>
      </c>
      <c r="C26" s="56">
        <v>537.58404215102496</v>
      </c>
      <c r="D26" s="56">
        <v>558.34023000000002</v>
      </c>
      <c r="E26" s="56">
        <v>530.91404999999997</v>
      </c>
      <c r="F26" s="56">
        <v>588.12144000000001</v>
      </c>
      <c r="G26" s="56">
        <v>4.9406564584124654E-324</v>
      </c>
      <c r="H26" s="56">
        <v>4.9406564584124654E-324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1677.37572</v>
      </c>
      <c r="Q26" s="189">
        <v>1.040070381856</v>
      </c>
    </row>
    <row r="27" spans="1:17" ht="14.4" customHeight="1" x14ac:dyDescent="0.3">
      <c r="A27" s="22" t="s">
        <v>55</v>
      </c>
      <c r="B27" s="58">
        <v>67089.447582832101</v>
      </c>
      <c r="C27" s="59">
        <v>5590.7872985693402</v>
      </c>
      <c r="D27" s="59">
        <v>5154.5824700000203</v>
      </c>
      <c r="E27" s="59">
        <v>5277.4453299999996</v>
      </c>
      <c r="F27" s="59">
        <v>5710.3370500000001</v>
      </c>
      <c r="G27" s="59">
        <v>9.8813129168249309E-324</v>
      </c>
      <c r="H27" s="59">
        <v>9.8813129168249309E-324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16142.36485</v>
      </c>
      <c r="Q27" s="190">
        <v>0.96243838228400003</v>
      </c>
    </row>
    <row r="28" spans="1:17" ht="14.4" customHeight="1" x14ac:dyDescent="0.3">
      <c r="A28" s="20" t="s">
        <v>56</v>
      </c>
      <c r="B28" s="55">
        <v>283.54730943861802</v>
      </c>
      <c r="C28" s="56">
        <v>23.628942453217999</v>
      </c>
      <c r="D28" s="56">
        <v>13.83075</v>
      </c>
      <c r="E28" s="56">
        <v>9.7077500000000008</v>
      </c>
      <c r="F28" s="56">
        <v>16.000979999999998</v>
      </c>
      <c r="G28" s="56">
        <v>1.2351641146031164E-322</v>
      </c>
      <c r="H28" s="56">
        <v>1.2351641146031164E-322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39.539479999999998</v>
      </c>
      <c r="Q28" s="189">
        <v>0.55778318021399997</v>
      </c>
    </row>
    <row r="29" spans="1:17" ht="14.4" customHeight="1" x14ac:dyDescent="0.3">
      <c r="A29" s="20" t="s">
        <v>57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2.9643938750474793E-323</v>
      </c>
      <c r="Q29" s="189" t="s">
        <v>322</v>
      </c>
    </row>
    <row r="30" spans="1:17" ht="14.4" customHeight="1" x14ac:dyDescent="0.3">
      <c r="A30" s="20" t="s">
        <v>58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1.4821969375237396E-322</v>
      </c>
      <c r="Q30" s="189">
        <v>0</v>
      </c>
    </row>
    <row r="31" spans="1:17" ht="14.4" customHeight="1" thickBot="1" x14ac:dyDescent="0.35">
      <c r="A31" s="23" t="s">
        <v>59</v>
      </c>
      <c r="B31" s="61">
        <v>1.9762625833649862E-323</v>
      </c>
      <c r="C31" s="62">
        <v>0</v>
      </c>
      <c r="D31" s="62">
        <v>22.972000000000001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22.972000000000001</v>
      </c>
      <c r="Q31" s="191" t="s">
        <v>322</v>
      </c>
    </row>
    <row r="32" spans="1:17" ht="14.4" customHeight="1" x14ac:dyDescent="0.3"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</row>
    <row r="33" spans="1:17" ht="14.4" customHeight="1" x14ac:dyDescent="0.3">
      <c r="A33" s="229" t="s">
        <v>203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</row>
    <row r="34" spans="1:17" ht="14.4" customHeight="1" x14ac:dyDescent="0.3">
      <c r="A34" s="263" t="s">
        <v>235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</row>
    <row r="35" spans="1:17" ht="14.4" customHeight="1" x14ac:dyDescent="0.3">
      <c r="A35" s="264" t="s">
        <v>60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7" customWidth="1"/>
    <col min="2" max="11" width="10" style="257" customWidth="1"/>
    <col min="12" max="16384" width="8.88671875" style="257"/>
  </cols>
  <sheetData>
    <row r="1" spans="1:11" s="64" customFormat="1" ht="18.600000000000001" customHeight="1" thickBot="1" x14ac:dyDescent="0.4">
      <c r="A1" s="467" t="s">
        <v>61</v>
      </c>
      <c r="B1" s="467"/>
      <c r="C1" s="467"/>
      <c r="D1" s="467"/>
      <c r="E1" s="467"/>
      <c r="F1" s="467"/>
      <c r="G1" s="467"/>
      <c r="H1" s="472"/>
      <c r="I1" s="472"/>
      <c r="J1" s="472"/>
      <c r="K1" s="472"/>
    </row>
    <row r="2" spans="1:11" s="64" customFormat="1" ht="14.4" customHeight="1" thickBot="1" x14ac:dyDescent="0.35">
      <c r="A2" s="386" t="s">
        <v>321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68" t="s">
        <v>62</v>
      </c>
      <c r="C3" s="469"/>
      <c r="D3" s="469"/>
      <c r="E3" s="469"/>
      <c r="F3" s="475" t="s">
        <v>63</v>
      </c>
      <c r="G3" s="469"/>
      <c r="H3" s="469"/>
      <c r="I3" s="469"/>
      <c r="J3" s="469"/>
      <c r="K3" s="476"/>
    </row>
    <row r="4" spans="1:11" ht="14.4" customHeight="1" x14ac:dyDescent="0.3">
      <c r="A4" s="102"/>
      <c r="B4" s="473"/>
      <c r="C4" s="474"/>
      <c r="D4" s="474"/>
      <c r="E4" s="474"/>
      <c r="F4" s="477" t="s">
        <v>226</v>
      </c>
      <c r="G4" s="479" t="s">
        <v>64</v>
      </c>
      <c r="H4" s="269" t="s">
        <v>184</v>
      </c>
      <c r="I4" s="477" t="s">
        <v>65</v>
      </c>
      <c r="J4" s="479" t="s">
        <v>228</v>
      </c>
      <c r="K4" s="480" t="s">
        <v>229</v>
      </c>
    </row>
    <row r="5" spans="1:11" ht="42" thickBot="1" x14ac:dyDescent="0.35">
      <c r="A5" s="103"/>
      <c r="B5" s="28" t="s">
        <v>222</v>
      </c>
      <c r="C5" s="29" t="s">
        <v>223</v>
      </c>
      <c r="D5" s="30" t="s">
        <v>224</v>
      </c>
      <c r="E5" s="30" t="s">
        <v>225</v>
      </c>
      <c r="F5" s="478"/>
      <c r="G5" s="478"/>
      <c r="H5" s="29" t="s">
        <v>227</v>
      </c>
      <c r="I5" s="478"/>
      <c r="J5" s="478"/>
      <c r="K5" s="481"/>
    </row>
    <row r="6" spans="1:11" ht="14.4" customHeight="1" thickBot="1" x14ac:dyDescent="0.35">
      <c r="A6" s="603" t="s">
        <v>324</v>
      </c>
      <c r="B6" s="585">
        <v>61735.669226257203</v>
      </c>
      <c r="C6" s="585">
        <v>61474.218379999998</v>
      </c>
      <c r="D6" s="586">
        <v>-261.450846257205</v>
      </c>
      <c r="E6" s="587">
        <v>0.99576499534899998</v>
      </c>
      <c r="F6" s="585">
        <v>60638.439077019801</v>
      </c>
      <c r="G6" s="586">
        <v>15159.609769254899</v>
      </c>
      <c r="H6" s="588">
        <v>5122.2156100000002</v>
      </c>
      <c r="I6" s="585">
        <v>14464.98913</v>
      </c>
      <c r="J6" s="586">
        <v>-694.62063925491395</v>
      </c>
      <c r="K6" s="589">
        <v>0.23854487929000001</v>
      </c>
    </row>
    <row r="7" spans="1:11" ht="14.4" customHeight="1" thickBot="1" x14ac:dyDescent="0.35">
      <c r="A7" s="604" t="s">
        <v>325</v>
      </c>
      <c r="B7" s="585">
        <v>21388.726328208701</v>
      </c>
      <c r="C7" s="585">
        <v>18638.868460000002</v>
      </c>
      <c r="D7" s="586">
        <v>-2749.85786820865</v>
      </c>
      <c r="E7" s="587">
        <v>0.87143423941999998</v>
      </c>
      <c r="F7" s="585">
        <v>18544.4492014194</v>
      </c>
      <c r="G7" s="586">
        <v>4636.1123003548601</v>
      </c>
      <c r="H7" s="588">
        <v>1650.17608</v>
      </c>
      <c r="I7" s="585">
        <v>4285.4563800000096</v>
      </c>
      <c r="J7" s="586">
        <v>-350.65592035485002</v>
      </c>
      <c r="K7" s="589">
        <v>0.231091057677</v>
      </c>
    </row>
    <row r="8" spans="1:11" ht="14.4" customHeight="1" thickBot="1" x14ac:dyDescent="0.35">
      <c r="A8" s="605" t="s">
        <v>326</v>
      </c>
      <c r="B8" s="585">
        <v>20081.093710006298</v>
      </c>
      <c r="C8" s="585">
        <v>17352.366460000001</v>
      </c>
      <c r="D8" s="586">
        <v>-2728.72725000633</v>
      </c>
      <c r="E8" s="587">
        <v>0.86411461002000001</v>
      </c>
      <c r="F8" s="585">
        <v>17252.713139173698</v>
      </c>
      <c r="G8" s="586">
        <v>4313.1782847934301</v>
      </c>
      <c r="H8" s="588">
        <v>1547.46308</v>
      </c>
      <c r="I8" s="585">
        <v>3940.95838000001</v>
      </c>
      <c r="J8" s="586">
        <v>-372.21990479342702</v>
      </c>
      <c r="K8" s="589">
        <v>0.22842542782700001</v>
      </c>
    </row>
    <row r="9" spans="1:11" ht="14.4" customHeight="1" thickBot="1" x14ac:dyDescent="0.35">
      <c r="A9" s="606" t="s">
        <v>327</v>
      </c>
      <c r="B9" s="590">
        <v>4.9406564584124654E-324</v>
      </c>
      <c r="C9" s="590">
        <v>2.5600000000000002E-3</v>
      </c>
      <c r="D9" s="591">
        <v>2.5600000000000002E-3</v>
      </c>
      <c r="E9" s="592" t="s">
        <v>328</v>
      </c>
      <c r="F9" s="590">
        <v>0</v>
      </c>
      <c r="G9" s="591">
        <v>0</v>
      </c>
      <c r="H9" s="593">
        <v>-4.2999999999999999E-4</v>
      </c>
      <c r="I9" s="590">
        <v>-6.8000000000000005E-4</v>
      </c>
      <c r="J9" s="591">
        <v>-6.8000000000000005E-4</v>
      </c>
      <c r="K9" s="594" t="s">
        <v>322</v>
      </c>
    </row>
    <row r="10" spans="1:11" ht="14.4" customHeight="1" thickBot="1" x14ac:dyDescent="0.35">
      <c r="A10" s="607" t="s">
        <v>329</v>
      </c>
      <c r="B10" s="585">
        <v>4.9406564584124654E-324</v>
      </c>
      <c r="C10" s="585">
        <v>2.5600000000000002E-3</v>
      </c>
      <c r="D10" s="586">
        <v>2.5600000000000002E-3</v>
      </c>
      <c r="E10" s="595" t="s">
        <v>328</v>
      </c>
      <c r="F10" s="585">
        <v>0</v>
      </c>
      <c r="G10" s="586">
        <v>0</v>
      </c>
      <c r="H10" s="588">
        <v>-4.2999999999999999E-4</v>
      </c>
      <c r="I10" s="585">
        <v>-6.8000000000000005E-4</v>
      </c>
      <c r="J10" s="586">
        <v>-6.8000000000000005E-4</v>
      </c>
      <c r="K10" s="596" t="s">
        <v>322</v>
      </c>
    </row>
    <row r="11" spans="1:11" ht="14.4" customHeight="1" thickBot="1" x14ac:dyDescent="0.35">
      <c r="A11" s="606" t="s">
        <v>330</v>
      </c>
      <c r="B11" s="590">
        <v>0</v>
      </c>
      <c r="C11" s="590">
        <v>67.52</v>
      </c>
      <c r="D11" s="591">
        <v>67.52</v>
      </c>
      <c r="E11" s="592" t="s">
        <v>322</v>
      </c>
      <c r="F11" s="590">
        <v>64.999999999997996</v>
      </c>
      <c r="G11" s="591">
        <v>16.249999999999002</v>
      </c>
      <c r="H11" s="593">
        <v>4.9406564584124654E-324</v>
      </c>
      <c r="I11" s="590">
        <v>1.4821969375237396E-323</v>
      </c>
      <c r="J11" s="591">
        <v>-16.249999999999002</v>
      </c>
      <c r="K11" s="597">
        <v>0</v>
      </c>
    </row>
    <row r="12" spans="1:11" ht="14.4" customHeight="1" thickBot="1" x14ac:dyDescent="0.35">
      <c r="A12" s="607" t="s">
        <v>331</v>
      </c>
      <c r="B12" s="585">
        <v>0</v>
      </c>
      <c r="C12" s="585">
        <v>67.52</v>
      </c>
      <c r="D12" s="586">
        <v>67.52</v>
      </c>
      <c r="E12" s="595" t="s">
        <v>322</v>
      </c>
      <c r="F12" s="585">
        <v>64.999999999997996</v>
      </c>
      <c r="G12" s="586">
        <v>16.249999999999002</v>
      </c>
      <c r="H12" s="588">
        <v>4.9406564584124654E-324</v>
      </c>
      <c r="I12" s="585">
        <v>1.4821969375237396E-323</v>
      </c>
      <c r="J12" s="586">
        <v>-16.249999999999002</v>
      </c>
      <c r="K12" s="589">
        <v>0</v>
      </c>
    </row>
    <row r="13" spans="1:11" ht="14.4" customHeight="1" thickBot="1" x14ac:dyDescent="0.35">
      <c r="A13" s="606" t="s">
        <v>332</v>
      </c>
      <c r="B13" s="590">
        <v>3010.5380421380501</v>
      </c>
      <c r="C13" s="590">
        <v>2170.3891800000001</v>
      </c>
      <c r="D13" s="591">
        <v>-840.14886213804698</v>
      </c>
      <c r="E13" s="598">
        <v>0.72093066077199996</v>
      </c>
      <c r="F13" s="590">
        <v>2055.3949405722801</v>
      </c>
      <c r="G13" s="591">
        <v>513.84873514306901</v>
      </c>
      <c r="H13" s="593">
        <v>206.71605</v>
      </c>
      <c r="I13" s="590">
        <v>527.47383000000104</v>
      </c>
      <c r="J13" s="591">
        <v>13.625094856931</v>
      </c>
      <c r="K13" s="597">
        <v>0.25662894249000001</v>
      </c>
    </row>
    <row r="14" spans="1:11" ht="14.4" customHeight="1" thickBot="1" x14ac:dyDescent="0.35">
      <c r="A14" s="607" t="s">
        <v>333</v>
      </c>
      <c r="B14" s="585">
        <v>1900.50664067967</v>
      </c>
      <c r="C14" s="585">
        <v>1389.4138800000001</v>
      </c>
      <c r="D14" s="586">
        <v>-511.09276067966698</v>
      </c>
      <c r="E14" s="587">
        <v>0.73107551968499995</v>
      </c>
      <c r="F14" s="585">
        <v>1384.0038922155099</v>
      </c>
      <c r="G14" s="586">
        <v>346.00097305387902</v>
      </c>
      <c r="H14" s="588">
        <v>129.76175000000001</v>
      </c>
      <c r="I14" s="585">
        <v>295.44520999999997</v>
      </c>
      <c r="J14" s="586">
        <v>-50.555763053878003</v>
      </c>
      <c r="K14" s="589">
        <v>0.213471372198</v>
      </c>
    </row>
    <row r="15" spans="1:11" ht="14.4" customHeight="1" thickBot="1" x14ac:dyDescent="0.35">
      <c r="A15" s="607" t="s">
        <v>334</v>
      </c>
      <c r="B15" s="585">
        <v>75.002063121545007</v>
      </c>
      <c r="C15" s="585">
        <v>46.105519999999999</v>
      </c>
      <c r="D15" s="586">
        <v>-28.896543121545001</v>
      </c>
      <c r="E15" s="587">
        <v>0.61472335667900002</v>
      </c>
      <c r="F15" s="585">
        <v>60.981773432117002</v>
      </c>
      <c r="G15" s="586">
        <v>15.245443358029</v>
      </c>
      <c r="H15" s="588">
        <v>7.6396600000000001</v>
      </c>
      <c r="I15" s="585">
        <v>12.47167</v>
      </c>
      <c r="J15" s="586">
        <v>-2.773773358029</v>
      </c>
      <c r="K15" s="589">
        <v>0.20451471477499999</v>
      </c>
    </row>
    <row r="16" spans="1:11" ht="14.4" customHeight="1" thickBot="1" x14ac:dyDescent="0.35">
      <c r="A16" s="607" t="s">
        <v>335</v>
      </c>
      <c r="B16" s="585">
        <v>32.998986476454</v>
      </c>
      <c r="C16" s="585">
        <v>34.754660000000001</v>
      </c>
      <c r="D16" s="586">
        <v>1.7556735235450001</v>
      </c>
      <c r="E16" s="587">
        <v>1.0532038620269999</v>
      </c>
      <c r="F16" s="585">
        <v>35.000307323393002</v>
      </c>
      <c r="G16" s="586">
        <v>8.7500768308480001</v>
      </c>
      <c r="H16" s="588">
        <v>4.9406564584124654E-324</v>
      </c>
      <c r="I16" s="585">
        <v>38.794919999999998</v>
      </c>
      <c r="J16" s="586">
        <v>30.044843169151001</v>
      </c>
      <c r="K16" s="589">
        <v>1.108416553076</v>
      </c>
    </row>
    <row r="17" spans="1:11" ht="14.4" customHeight="1" thickBot="1" x14ac:dyDescent="0.35">
      <c r="A17" s="607" t="s">
        <v>336</v>
      </c>
      <c r="B17" s="585">
        <v>808.01277678182305</v>
      </c>
      <c r="C17" s="585">
        <v>659.88917000000004</v>
      </c>
      <c r="D17" s="586">
        <v>-148.12360678182199</v>
      </c>
      <c r="E17" s="587">
        <v>0.81668160326399997</v>
      </c>
      <c r="F17" s="585">
        <v>535.75050158640204</v>
      </c>
      <c r="G17" s="586">
        <v>133.93762539660099</v>
      </c>
      <c r="H17" s="588">
        <v>65.363219999999998</v>
      </c>
      <c r="I17" s="585">
        <v>171.19909999999999</v>
      </c>
      <c r="J17" s="586">
        <v>37.261474603399002</v>
      </c>
      <c r="K17" s="589">
        <v>0.31955005080299997</v>
      </c>
    </row>
    <row r="18" spans="1:11" ht="14.4" customHeight="1" thickBot="1" x14ac:dyDescent="0.35">
      <c r="A18" s="607" t="s">
        <v>337</v>
      </c>
      <c r="B18" s="585">
        <v>22.993751816743</v>
      </c>
      <c r="C18" s="585">
        <v>26.15455</v>
      </c>
      <c r="D18" s="586">
        <v>3.160798183257</v>
      </c>
      <c r="E18" s="587">
        <v>1.137463351281</v>
      </c>
      <c r="F18" s="585">
        <v>26.196059528149998</v>
      </c>
      <c r="G18" s="586">
        <v>6.5490148820370004</v>
      </c>
      <c r="H18" s="588">
        <v>0.98902000000000001</v>
      </c>
      <c r="I18" s="585">
        <v>3.26783</v>
      </c>
      <c r="J18" s="586">
        <v>-3.281184882037</v>
      </c>
      <c r="K18" s="589">
        <v>0.124745097501</v>
      </c>
    </row>
    <row r="19" spans="1:11" ht="14.4" customHeight="1" thickBot="1" x14ac:dyDescent="0.35">
      <c r="A19" s="607" t="s">
        <v>338</v>
      </c>
      <c r="B19" s="585">
        <v>21.025383651874002</v>
      </c>
      <c r="C19" s="585">
        <v>14.071400000000001</v>
      </c>
      <c r="D19" s="586">
        <v>-6.9539836518740001</v>
      </c>
      <c r="E19" s="587">
        <v>0.66925770454300004</v>
      </c>
      <c r="F19" s="585">
        <v>13.462406486697001</v>
      </c>
      <c r="G19" s="586">
        <v>3.3656016216740001</v>
      </c>
      <c r="H19" s="588">
        <v>2.9624000000000001</v>
      </c>
      <c r="I19" s="585">
        <v>6.2950999999999997</v>
      </c>
      <c r="J19" s="586">
        <v>2.9294983783249999</v>
      </c>
      <c r="K19" s="589">
        <v>0.46760584790100002</v>
      </c>
    </row>
    <row r="20" spans="1:11" ht="14.4" customHeight="1" thickBot="1" x14ac:dyDescent="0.35">
      <c r="A20" s="606" t="s">
        <v>339</v>
      </c>
      <c r="B20" s="590">
        <v>1335.0239793076801</v>
      </c>
      <c r="C20" s="590">
        <v>1105.127</v>
      </c>
      <c r="D20" s="591">
        <v>-229.89697930767699</v>
      </c>
      <c r="E20" s="598">
        <v>0.82779561800300006</v>
      </c>
      <c r="F20" s="590">
        <v>1109.9245287471199</v>
      </c>
      <c r="G20" s="591">
        <v>277.48113218677997</v>
      </c>
      <c r="H20" s="593">
        <v>63.232999999999997</v>
      </c>
      <c r="I20" s="590">
        <v>217.94900000000001</v>
      </c>
      <c r="J20" s="591">
        <v>-59.532132186779002</v>
      </c>
      <c r="K20" s="597">
        <v>0.19636380164100001</v>
      </c>
    </row>
    <row r="21" spans="1:11" ht="14.4" customHeight="1" thickBot="1" x14ac:dyDescent="0.35">
      <c r="A21" s="607" t="s">
        <v>340</v>
      </c>
      <c r="B21" s="585">
        <v>1185.02128500344</v>
      </c>
      <c r="C21" s="585">
        <v>1007.284</v>
      </c>
      <c r="D21" s="586">
        <v>-177.73728500344399</v>
      </c>
      <c r="E21" s="587">
        <v>0.85001342401799995</v>
      </c>
      <c r="F21" s="585">
        <v>1009.99401563665</v>
      </c>
      <c r="G21" s="586">
        <v>252.49850390916299</v>
      </c>
      <c r="H21" s="588">
        <v>55.621000000000002</v>
      </c>
      <c r="I21" s="585">
        <v>200.577</v>
      </c>
      <c r="J21" s="586">
        <v>-51.921503909161999</v>
      </c>
      <c r="K21" s="589">
        <v>0.19859226579</v>
      </c>
    </row>
    <row r="22" spans="1:11" ht="14.4" customHeight="1" thickBot="1" x14ac:dyDescent="0.35">
      <c r="A22" s="607" t="s">
        <v>341</v>
      </c>
      <c r="B22" s="585">
        <v>150.00269430423299</v>
      </c>
      <c r="C22" s="585">
        <v>97.843000000000004</v>
      </c>
      <c r="D22" s="586">
        <v>-52.159694304233</v>
      </c>
      <c r="E22" s="587">
        <v>0.65227495048499995</v>
      </c>
      <c r="F22" s="585">
        <v>99.930513110468993</v>
      </c>
      <c r="G22" s="586">
        <v>24.982628277617</v>
      </c>
      <c r="H22" s="588">
        <v>7.6120000000000001</v>
      </c>
      <c r="I22" s="585">
        <v>17.372</v>
      </c>
      <c r="J22" s="586">
        <v>-7.6106282776169998</v>
      </c>
      <c r="K22" s="589">
        <v>0.17384079656199999</v>
      </c>
    </row>
    <row r="23" spans="1:11" ht="14.4" customHeight="1" thickBot="1" x14ac:dyDescent="0.35">
      <c r="A23" s="606" t="s">
        <v>342</v>
      </c>
      <c r="B23" s="590">
        <v>14496.1511653384</v>
      </c>
      <c r="C23" s="590">
        <v>12732.17308</v>
      </c>
      <c r="D23" s="591">
        <v>-1763.97808533843</v>
      </c>
      <c r="E23" s="598">
        <v>0.87831403900100002</v>
      </c>
      <c r="F23" s="590">
        <v>12822.266089697599</v>
      </c>
      <c r="G23" s="591">
        <v>3205.5665224244099</v>
      </c>
      <c r="H23" s="593">
        <v>1182.6930199999999</v>
      </c>
      <c r="I23" s="590">
        <v>2918.13258</v>
      </c>
      <c r="J23" s="591">
        <v>-287.43394242440598</v>
      </c>
      <c r="K23" s="597">
        <v>0.227583218097</v>
      </c>
    </row>
    <row r="24" spans="1:11" ht="14.4" customHeight="1" thickBot="1" x14ac:dyDescent="0.35">
      <c r="A24" s="607" t="s">
        <v>343</v>
      </c>
      <c r="B24" s="585">
        <v>4.9406564584124654E-324</v>
      </c>
      <c r="C24" s="585">
        <v>4.9406564584124654E-324</v>
      </c>
      <c r="D24" s="586">
        <v>0</v>
      </c>
      <c r="E24" s="587">
        <v>1</v>
      </c>
      <c r="F24" s="585">
        <v>190</v>
      </c>
      <c r="G24" s="586">
        <v>47.5</v>
      </c>
      <c r="H24" s="588">
        <v>4.9406564584124654E-324</v>
      </c>
      <c r="I24" s="585">
        <v>1.4821969375237396E-323</v>
      </c>
      <c r="J24" s="586">
        <v>-47.5</v>
      </c>
      <c r="K24" s="589">
        <v>0</v>
      </c>
    </row>
    <row r="25" spans="1:11" ht="14.4" customHeight="1" thickBot="1" x14ac:dyDescent="0.35">
      <c r="A25" s="607" t="s">
        <v>344</v>
      </c>
      <c r="B25" s="585">
        <v>10971.7246160094</v>
      </c>
      <c r="C25" s="585">
        <v>9807.9907500000008</v>
      </c>
      <c r="D25" s="586">
        <v>-1163.7338660094099</v>
      </c>
      <c r="E25" s="587">
        <v>0.893933369024</v>
      </c>
      <c r="F25" s="585">
        <v>9461.9957188660701</v>
      </c>
      <c r="G25" s="586">
        <v>2365.4989297165198</v>
      </c>
      <c r="H25" s="588">
        <v>837.77629999999999</v>
      </c>
      <c r="I25" s="585">
        <v>2176.9938900000002</v>
      </c>
      <c r="J25" s="586">
        <v>-188.50503971651401</v>
      </c>
      <c r="K25" s="589">
        <v>0.23007766592600001</v>
      </c>
    </row>
    <row r="26" spans="1:11" ht="14.4" customHeight="1" thickBot="1" x14ac:dyDescent="0.35">
      <c r="A26" s="607" t="s">
        <v>345</v>
      </c>
      <c r="B26" s="585">
        <v>4.9406564584124654E-324</v>
      </c>
      <c r="C26" s="585">
        <v>4.9406564584124654E-324</v>
      </c>
      <c r="D26" s="586">
        <v>0</v>
      </c>
      <c r="E26" s="587">
        <v>1</v>
      </c>
      <c r="F26" s="585">
        <v>278.99989500426102</v>
      </c>
      <c r="G26" s="586">
        <v>69.749973751064999</v>
      </c>
      <c r="H26" s="588">
        <v>43.034579999999998</v>
      </c>
      <c r="I26" s="585">
        <v>107.08707</v>
      </c>
      <c r="J26" s="586">
        <v>37.337096248934003</v>
      </c>
      <c r="K26" s="589">
        <v>0.38382476809999999</v>
      </c>
    </row>
    <row r="27" spans="1:11" ht="14.4" customHeight="1" thickBot="1" x14ac:dyDescent="0.35">
      <c r="A27" s="607" t="s">
        <v>346</v>
      </c>
      <c r="B27" s="585">
        <v>14.624184562593999</v>
      </c>
      <c r="C27" s="585">
        <v>7.3499499999999998</v>
      </c>
      <c r="D27" s="586">
        <v>-7.2742345625939997</v>
      </c>
      <c r="E27" s="587">
        <v>0.50258870629899999</v>
      </c>
      <c r="F27" s="585">
        <v>7.3499422152870002</v>
      </c>
      <c r="G27" s="586">
        <v>1.837485553821</v>
      </c>
      <c r="H27" s="588">
        <v>4.9406564584124654E-324</v>
      </c>
      <c r="I27" s="585">
        <v>1.0151399999999999</v>
      </c>
      <c r="J27" s="586">
        <v>-0.82234555382100005</v>
      </c>
      <c r="K27" s="589">
        <v>0.13811537155799999</v>
      </c>
    </row>
    <row r="28" spans="1:11" ht="14.4" customHeight="1" thickBot="1" x14ac:dyDescent="0.35">
      <c r="A28" s="607" t="s">
        <v>347</v>
      </c>
      <c r="B28" s="585">
        <v>0.94990943338099998</v>
      </c>
      <c r="C28" s="585">
        <v>1.4085000000000001</v>
      </c>
      <c r="D28" s="586">
        <v>0.45859056661800002</v>
      </c>
      <c r="E28" s="587">
        <v>1.482772936558</v>
      </c>
      <c r="F28" s="585">
        <v>1.408589042866</v>
      </c>
      <c r="G28" s="586">
        <v>0.352147260716</v>
      </c>
      <c r="H28" s="588">
        <v>0.47099999999999997</v>
      </c>
      <c r="I28" s="585">
        <v>0.47099999999999997</v>
      </c>
      <c r="J28" s="586">
        <v>0.118852739283</v>
      </c>
      <c r="K28" s="589">
        <v>0.33437715733000001</v>
      </c>
    </row>
    <row r="29" spans="1:11" ht="14.4" customHeight="1" thickBot="1" x14ac:dyDescent="0.35">
      <c r="A29" s="607" t="s">
        <v>348</v>
      </c>
      <c r="B29" s="585">
        <v>932.36092647025202</v>
      </c>
      <c r="C29" s="585">
        <v>1015.71505</v>
      </c>
      <c r="D29" s="586">
        <v>83.354123529747</v>
      </c>
      <c r="E29" s="587">
        <v>1.089401133362</v>
      </c>
      <c r="F29" s="585">
        <v>1013.0248759866</v>
      </c>
      <c r="G29" s="586">
        <v>253.25621899664901</v>
      </c>
      <c r="H29" s="588">
        <v>78.498339999999999</v>
      </c>
      <c r="I29" s="585">
        <v>214.95622</v>
      </c>
      <c r="J29" s="586">
        <v>-38.299998996648</v>
      </c>
      <c r="K29" s="589">
        <v>0.212192439786</v>
      </c>
    </row>
    <row r="30" spans="1:11" ht="14.4" customHeight="1" thickBot="1" x14ac:dyDescent="0.35">
      <c r="A30" s="607" t="s">
        <v>349</v>
      </c>
      <c r="B30" s="585">
        <v>59.745637032982003</v>
      </c>
      <c r="C30" s="585">
        <v>30.596879999999999</v>
      </c>
      <c r="D30" s="586">
        <v>-29.148757032982001</v>
      </c>
      <c r="E30" s="587">
        <v>0.51211906876299995</v>
      </c>
      <c r="F30" s="585">
        <v>0</v>
      </c>
      <c r="G30" s="586">
        <v>0</v>
      </c>
      <c r="H30" s="588">
        <v>4.9406564584124654E-324</v>
      </c>
      <c r="I30" s="585">
        <v>1.4821969375237396E-323</v>
      </c>
      <c r="J30" s="586">
        <v>1.4821969375237396E-323</v>
      </c>
      <c r="K30" s="596" t="s">
        <v>322</v>
      </c>
    </row>
    <row r="31" spans="1:11" ht="14.4" customHeight="1" thickBot="1" x14ac:dyDescent="0.35">
      <c r="A31" s="607" t="s">
        <v>350</v>
      </c>
      <c r="B31" s="585">
        <v>1834.83874716326</v>
      </c>
      <c r="C31" s="585">
        <v>1304.0940800000001</v>
      </c>
      <c r="D31" s="586">
        <v>-530.74466716326003</v>
      </c>
      <c r="E31" s="587">
        <v>0.71074042992300002</v>
      </c>
      <c r="F31" s="585">
        <v>1308.0843896412</v>
      </c>
      <c r="G31" s="586">
        <v>327.02109741029898</v>
      </c>
      <c r="H31" s="588">
        <v>135.83758</v>
      </c>
      <c r="I31" s="585">
        <v>284.84942999999998</v>
      </c>
      <c r="J31" s="586">
        <v>-42.171667410299001</v>
      </c>
      <c r="K31" s="589">
        <v>0.21776074407400001</v>
      </c>
    </row>
    <row r="32" spans="1:11" ht="14.4" customHeight="1" thickBot="1" x14ac:dyDescent="0.35">
      <c r="A32" s="607" t="s">
        <v>351</v>
      </c>
      <c r="B32" s="585">
        <v>90.029296329741001</v>
      </c>
      <c r="C32" s="585">
        <v>77.997159999999994</v>
      </c>
      <c r="D32" s="586">
        <v>-12.032136329741</v>
      </c>
      <c r="E32" s="587">
        <v>0.866353100376</v>
      </c>
      <c r="F32" s="585">
        <v>76.407919022776994</v>
      </c>
      <c r="G32" s="586">
        <v>19.101979755694</v>
      </c>
      <c r="H32" s="588">
        <v>4.2968000000000002</v>
      </c>
      <c r="I32" s="585">
        <v>16.707999999999998</v>
      </c>
      <c r="J32" s="586">
        <v>-2.3939797556940001</v>
      </c>
      <c r="K32" s="589">
        <v>0.21866843402700001</v>
      </c>
    </row>
    <row r="33" spans="1:11" ht="14.4" customHeight="1" thickBot="1" x14ac:dyDescent="0.35">
      <c r="A33" s="607" t="s">
        <v>352</v>
      </c>
      <c r="B33" s="585">
        <v>83.126934239221995</v>
      </c>
      <c r="C33" s="585">
        <v>142.53774000000001</v>
      </c>
      <c r="D33" s="586">
        <v>59.410805760777002</v>
      </c>
      <c r="E33" s="587">
        <v>1.7146998298980001</v>
      </c>
      <c r="F33" s="585">
        <v>139.74681899738101</v>
      </c>
      <c r="G33" s="586">
        <v>34.936704749344997</v>
      </c>
      <c r="H33" s="588">
        <v>22.509360000000001</v>
      </c>
      <c r="I33" s="585">
        <v>27.863600000000002</v>
      </c>
      <c r="J33" s="586">
        <v>-7.0731047493450001</v>
      </c>
      <c r="K33" s="589">
        <v>0.19938629158000001</v>
      </c>
    </row>
    <row r="34" spans="1:11" ht="14.4" customHeight="1" thickBot="1" x14ac:dyDescent="0.35">
      <c r="A34" s="607" t="s">
        <v>353</v>
      </c>
      <c r="B34" s="585">
        <v>81.049030278000998</v>
      </c>
      <c r="C34" s="585">
        <v>13.382999999999999</v>
      </c>
      <c r="D34" s="586">
        <v>-67.666030278001003</v>
      </c>
      <c r="E34" s="587">
        <v>0.165122271717</v>
      </c>
      <c r="F34" s="585">
        <v>14.728492388273001</v>
      </c>
      <c r="G34" s="586">
        <v>3.6821230970680001</v>
      </c>
      <c r="H34" s="588">
        <v>0.72899999999999998</v>
      </c>
      <c r="I34" s="585">
        <v>9.6379999999999999</v>
      </c>
      <c r="J34" s="586">
        <v>5.9558769029310001</v>
      </c>
      <c r="K34" s="589">
        <v>0.65437790548499997</v>
      </c>
    </row>
    <row r="35" spans="1:11" ht="14.4" customHeight="1" thickBot="1" x14ac:dyDescent="0.35">
      <c r="A35" s="607" t="s">
        <v>354</v>
      </c>
      <c r="B35" s="585">
        <v>86.255762001101999</v>
      </c>
      <c r="C35" s="585">
        <v>77.134500000000003</v>
      </c>
      <c r="D35" s="586">
        <v>-9.121262001102</v>
      </c>
      <c r="E35" s="587">
        <v>0.89425330216200005</v>
      </c>
      <c r="F35" s="585">
        <v>78.225990306783999</v>
      </c>
      <c r="G35" s="586">
        <v>19.556497576696</v>
      </c>
      <c r="H35" s="588">
        <v>6.3673999999999999</v>
      </c>
      <c r="I35" s="585">
        <v>16.382899999999999</v>
      </c>
      <c r="J35" s="586">
        <v>-3.1735975766950002</v>
      </c>
      <c r="K35" s="589">
        <v>0.20943039436999999</v>
      </c>
    </row>
    <row r="36" spans="1:11" ht="14.4" customHeight="1" thickBot="1" x14ac:dyDescent="0.35">
      <c r="A36" s="607" t="s">
        <v>355</v>
      </c>
      <c r="B36" s="585">
        <v>36.455799803883998</v>
      </c>
      <c r="C36" s="585">
        <v>34.294040000000003</v>
      </c>
      <c r="D36" s="586">
        <v>-2.1617598038839998</v>
      </c>
      <c r="E36" s="587">
        <v>0.94070189611699995</v>
      </c>
      <c r="F36" s="585">
        <v>34.293878854528998</v>
      </c>
      <c r="G36" s="586">
        <v>8.5734697136320008</v>
      </c>
      <c r="H36" s="588">
        <v>2.6779000000000002</v>
      </c>
      <c r="I36" s="585">
        <v>2.6779000000000002</v>
      </c>
      <c r="J36" s="586">
        <v>-5.8955697136319998</v>
      </c>
      <c r="K36" s="589">
        <v>7.8086821597000006E-2</v>
      </c>
    </row>
    <row r="37" spans="1:11" ht="14.4" customHeight="1" thickBot="1" x14ac:dyDescent="0.35">
      <c r="A37" s="607" t="s">
        <v>356</v>
      </c>
      <c r="B37" s="585">
        <v>226.08540053925799</v>
      </c>
      <c r="C37" s="585">
        <v>219.67142999999999</v>
      </c>
      <c r="D37" s="586">
        <v>-6.413970539258</v>
      </c>
      <c r="E37" s="587">
        <v>0.97163031967500002</v>
      </c>
      <c r="F37" s="585">
        <v>217.999579371621</v>
      </c>
      <c r="G37" s="586">
        <v>54.499894842905</v>
      </c>
      <c r="H37" s="588">
        <v>50.494759999999999</v>
      </c>
      <c r="I37" s="585">
        <v>59.489429999999999</v>
      </c>
      <c r="J37" s="586">
        <v>4.9895351570940001</v>
      </c>
      <c r="K37" s="589">
        <v>0.27288782011099999</v>
      </c>
    </row>
    <row r="38" spans="1:11" ht="14.4" customHeight="1" thickBot="1" x14ac:dyDescent="0.35">
      <c r="A38" s="606" t="s">
        <v>357</v>
      </c>
      <c r="B38" s="590">
        <v>567.03083201674497</v>
      </c>
      <c r="C38" s="590">
        <v>664.51219000000106</v>
      </c>
      <c r="D38" s="591">
        <v>97.481357983256004</v>
      </c>
      <c r="E38" s="598">
        <v>1.1719154452959999</v>
      </c>
      <c r="F38" s="590">
        <v>595.99789803240299</v>
      </c>
      <c r="G38" s="591">
        <v>148.999474508101</v>
      </c>
      <c r="H38" s="593">
        <v>52.522750000000002</v>
      </c>
      <c r="I38" s="590">
        <v>153.59083000000001</v>
      </c>
      <c r="J38" s="591">
        <v>4.5913554918989998</v>
      </c>
      <c r="K38" s="597">
        <v>0.25770364376600002</v>
      </c>
    </row>
    <row r="39" spans="1:11" ht="14.4" customHeight="1" thickBot="1" x14ac:dyDescent="0.35">
      <c r="A39" s="607" t="s">
        <v>358</v>
      </c>
      <c r="B39" s="585">
        <v>494.03335783967998</v>
      </c>
      <c r="C39" s="585">
        <v>599.88383000000101</v>
      </c>
      <c r="D39" s="586">
        <v>105.85047216032</v>
      </c>
      <c r="E39" s="587">
        <v>1.214257742884</v>
      </c>
      <c r="F39" s="585">
        <v>519.99816606853994</v>
      </c>
      <c r="G39" s="586">
        <v>129.99954151713499</v>
      </c>
      <c r="H39" s="588">
        <v>47.501249999999999</v>
      </c>
      <c r="I39" s="585">
        <v>138.12748999999999</v>
      </c>
      <c r="J39" s="586">
        <v>8.1279484828649995</v>
      </c>
      <c r="K39" s="589">
        <v>0.26563072528499998</v>
      </c>
    </row>
    <row r="40" spans="1:11" ht="14.4" customHeight="1" thickBot="1" x14ac:dyDescent="0.35">
      <c r="A40" s="607" t="s">
        <v>359</v>
      </c>
      <c r="B40" s="585">
        <v>72.997474177064007</v>
      </c>
      <c r="C40" s="585">
        <v>61.17501</v>
      </c>
      <c r="D40" s="586">
        <v>-11.822464177064001</v>
      </c>
      <c r="E40" s="587">
        <v>0.83804283216099995</v>
      </c>
      <c r="F40" s="585">
        <v>75.999731963862999</v>
      </c>
      <c r="G40" s="586">
        <v>18.999932990965</v>
      </c>
      <c r="H40" s="588">
        <v>5.0214999999999996</v>
      </c>
      <c r="I40" s="585">
        <v>15.463340000000001</v>
      </c>
      <c r="J40" s="586">
        <v>-3.536592990965</v>
      </c>
      <c r="K40" s="589">
        <v>0.20346571758099999</v>
      </c>
    </row>
    <row r="41" spans="1:11" ht="14.4" customHeight="1" thickBot="1" x14ac:dyDescent="0.35">
      <c r="A41" s="607" t="s">
        <v>360</v>
      </c>
      <c r="B41" s="585">
        <v>0</v>
      </c>
      <c r="C41" s="585">
        <v>3.4533499999999999</v>
      </c>
      <c r="D41" s="586">
        <v>3.4533499999999999</v>
      </c>
      <c r="E41" s="595" t="s">
        <v>322</v>
      </c>
      <c r="F41" s="585">
        <v>0</v>
      </c>
      <c r="G41" s="586">
        <v>0</v>
      </c>
      <c r="H41" s="588">
        <v>4.9406564584124654E-324</v>
      </c>
      <c r="I41" s="585">
        <v>1.4821969375237396E-323</v>
      </c>
      <c r="J41" s="586">
        <v>1.4821969375237396E-323</v>
      </c>
      <c r="K41" s="596" t="s">
        <v>322</v>
      </c>
    </row>
    <row r="42" spans="1:11" ht="14.4" customHeight="1" thickBot="1" x14ac:dyDescent="0.35">
      <c r="A42" s="606" t="s">
        <v>361</v>
      </c>
      <c r="B42" s="590">
        <v>472.98395743921202</v>
      </c>
      <c r="C42" s="590">
        <v>470.50144</v>
      </c>
      <c r="D42" s="591">
        <v>-2.4825174392120002</v>
      </c>
      <c r="E42" s="598">
        <v>0.99475137073800002</v>
      </c>
      <c r="F42" s="590">
        <v>492.18302822225002</v>
      </c>
      <c r="G42" s="591">
        <v>123.04575705556201</v>
      </c>
      <c r="H42" s="593">
        <v>31.230509999999999</v>
      </c>
      <c r="I42" s="590">
        <v>88.875900000000001</v>
      </c>
      <c r="J42" s="591">
        <v>-34.169857055561998</v>
      </c>
      <c r="K42" s="597">
        <v>0.18057489775900001</v>
      </c>
    </row>
    <row r="43" spans="1:11" ht="14.4" customHeight="1" thickBot="1" x14ac:dyDescent="0.35">
      <c r="A43" s="607" t="s">
        <v>362</v>
      </c>
      <c r="B43" s="585">
        <v>95.961261030916006</v>
      </c>
      <c r="C43" s="585">
        <v>24.10454</v>
      </c>
      <c r="D43" s="586">
        <v>-71.856721030916006</v>
      </c>
      <c r="E43" s="587">
        <v>0.251190321396</v>
      </c>
      <c r="F43" s="585">
        <v>27.819174592928</v>
      </c>
      <c r="G43" s="586">
        <v>6.9547936482320001</v>
      </c>
      <c r="H43" s="588">
        <v>-6.4388899999999998</v>
      </c>
      <c r="I43" s="585">
        <v>-3.6438899999999999</v>
      </c>
      <c r="J43" s="586">
        <v>-10.598683648232001</v>
      </c>
      <c r="K43" s="589">
        <v>-0.13098483521900001</v>
      </c>
    </row>
    <row r="44" spans="1:11" ht="14.4" customHeight="1" thickBot="1" x14ac:dyDescent="0.35">
      <c r="A44" s="607" t="s">
        <v>363</v>
      </c>
      <c r="B44" s="585">
        <v>7.4413433595229996</v>
      </c>
      <c r="C44" s="585">
        <v>7.0988100000000003</v>
      </c>
      <c r="D44" s="586">
        <v>-0.34253335952300001</v>
      </c>
      <c r="E44" s="587">
        <v>0.95396888129199997</v>
      </c>
      <c r="F44" s="585">
        <v>7.1453639536129998</v>
      </c>
      <c r="G44" s="586">
        <v>1.7863409884029999</v>
      </c>
      <c r="H44" s="588">
        <v>0.23150999999999999</v>
      </c>
      <c r="I44" s="585">
        <v>1.3276699999999999</v>
      </c>
      <c r="J44" s="586">
        <v>-0.45867098840300002</v>
      </c>
      <c r="K44" s="589">
        <v>0.185808589823</v>
      </c>
    </row>
    <row r="45" spans="1:11" ht="14.4" customHeight="1" thickBot="1" x14ac:dyDescent="0.35">
      <c r="A45" s="607" t="s">
        <v>364</v>
      </c>
      <c r="B45" s="585">
        <v>242.13421542833601</v>
      </c>
      <c r="C45" s="585">
        <v>262.33364</v>
      </c>
      <c r="D45" s="586">
        <v>20.199424571662998</v>
      </c>
      <c r="E45" s="587">
        <v>1.083422429729</v>
      </c>
      <c r="F45" s="585">
        <v>269.84901367248602</v>
      </c>
      <c r="G45" s="586">
        <v>67.462253418120994</v>
      </c>
      <c r="H45" s="588">
        <v>22.23546</v>
      </c>
      <c r="I45" s="585">
        <v>55.756549999999997</v>
      </c>
      <c r="J45" s="586">
        <v>-11.705703418121001</v>
      </c>
      <c r="K45" s="589">
        <v>0.20662128514399999</v>
      </c>
    </row>
    <row r="46" spans="1:11" ht="14.4" customHeight="1" thickBot="1" x14ac:dyDescent="0.35">
      <c r="A46" s="607" t="s">
        <v>365</v>
      </c>
      <c r="B46" s="585">
        <v>74.882507386365006</v>
      </c>
      <c r="C46" s="585">
        <v>68.642870000000002</v>
      </c>
      <c r="D46" s="586">
        <v>-6.2396373863649996</v>
      </c>
      <c r="E46" s="587">
        <v>0.91667429945699996</v>
      </c>
      <c r="F46" s="585">
        <v>75.334862641929007</v>
      </c>
      <c r="G46" s="586">
        <v>18.833715660482</v>
      </c>
      <c r="H46" s="588">
        <v>5.3920599999999999</v>
      </c>
      <c r="I46" s="585">
        <v>10.91348</v>
      </c>
      <c r="J46" s="586">
        <v>-7.9202356604819997</v>
      </c>
      <c r="K46" s="589">
        <v>0.14486626267399999</v>
      </c>
    </row>
    <row r="47" spans="1:11" ht="14.4" customHeight="1" thickBot="1" x14ac:dyDescent="0.35">
      <c r="A47" s="607" t="s">
        <v>366</v>
      </c>
      <c r="B47" s="585">
        <v>5.7189761253020004</v>
      </c>
      <c r="C47" s="585">
        <v>3.98841</v>
      </c>
      <c r="D47" s="586">
        <v>-1.7305661253019999</v>
      </c>
      <c r="E47" s="587">
        <v>0.69739930935399996</v>
      </c>
      <c r="F47" s="585">
        <v>15.99870358225</v>
      </c>
      <c r="G47" s="586">
        <v>3.999675895562</v>
      </c>
      <c r="H47" s="588">
        <v>0.27539999999999998</v>
      </c>
      <c r="I47" s="585">
        <v>0.66254000000000002</v>
      </c>
      <c r="J47" s="586">
        <v>-3.3371358955620001</v>
      </c>
      <c r="K47" s="589">
        <v>4.1412105461E-2</v>
      </c>
    </row>
    <row r="48" spans="1:11" ht="14.4" customHeight="1" thickBot="1" x14ac:dyDescent="0.35">
      <c r="A48" s="607" t="s">
        <v>367</v>
      </c>
      <c r="B48" s="585">
        <v>4.9406564584124654E-324</v>
      </c>
      <c r="C48" s="585">
        <v>5.7000000000000002E-2</v>
      </c>
      <c r="D48" s="586">
        <v>5.7000000000000002E-2</v>
      </c>
      <c r="E48" s="595" t="s">
        <v>328</v>
      </c>
      <c r="F48" s="585">
        <v>9.8982604692000001E-2</v>
      </c>
      <c r="G48" s="586">
        <v>2.4745651173E-2</v>
      </c>
      <c r="H48" s="588">
        <v>4.9406564584124654E-324</v>
      </c>
      <c r="I48" s="585">
        <v>3.9E-2</v>
      </c>
      <c r="J48" s="586">
        <v>1.4254348825999999E-2</v>
      </c>
      <c r="K48" s="589">
        <v>0.39400862526300001</v>
      </c>
    </row>
    <row r="49" spans="1:11" ht="14.4" customHeight="1" thickBot="1" x14ac:dyDescent="0.35">
      <c r="A49" s="607" t="s">
        <v>368</v>
      </c>
      <c r="B49" s="585">
        <v>5.1106103606820001</v>
      </c>
      <c r="C49" s="585">
        <v>9.0624300000000009</v>
      </c>
      <c r="D49" s="586">
        <v>3.9518196393170002</v>
      </c>
      <c r="E49" s="587">
        <v>1.7732578616670001</v>
      </c>
      <c r="F49" s="585">
        <v>5.0588371259190001</v>
      </c>
      <c r="G49" s="586">
        <v>1.264709281479</v>
      </c>
      <c r="H49" s="588">
        <v>0.57352000000000003</v>
      </c>
      <c r="I49" s="585">
        <v>2.2650999999999999</v>
      </c>
      <c r="J49" s="586">
        <v>1.0003907185200001</v>
      </c>
      <c r="K49" s="589">
        <v>0.447751122168</v>
      </c>
    </row>
    <row r="50" spans="1:11" ht="14.4" customHeight="1" thickBot="1" x14ac:dyDescent="0.35">
      <c r="A50" s="607" t="s">
        <v>369</v>
      </c>
      <c r="B50" s="585">
        <v>41.651176416806003</v>
      </c>
      <c r="C50" s="585">
        <v>41.628120000000003</v>
      </c>
      <c r="D50" s="586">
        <v>-2.3056416805999999E-2</v>
      </c>
      <c r="E50" s="587">
        <v>0.99944644020100004</v>
      </c>
      <c r="F50" s="585">
        <v>46.544020819566001</v>
      </c>
      <c r="G50" s="586">
        <v>11.636005204890999</v>
      </c>
      <c r="H50" s="588">
        <v>6.07714</v>
      </c>
      <c r="I50" s="585">
        <v>11.90429</v>
      </c>
      <c r="J50" s="586">
        <v>0.26828479510800002</v>
      </c>
      <c r="K50" s="589">
        <v>0.25576410869499999</v>
      </c>
    </row>
    <row r="51" spans="1:11" ht="14.4" customHeight="1" thickBot="1" x14ac:dyDescent="0.35">
      <c r="A51" s="607" t="s">
        <v>370</v>
      </c>
      <c r="B51" s="585">
        <v>4.9406564584124654E-324</v>
      </c>
      <c r="C51" s="585">
        <v>0.80159999999999998</v>
      </c>
      <c r="D51" s="586">
        <v>0.80159999999999998</v>
      </c>
      <c r="E51" s="595" t="s">
        <v>328</v>
      </c>
      <c r="F51" s="585">
        <v>0</v>
      </c>
      <c r="G51" s="586">
        <v>0</v>
      </c>
      <c r="H51" s="588">
        <v>4.9406564584124654E-324</v>
      </c>
      <c r="I51" s="585">
        <v>1.4821969375237396E-323</v>
      </c>
      <c r="J51" s="586">
        <v>1.4821969375237396E-323</v>
      </c>
      <c r="K51" s="596" t="s">
        <v>322</v>
      </c>
    </row>
    <row r="52" spans="1:11" ht="14.4" customHeight="1" thickBot="1" x14ac:dyDescent="0.35">
      <c r="A52" s="607" t="s">
        <v>371</v>
      </c>
      <c r="B52" s="585">
        <v>4.9406564584124654E-324</v>
      </c>
      <c r="C52" s="585">
        <v>0.23830000000000001</v>
      </c>
      <c r="D52" s="586">
        <v>0.23830000000000001</v>
      </c>
      <c r="E52" s="595" t="s">
        <v>328</v>
      </c>
      <c r="F52" s="585">
        <v>0</v>
      </c>
      <c r="G52" s="586">
        <v>0</v>
      </c>
      <c r="H52" s="588">
        <v>4.9406564584124654E-324</v>
      </c>
      <c r="I52" s="585">
        <v>1.4821969375237396E-323</v>
      </c>
      <c r="J52" s="586">
        <v>1.4821969375237396E-323</v>
      </c>
      <c r="K52" s="596" t="s">
        <v>322</v>
      </c>
    </row>
    <row r="53" spans="1:11" ht="14.4" customHeight="1" thickBot="1" x14ac:dyDescent="0.35">
      <c r="A53" s="607" t="s">
        <v>372</v>
      </c>
      <c r="B53" s="585">
        <v>4.9406564584124654E-324</v>
      </c>
      <c r="C53" s="585">
        <v>52.545720000000003</v>
      </c>
      <c r="D53" s="586">
        <v>52.545720000000003</v>
      </c>
      <c r="E53" s="595" t="s">
        <v>328</v>
      </c>
      <c r="F53" s="585">
        <v>44.334069228860997</v>
      </c>
      <c r="G53" s="586">
        <v>11.083517307215001</v>
      </c>
      <c r="H53" s="588">
        <v>2.8843100000000002</v>
      </c>
      <c r="I53" s="585">
        <v>9.6511600000000008</v>
      </c>
      <c r="J53" s="586">
        <v>-1.432357307215</v>
      </c>
      <c r="K53" s="589">
        <v>0.21769172484800001</v>
      </c>
    </row>
    <row r="54" spans="1:11" ht="14.4" customHeight="1" thickBot="1" x14ac:dyDescent="0.35">
      <c r="A54" s="606" t="s">
        <v>373</v>
      </c>
      <c r="B54" s="590">
        <v>67.667687554615995</v>
      </c>
      <c r="C54" s="590">
        <v>19.607900000000001</v>
      </c>
      <c r="D54" s="591">
        <v>-48.059787554616001</v>
      </c>
      <c r="E54" s="598">
        <v>0.289767549455</v>
      </c>
      <c r="F54" s="590">
        <v>13.879919137276</v>
      </c>
      <c r="G54" s="591">
        <v>3.4699797843189999</v>
      </c>
      <c r="H54" s="593">
        <v>6.0252999999999997</v>
      </c>
      <c r="I54" s="590">
        <v>11.103859999999999</v>
      </c>
      <c r="J54" s="591">
        <v>7.6338802156799996</v>
      </c>
      <c r="K54" s="597">
        <v>0.79999457418800002</v>
      </c>
    </row>
    <row r="55" spans="1:11" ht="14.4" customHeight="1" thickBot="1" x14ac:dyDescent="0.35">
      <c r="A55" s="607" t="s">
        <v>374</v>
      </c>
      <c r="B55" s="585">
        <v>2.9991813749170002</v>
      </c>
      <c r="C55" s="585">
        <v>0.10056</v>
      </c>
      <c r="D55" s="586">
        <v>-2.898621374917</v>
      </c>
      <c r="E55" s="587">
        <v>3.3529149267E-2</v>
      </c>
      <c r="F55" s="585">
        <v>0.15892610457600001</v>
      </c>
      <c r="G55" s="586">
        <v>3.9731526144000003E-2</v>
      </c>
      <c r="H55" s="588">
        <v>4.9406564584124654E-324</v>
      </c>
      <c r="I55" s="585">
        <v>1.4821969375237396E-323</v>
      </c>
      <c r="J55" s="586">
        <v>-3.9731526144000003E-2</v>
      </c>
      <c r="K55" s="589">
        <v>9.3872472709836843E-323</v>
      </c>
    </row>
    <row r="56" spans="1:11" ht="14.4" customHeight="1" thickBot="1" x14ac:dyDescent="0.35">
      <c r="A56" s="607" t="s">
        <v>375</v>
      </c>
      <c r="B56" s="585">
        <v>1.314944717181</v>
      </c>
      <c r="C56" s="585">
        <v>0.78300000000000003</v>
      </c>
      <c r="D56" s="586">
        <v>-0.531944717181</v>
      </c>
      <c r="E56" s="587">
        <v>0.59546229569099995</v>
      </c>
      <c r="F56" s="585">
        <v>0.63427071605700003</v>
      </c>
      <c r="G56" s="586">
        <v>0.15856767901400001</v>
      </c>
      <c r="H56" s="588">
        <v>4.9406564584124654E-324</v>
      </c>
      <c r="I56" s="585">
        <v>1.4821969375237396E-323</v>
      </c>
      <c r="J56" s="586">
        <v>-0.15856767901400001</v>
      </c>
      <c r="K56" s="589">
        <v>2.4703282292062327E-323</v>
      </c>
    </row>
    <row r="57" spans="1:11" ht="14.4" customHeight="1" thickBot="1" x14ac:dyDescent="0.35">
      <c r="A57" s="607" t="s">
        <v>376</v>
      </c>
      <c r="B57" s="585">
        <v>58.077237367956002</v>
      </c>
      <c r="C57" s="585">
        <v>11.888999999999999</v>
      </c>
      <c r="D57" s="586">
        <v>-46.188237367955999</v>
      </c>
      <c r="E57" s="587">
        <v>0.204710150461</v>
      </c>
      <c r="F57" s="585">
        <v>7.925112872273</v>
      </c>
      <c r="G57" s="586">
        <v>1.981278218068</v>
      </c>
      <c r="H57" s="588">
        <v>4.7775999999999996</v>
      </c>
      <c r="I57" s="585">
        <v>8.6983999999999995</v>
      </c>
      <c r="J57" s="586">
        <v>6.7171217819309996</v>
      </c>
      <c r="K57" s="589">
        <v>1.097574273097</v>
      </c>
    </row>
    <row r="58" spans="1:11" ht="14.4" customHeight="1" thickBot="1" x14ac:dyDescent="0.35">
      <c r="A58" s="607" t="s">
        <v>377</v>
      </c>
      <c r="B58" s="585">
        <v>4.9406564584124654E-324</v>
      </c>
      <c r="C58" s="585">
        <v>2.5169999999999999</v>
      </c>
      <c r="D58" s="586">
        <v>2.5169999999999999</v>
      </c>
      <c r="E58" s="595" t="s">
        <v>328</v>
      </c>
      <c r="F58" s="585">
        <v>0</v>
      </c>
      <c r="G58" s="586">
        <v>0</v>
      </c>
      <c r="H58" s="588">
        <v>0.82279999999999998</v>
      </c>
      <c r="I58" s="585">
        <v>0.82279999999999998</v>
      </c>
      <c r="J58" s="586">
        <v>0.82279999999999998</v>
      </c>
      <c r="K58" s="596" t="s">
        <v>322</v>
      </c>
    </row>
    <row r="59" spans="1:11" ht="14.4" customHeight="1" thickBot="1" x14ac:dyDescent="0.35">
      <c r="A59" s="607" t="s">
        <v>378</v>
      </c>
      <c r="B59" s="585">
        <v>5.2763240945619998</v>
      </c>
      <c r="C59" s="585">
        <v>4.3183400000000001</v>
      </c>
      <c r="D59" s="586">
        <v>-0.95798409456199995</v>
      </c>
      <c r="E59" s="587">
        <v>0.81843721549399995</v>
      </c>
      <c r="F59" s="585">
        <v>5.1616094443679996</v>
      </c>
      <c r="G59" s="586">
        <v>1.2904023610919999</v>
      </c>
      <c r="H59" s="588">
        <v>0.4249</v>
      </c>
      <c r="I59" s="585">
        <v>1.58266</v>
      </c>
      <c r="J59" s="586">
        <v>0.29225763890700002</v>
      </c>
      <c r="K59" s="589">
        <v>0.306621416644</v>
      </c>
    </row>
    <row r="60" spans="1:11" ht="14.4" customHeight="1" thickBot="1" x14ac:dyDescent="0.35">
      <c r="A60" s="606" t="s">
        <v>379</v>
      </c>
      <c r="B60" s="590">
        <v>131.69804621159599</v>
      </c>
      <c r="C60" s="590">
        <v>106.69410999999999</v>
      </c>
      <c r="D60" s="591">
        <v>-25.003936211595999</v>
      </c>
      <c r="E60" s="598">
        <v>0.81014193504800003</v>
      </c>
      <c r="F60" s="590">
        <v>98.066734764765997</v>
      </c>
      <c r="G60" s="591">
        <v>24.516683691191002</v>
      </c>
      <c r="H60" s="593">
        <v>5.0428800000000003</v>
      </c>
      <c r="I60" s="590">
        <v>21.413060000000002</v>
      </c>
      <c r="J60" s="591">
        <v>-3.1036236911909998</v>
      </c>
      <c r="K60" s="597">
        <v>0.21835192179400001</v>
      </c>
    </row>
    <row r="61" spans="1:11" ht="14.4" customHeight="1" thickBot="1" x14ac:dyDescent="0.35">
      <c r="A61" s="607" t="s">
        <v>380</v>
      </c>
      <c r="B61" s="585">
        <v>22.462470874594</v>
      </c>
      <c r="C61" s="585">
        <v>31.385149999999999</v>
      </c>
      <c r="D61" s="586">
        <v>8.9226791254050006</v>
      </c>
      <c r="E61" s="587">
        <v>1.3972260743360001</v>
      </c>
      <c r="F61" s="585">
        <v>28.074970592311999</v>
      </c>
      <c r="G61" s="586">
        <v>7.0187426480779997</v>
      </c>
      <c r="H61" s="588">
        <v>0.46342</v>
      </c>
      <c r="I61" s="585">
        <v>3.5245799999999998</v>
      </c>
      <c r="J61" s="586">
        <v>-3.4941626480779999</v>
      </c>
      <c r="K61" s="589">
        <v>0.12554171654099999</v>
      </c>
    </row>
    <row r="62" spans="1:11" ht="14.4" customHeight="1" thickBot="1" x14ac:dyDescent="0.35">
      <c r="A62" s="607" t="s">
        <v>381</v>
      </c>
      <c r="B62" s="585">
        <v>3.884005522317</v>
      </c>
      <c r="C62" s="585">
        <v>5.284109999999</v>
      </c>
      <c r="D62" s="586">
        <v>1.400104477682</v>
      </c>
      <c r="E62" s="587">
        <v>1.3604795280640001</v>
      </c>
      <c r="F62" s="585">
        <v>0</v>
      </c>
      <c r="G62" s="586">
        <v>0</v>
      </c>
      <c r="H62" s="588">
        <v>2.8163800000000001</v>
      </c>
      <c r="I62" s="585">
        <v>2.9867499999999998</v>
      </c>
      <c r="J62" s="586">
        <v>2.9867499999999998</v>
      </c>
      <c r="K62" s="596" t="s">
        <v>322</v>
      </c>
    </row>
    <row r="63" spans="1:11" ht="14.4" customHeight="1" thickBot="1" x14ac:dyDescent="0.35">
      <c r="A63" s="607" t="s">
        <v>382</v>
      </c>
      <c r="B63" s="585">
        <v>105.351569814684</v>
      </c>
      <c r="C63" s="585">
        <v>70.024850000000001</v>
      </c>
      <c r="D63" s="586">
        <v>-35.326719814683997</v>
      </c>
      <c r="E63" s="587">
        <v>0.66467780331199999</v>
      </c>
      <c r="F63" s="585">
        <v>0</v>
      </c>
      <c r="G63" s="586">
        <v>0</v>
      </c>
      <c r="H63" s="588">
        <v>4.9406564584124654E-324</v>
      </c>
      <c r="I63" s="585">
        <v>1.4821969375237396E-323</v>
      </c>
      <c r="J63" s="586">
        <v>1.4821969375237396E-323</v>
      </c>
      <c r="K63" s="596" t="s">
        <v>322</v>
      </c>
    </row>
    <row r="64" spans="1:11" ht="14.4" customHeight="1" thickBot="1" x14ac:dyDescent="0.35">
      <c r="A64" s="607" t="s">
        <v>383</v>
      </c>
      <c r="B64" s="585">
        <v>4.9406564584124654E-324</v>
      </c>
      <c r="C64" s="585">
        <v>4.9406564584124654E-324</v>
      </c>
      <c r="D64" s="586">
        <v>0</v>
      </c>
      <c r="E64" s="587">
        <v>1</v>
      </c>
      <c r="F64" s="585">
        <v>4.0003847762289997</v>
      </c>
      <c r="G64" s="586">
        <v>1.0000961940569999</v>
      </c>
      <c r="H64" s="588">
        <v>0.11978999999999999</v>
      </c>
      <c r="I64" s="585">
        <v>1.0423100000000001</v>
      </c>
      <c r="J64" s="586">
        <v>4.2213805941999999E-2</v>
      </c>
      <c r="K64" s="589">
        <v>0.26055243640300002</v>
      </c>
    </row>
    <row r="65" spans="1:11" ht="14.4" customHeight="1" thickBot="1" x14ac:dyDescent="0.35">
      <c r="A65" s="607" t="s">
        <v>384</v>
      </c>
      <c r="B65" s="585">
        <v>4.9406564584124654E-324</v>
      </c>
      <c r="C65" s="585">
        <v>4.9406564584124654E-324</v>
      </c>
      <c r="D65" s="586">
        <v>0</v>
      </c>
      <c r="E65" s="587">
        <v>1</v>
      </c>
      <c r="F65" s="585">
        <v>2.9999417476089998</v>
      </c>
      <c r="G65" s="586">
        <v>0.74998543690200004</v>
      </c>
      <c r="H65" s="588">
        <v>0.34425</v>
      </c>
      <c r="I65" s="585">
        <v>0.34425</v>
      </c>
      <c r="J65" s="586">
        <v>-0.40573543690199998</v>
      </c>
      <c r="K65" s="589">
        <v>0.114752228197</v>
      </c>
    </row>
    <row r="66" spans="1:11" ht="14.4" customHeight="1" thickBot="1" x14ac:dyDescent="0.35">
      <c r="A66" s="607" t="s">
        <v>385</v>
      </c>
      <c r="B66" s="585">
        <v>4.9406564584124654E-324</v>
      </c>
      <c r="C66" s="585">
        <v>4.9406564584124654E-324</v>
      </c>
      <c r="D66" s="586">
        <v>0</v>
      </c>
      <c r="E66" s="587">
        <v>1</v>
      </c>
      <c r="F66" s="585">
        <v>62.991437648614003</v>
      </c>
      <c r="G66" s="586">
        <v>15.747859412153</v>
      </c>
      <c r="H66" s="588">
        <v>1.29904</v>
      </c>
      <c r="I66" s="585">
        <v>13.515169999999999</v>
      </c>
      <c r="J66" s="586">
        <v>-2.2326894121529999</v>
      </c>
      <c r="K66" s="589">
        <v>0.21455566827</v>
      </c>
    </row>
    <row r="67" spans="1:11" ht="14.4" customHeight="1" thickBot="1" x14ac:dyDescent="0.35">
      <c r="A67" s="606" t="s">
        <v>386</v>
      </c>
      <c r="B67" s="590">
        <v>0</v>
      </c>
      <c r="C67" s="590">
        <v>15.839</v>
      </c>
      <c r="D67" s="591">
        <v>15.839</v>
      </c>
      <c r="E67" s="592" t="s">
        <v>322</v>
      </c>
      <c r="F67" s="590">
        <v>0</v>
      </c>
      <c r="G67" s="591">
        <v>0</v>
      </c>
      <c r="H67" s="593">
        <v>4.9406564584124654E-324</v>
      </c>
      <c r="I67" s="590">
        <v>2.42</v>
      </c>
      <c r="J67" s="591">
        <v>2.42</v>
      </c>
      <c r="K67" s="594" t="s">
        <v>322</v>
      </c>
    </row>
    <row r="68" spans="1:11" ht="14.4" customHeight="1" thickBot="1" x14ac:dyDescent="0.35">
      <c r="A68" s="607" t="s">
        <v>387</v>
      </c>
      <c r="B68" s="585">
        <v>4.9406564584124654E-324</v>
      </c>
      <c r="C68" s="585">
        <v>4.9406564584124654E-324</v>
      </c>
      <c r="D68" s="586">
        <v>0</v>
      </c>
      <c r="E68" s="587">
        <v>1</v>
      </c>
      <c r="F68" s="585">
        <v>4.9406564584124654E-324</v>
      </c>
      <c r="G68" s="586">
        <v>0</v>
      </c>
      <c r="H68" s="588">
        <v>4.9406564584124654E-324</v>
      </c>
      <c r="I68" s="585">
        <v>2.42</v>
      </c>
      <c r="J68" s="586">
        <v>2.42</v>
      </c>
      <c r="K68" s="596" t="s">
        <v>328</v>
      </c>
    </row>
    <row r="69" spans="1:11" ht="14.4" customHeight="1" thickBot="1" x14ac:dyDescent="0.35">
      <c r="A69" s="607" t="s">
        <v>388</v>
      </c>
      <c r="B69" s="585">
        <v>0</v>
      </c>
      <c r="C69" s="585">
        <v>15.839</v>
      </c>
      <c r="D69" s="586">
        <v>15.839</v>
      </c>
      <c r="E69" s="595" t="s">
        <v>322</v>
      </c>
      <c r="F69" s="585">
        <v>0</v>
      </c>
      <c r="G69" s="586">
        <v>0</v>
      </c>
      <c r="H69" s="588">
        <v>4.9406564584124654E-324</v>
      </c>
      <c r="I69" s="585">
        <v>1.4821969375237396E-323</v>
      </c>
      <c r="J69" s="586">
        <v>1.4821969375237396E-323</v>
      </c>
      <c r="K69" s="596" t="s">
        <v>322</v>
      </c>
    </row>
    <row r="70" spans="1:11" ht="14.4" customHeight="1" thickBot="1" x14ac:dyDescent="0.35">
      <c r="A70" s="605" t="s">
        <v>42</v>
      </c>
      <c r="B70" s="585">
        <v>1307.6326182023199</v>
      </c>
      <c r="C70" s="585">
        <v>1286.502</v>
      </c>
      <c r="D70" s="586">
        <v>-21.130618202316001</v>
      </c>
      <c r="E70" s="587">
        <v>0.98384055436600004</v>
      </c>
      <c r="F70" s="585">
        <v>1291.7360622456899</v>
      </c>
      <c r="G70" s="586">
        <v>322.934015561423</v>
      </c>
      <c r="H70" s="588">
        <v>102.71299999999999</v>
      </c>
      <c r="I70" s="585">
        <v>344.49800000000101</v>
      </c>
      <c r="J70" s="586">
        <v>21.563984438576998</v>
      </c>
      <c r="K70" s="589">
        <v>0.26669380074499999</v>
      </c>
    </row>
    <row r="71" spans="1:11" ht="14.4" customHeight="1" thickBot="1" x14ac:dyDescent="0.35">
      <c r="A71" s="606" t="s">
        <v>389</v>
      </c>
      <c r="B71" s="590">
        <v>1307.6326182023199</v>
      </c>
      <c r="C71" s="590">
        <v>1286.502</v>
      </c>
      <c r="D71" s="591">
        <v>-21.130618202316001</v>
      </c>
      <c r="E71" s="598">
        <v>0.98384055436600004</v>
      </c>
      <c r="F71" s="590">
        <v>1291.7360622456899</v>
      </c>
      <c r="G71" s="591">
        <v>322.934015561423</v>
      </c>
      <c r="H71" s="593">
        <v>102.71299999999999</v>
      </c>
      <c r="I71" s="590">
        <v>344.49800000000101</v>
      </c>
      <c r="J71" s="591">
        <v>21.563984438576998</v>
      </c>
      <c r="K71" s="597">
        <v>0.26669380074499999</v>
      </c>
    </row>
    <row r="72" spans="1:11" ht="14.4" customHeight="1" thickBot="1" x14ac:dyDescent="0.35">
      <c r="A72" s="607" t="s">
        <v>390</v>
      </c>
      <c r="B72" s="585">
        <v>640.58678086255804</v>
      </c>
      <c r="C72" s="585">
        <v>647.68499999999995</v>
      </c>
      <c r="D72" s="586">
        <v>7.0982191374420003</v>
      </c>
      <c r="E72" s="587">
        <v>1.011080808017</v>
      </c>
      <c r="F72" s="585">
        <v>642.84433926900499</v>
      </c>
      <c r="G72" s="586">
        <v>160.71108481725099</v>
      </c>
      <c r="H72" s="588">
        <v>44.12</v>
      </c>
      <c r="I72" s="585">
        <v>132.49</v>
      </c>
      <c r="J72" s="586">
        <v>-28.221084817251</v>
      </c>
      <c r="K72" s="589">
        <v>0.20609966037899999</v>
      </c>
    </row>
    <row r="73" spans="1:11" ht="14.4" customHeight="1" thickBot="1" x14ac:dyDescent="0.35">
      <c r="A73" s="607" t="s">
        <v>391</v>
      </c>
      <c r="B73" s="585">
        <v>155.00666189147299</v>
      </c>
      <c r="C73" s="585">
        <v>151.75800000000001</v>
      </c>
      <c r="D73" s="586">
        <v>-3.248661891472</v>
      </c>
      <c r="E73" s="587">
        <v>0.97904179180499995</v>
      </c>
      <c r="F73" s="585">
        <v>155.02290552238699</v>
      </c>
      <c r="G73" s="586">
        <v>38.755726380596002</v>
      </c>
      <c r="H73" s="588">
        <v>10.194000000000001</v>
      </c>
      <c r="I73" s="585">
        <v>36.813000000000002</v>
      </c>
      <c r="J73" s="586">
        <v>-1.942726380596</v>
      </c>
      <c r="K73" s="589">
        <v>0.23746813334399999</v>
      </c>
    </row>
    <row r="74" spans="1:11" ht="14.4" customHeight="1" thickBot="1" x14ac:dyDescent="0.35">
      <c r="A74" s="607" t="s">
        <v>392</v>
      </c>
      <c r="B74" s="585">
        <v>512.03917544828698</v>
      </c>
      <c r="C74" s="585">
        <v>487.05900000000003</v>
      </c>
      <c r="D74" s="586">
        <v>-24.980175448286001</v>
      </c>
      <c r="E74" s="587">
        <v>0.951214327641</v>
      </c>
      <c r="F74" s="585">
        <v>493.86881745430099</v>
      </c>
      <c r="G74" s="586">
        <v>123.46720436357499</v>
      </c>
      <c r="H74" s="588">
        <v>48.399000000000001</v>
      </c>
      <c r="I74" s="585">
        <v>175.19499999999999</v>
      </c>
      <c r="J74" s="586">
        <v>51.727795636425</v>
      </c>
      <c r="K74" s="589">
        <v>0.354739950789</v>
      </c>
    </row>
    <row r="75" spans="1:11" ht="14.4" customHeight="1" thickBot="1" x14ac:dyDescent="0.35">
      <c r="A75" s="608" t="s">
        <v>393</v>
      </c>
      <c r="B75" s="590">
        <v>1315.95309389061</v>
      </c>
      <c r="C75" s="590">
        <v>1273.92939</v>
      </c>
      <c r="D75" s="591">
        <v>-42.023703890613</v>
      </c>
      <c r="E75" s="598">
        <v>0.96806595608400003</v>
      </c>
      <c r="F75" s="590">
        <v>1383.99887916125</v>
      </c>
      <c r="G75" s="591">
        <v>345.99971979031199</v>
      </c>
      <c r="H75" s="593">
        <v>107.89921</v>
      </c>
      <c r="I75" s="590">
        <v>233.51822999999999</v>
      </c>
      <c r="J75" s="591">
        <v>-112.481489790311</v>
      </c>
      <c r="K75" s="597">
        <v>0.168727181442</v>
      </c>
    </row>
    <row r="76" spans="1:11" ht="14.4" customHeight="1" thickBot="1" x14ac:dyDescent="0.35">
      <c r="A76" s="605" t="s">
        <v>45</v>
      </c>
      <c r="B76" s="585">
        <v>202.935504853672</v>
      </c>
      <c r="C76" s="585">
        <v>171.55519000000001</v>
      </c>
      <c r="D76" s="586">
        <v>-31.380314853672001</v>
      </c>
      <c r="E76" s="587">
        <v>0.84536804007599997</v>
      </c>
      <c r="F76" s="585">
        <v>290.771883358217</v>
      </c>
      <c r="G76" s="586">
        <v>72.692970839553993</v>
      </c>
      <c r="H76" s="588">
        <v>8.7984100000000005</v>
      </c>
      <c r="I76" s="585">
        <v>21.6614</v>
      </c>
      <c r="J76" s="586">
        <v>-51.031570839554</v>
      </c>
      <c r="K76" s="589">
        <v>7.4496198703000005E-2</v>
      </c>
    </row>
    <row r="77" spans="1:11" ht="14.4" customHeight="1" thickBot="1" x14ac:dyDescent="0.35">
      <c r="A77" s="609" t="s">
        <v>394</v>
      </c>
      <c r="B77" s="585">
        <v>202.935504853672</v>
      </c>
      <c r="C77" s="585">
        <v>171.55519000000001</v>
      </c>
      <c r="D77" s="586">
        <v>-31.380314853672001</v>
      </c>
      <c r="E77" s="587">
        <v>0.84536804007599997</v>
      </c>
      <c r="F77" s="585">
        <v>290.771883358217</v>
      </c>
      <c r="G77" s="586">
        <v>72.692970839553993</v>
      </c>
      <c r="H77" s="588">
        <v>8.7984100000000005</v>
      </c>
      <c r="I77" s="585">
        <v>21.6614</v>
      </c>
      <c r="J77" s="586">
        <v>-51.031570839554</v>
      </c>
      <c r="K77" s="589">
        <v>7.4496198703000005E-2</v>
      </c>
    </row>
    <row r="78" spans="1:11" ht="14.4" customHeight="1" thickBot="1" x14ac:dyDescent="0.35">
      <c r="A78" s="607" t="s">
        <v>395</v>
      </c>
      <c r="B78" s="585">
        <v>94.919624188512003</v>
      </c>
      <c r="C78" s="585">
        <v>105.75405000000001</v>
      </c>
      <c r="D78" s="586">
        <v>10.834425811488</v>
      </c>
      <c r="E78" s="587">
        <v>1.1141431595839999</v>
      </c>
      <c r="F78" s="585">
        <v>97.520025047903005</v>
      </c>
      <c r="G78" s="586">
        <v>24.380006261975002</v>
      </c>
      <c r="H78" s="588">
        <v>4.9406564584124654E-324</v>
      </c>
      <c r="I78" s="585">
        <v>4.1665999999999999</v>
      </c>
      <c r="J78" s="586">
        <v>-20.213406261974999</v>
      </c>
      <c r="K78" s="589">
        <v>4.2725583774999999E-2</v>
      </c>
    </row>
    <row r="79" spans="1:11" ht="14.4" customHeight="1" thickBot="1" x14ac:dyDescent="0.35">
      <c r="A79" s="607" t="s">
        <v>396</v>
      </c>
      <c r="B79" s="585">
        <v>4.9406564584124654E-324</v>
      </c>
      <c r="C79" s="585">
        <v>0.64700000000000002</v>
      </c>
      <c r="D79" s="586">
        <v>0.64700000000000002</v>
      </c>
      <c r="E79" s="595" t="s">
        <v>328</v>
      </c>
      <c r="F79" s="585">
        <v>0</v>
      </c>
      <c r="G79" s="586">
        <v>0</v>
      </c>
      <c r="H79" s="588">
        <v>2.1179999999999999</v>
      </c>
      <c r="I79" s="585">
        <v>2.1179999999999999</v>
      </c>
      <c r="J79" s="586">
        <v>2.1179999999999999</v>
      </c>
      <c r="K79" s="596" t="s">
        <v>322</v>
      </c>
    </row>
    <row r="80" spans="1:11" ht="14.4" customHeight="1" thickBot="1" x14ac:dyDescent="0.35">
      <c r="A80" s="607" t="s">
        <v>397</v>
      </c>
      <c r="B80" s="585">
        <v>29.645110047071</v>
      </c>
      <c r="C80" s="585">
        <v>21.25254</v>
      </c>
      <c r="D80" s="586">
        <v>-8.3925700470710005</v>
      </c>
      <c r="E80" s="587">
        <v>0.71689867118899997</v>
      </c>
      <c r="F80" s="585">
        <v>27.634568518234001</v>
      </c>
      <c r="G80" s="586">
        <v>6.9086421295580003</v>
      </c>
      <c r="H80" s="588">
        <v>4.9406564584124654E-324</v>
      </c>
      <c r="I80" s="585">
        <v>2.5888499999999999</v>
      </c>
      <c r="J80" s="586">
        <v>-4.3197921295580004</v>
      </c>
      <c r="K80" s="589">
        <v>9.3681578501000007E-2</v>
      </c>
    </row>
    <row r="81" spans="1:11" ht="14.4" customHeight="1" thickBot="1" x14ac:dyDescent="0.35">
      <c r="A81" s="607" t="s">
        <v>398</v>
      </c>
      <c r="B81" s="585">
        <v>42.373425963183003</v>
      </c>
      <c r="C81" s="585">
        <v>19.608750000000001</v>
      </c>
      <c r="D81" s="586">
        <v>-22.764675963182999</v>
      </c>
      <c r="E81" s="587">
        <v>0.462760552263</v>
      </c>
      <c r="F81" s="585">
        <v>143.99975688430601</v>
      </c>
      <c r="G81" s="586">
        <v>35.999939221075998</v>
      </c>
      <c r="H81" s="588">
        <v>4.9406564584124654E-324</v>
      </c>
      <c r="I81" s="585">
        <v>1.4821969375237396E-323</v>
      </c>
      <c r="J81" s="586">
        <v>-35.999939221075998</v>
      </c>
      <c r="K81" s="589">
        <v>0</v>
      </c>
    </row>
    <row r="82" spans="1:11" ht="14.4" customHeight="1" thickBot="1" x14ac:dyDescent="0.35">
      <c r="A82" s="607" t="s">
        <v>399</v>
      </c>
      <c r="B82" s="585">
        <v>35.997344654905</v>
      </c>
      <c r="C82" s="585">
        <v>20.510349999999999</v>
      </c>
      <c r="D82" s="586">
        <v>-15.486994654905001</v>
      </c>
      <c r="E82" s="587">
        <v>0.569773970736</v>
      </c>
      <c r="F82" s="585">
        <v>21.617532907771999</v>
      </c>
      <c r="G82" s="586">
        <v>5.4043832269429997</v>
      </c>
      <c r="H82" s="588">
        <v>6.6804100000000002</v>
      </c>
      <c r="I82" s="585">
        <v>12.78795</v>
      </c>
      <c r="J82" s="586">
        <v>7.3835667730559997</v>
      </c>
      <c r="K82" s="589">
        <v>0.591554552249</v>
      </c>
    </row>
    <row r="83" spans="1:11" ht="14.4" customHeight="1" thickBot="1" x14ac:dyDescent="0.35">
      <c r="A83" s="607" t="s">
        <v>400</v>
      </c>
      <c r="B83" s="585">
        <v>4.9406564584124654E-324</v>
      </c>
      <c r="C83" s="585">
        <v>3.7825000000000002</v>
      </c>
      <c r="D83" s="586">
        <v>3.7825000000000002</v>
      </c>
      <c r="E83" s="595" t="s">
        <v>328</v>
      </c>
      <c r="F83" s="585">
        <v>0</v>
      </c>
      <c r="G83" s="586">
        <v>0</v>
      </c>
      <c r="H83" s="588">
        <v>4.9406564584124654E-324</v>
      </c>
      <c r="I83" s="585">
        <v>1.4821969375237396E-323</v>
      </c>
      <c r="J83" s="586">
        <v>1.4821969375237396E-323</v>
      </c>
      <c r="K83" s="596" t="s">
        <v>322</v>
      </c>
    </row>
    <row r="84" spans="1:11" ht="14.4" customHeight="1" thickBot="1" x14ac:dyDescent="0.35">
      <c r="A84" s="610" t="s">
        <v>46</v>
      </c>
      <c r="B84" s="590">
        <v>0</v>
      </c>
      <c r="C84" s="590">
        <v>22.771000000000001</v>
      </c>
      <c r="D84" s="591">
        <v>22.771000000000001</v>
      </c>
      <c r="E84" s="592" t="s">
        <v>322</v>
      </c>
      <c r="F84" s="590">
        <v>0</v>
      </c>
      <c r="G84" s="591">
        <v>0</v>
      </c>
      <c r="H84" s="593">
        <v>3.64</v>
      </c>
      <c r="I84" s="590">
        <v>8.3439999999999994</v>
      </c>
      <c r="J84" s="591">
        <v>8.3439999999999994</v>
      </c>
      <c r="K84" s="594" t="s">
        <v>322</v>
      </c>
    </row>
    <row r="85" spans="1:11" ht="14.4" customHeight="1" thickBot="1" x14ac:dyDescent="0.35">
      <c r="A85" s="606" t="s">
        <v>401</v>
      </c>
      <c r="B85" s="590">
        <v>0</v>
      </c>
      <c r="C85" s="590">
        <v>22.771000000000001</v>
      </c>
      <c r="D85" s="591">
        <v>22.771000000000001</v>
      </c>
      <c r="E85" s="592" t="s">
        <v>322</v>
      </c>
      <c r="F85" s="590">
        <v>0</v>
      </c>
      <c r="G85" s="591">
        <v>0</v>
      </c>
      <c r="H85" s="593">
        <v>3.64</v>
      </c>
      <c r="I85" s="590">
        <v>8.3439999999999994</v>
      </c>
      <c r="J85" s="591">
        <v>8.3439999999999994</v>
      </c>
      <c r="K85" s="594" t="s">
        <v>322</v>
      </c>
    </row>
    <row r="86" spans="1:11" ht="14.4" customHeight="1" thickBot="1" x14ac:dyDescent="0.35">
      <c r="A86" s="607" t="s">
        <v>402</v>
      </c>
      <c r="B86" s="585">
        <v>0</v>
      </c>
      <c r="C86" s="585">
        <v>11.025</v>
      </c>
      <c r="D86" s="586">
        <v>11.025</v>
      </c>
      <c r="E86" s="595" t="s">
        <v>322</v>
      </c>
      <c r="F86" s="585">
        <v>0</v>
      </c>
      <c r="G86" s="586">
        <v>0</v>
      </c>
      <c r="H86" s="588">
        <v>3.24</v>
      </c>
      <c r="I86" s="585">
        <v>4.8639999999999999</v>
      </c>
      <c r="J86" s="586">
        <v>4.8639999999999999</v>
      </c>
      <c r="K86" s="596" t="s">
        <v>322</v>
      </c>
    </row>
    <row r="87" spans="1:11" ht="14.4" customHeight="1" thickBot="1" x14ac:dyDescent="0.35">
      <c r="A87" s="607" t="s">
        <v>403</v>
      </c>
      <c r="B87" s="585">
        <v>0</v>
      </c>
      <c r="C87" s="585">
        <v>11.746</v>
      </c>
      <c r="D87" s="586">
        <v>11.746</v>
      </c>
      <c r="E87" s="595" t="s">
        <v>322</v>
      </c>
      <c r="F87" s="585">
        <v>0</v>
      </c>
      <c r="G87" s="586">
        <v>0</v>
      </c>
      <c r="H87" s="588">
        <v>0.4</v>
      </c>
      <c r="I87" s="585">
        <v>3.48</v>
      </c>
      <c r="J87" s="586">
        <v>3.48</v>
      </c>
      <c r="K87" s="596" t="s">
        <v>322</v>
      </c>
    </row>
    <row r="88" spans="1:11" ht="14.4" customHeight="1" thickBot="1" x14ac:dyDescent="0.35">
      <c r="A88" s="605" t="s">
        <v>47</v>
      </c>
      <c r="B88" s="585">
        <v>1113.0175890369401</v>
      </c>
      <c r="C88" s="585">
        <v>1079.6032</v>
      </c>
      <c r="D88" s="586">
        <v>-33.414389036941003</v>
      </c>
      <c r="E88" s="587">
        <v>0.96997856155499995</v>
      </c>
      <c r="F88" s="585">
        <v>1093.2269958030299</v>
      </c>
      <c r="G88" s="586">
        <v>273.30674895075703</v>
      </c>
      <c r="H88" s="588">
        <v>95.460800000000006</v>
      </c>
      <c r="I88" s="585">
        <v>203.51283000000001</v>
      </c>
      <c r="J88" s="586">
        <v>-69.793918950757003</v>
      </c>
      <c r="K88" s="589">
        <v>0.18615788924099999</v>
      </c>
    </row>
    <row r="89" spans="1:11" ht="14.4" customHeight="1" thickBot="1" x14ac:dyDescent="0.35">
      <c r="A89" s="606" t="s">
        <v>404</v>
      </c>
      <c r="B89" s="590">
        <v>2.031986701228</v>
      </c>
      <c r="C89" s="590">
        <v>0.75600000000000001</v>
      </c>
      <c r="D89" s="591">
        <v>-1.275986701228</v>
      </c>
      <c r="E89" s="598">
        <v>0.37204967903699998</v>
      </c>
      <c r="F89" s="590">
        <v>0.30217228175900002</v>
      </c>
      <c r="G89" s="591">
        <v>7.5543070439000007E-2</v>
      </c>
      <c r="H89" s="593">
        <v>4.9406564584124654E-324</v>
      </c>
      <c r="I89" s="590">
        <v>1.4821969375237396E-323</v>
      </c>
      <c r="J89" s="591">
        <v>-7.5543070439000007E-2</v>
      </c>
      <c r="K89" s="597">
        <v>4.9406564584124654E-323</v>
      </c>
    </row>
    <row r="90" spans="1:11" ht="14.4" customHeight="1" thickBot="1" x14ac:dyDescent="0.35">
      <c r="A90" s="607" t="s">
        <v>405</v>
      </c>
      <c r="B90" s="585">
        <v>2.031986701228</v>
      </c>
      <c r="C90" s="585">
        <v>0.75600000000000001</v>
      </c>
      <c r="D90" s="586">
        <v>-1.275986701228</v>
      </c>
      <c r="E90" s="587">
        <v>0.37204967903699998</v>
      </c>
      <c r="F90" s="585">
        <v>0.30217228175900002</v>
      </c>
      <c r="G90" s="586">
        <v>7.5543070439000007E-2</v>
      </c>
      <c r="H90" s="588">
        <v>4.9406564584124654E-324</v>
      </c>
      <c r="I90" s="585">
        <v>1.4821969375237396E-323</v>
      </c>
      <c r="J90" s="586">
        <v>-7.5543070439000007E-2</v>
      </c>
      <c r="K90" s="589">
        <v>4.9406564584124654E-323</v>
      </c>
    </row>
    <row r="91" spans="1:11" ht="14.4" customHeight="1" thickBot="1" x14ac:dyDescent="0.35">
      <c r="A91" s="606" t="s">
        <v>406</v>
      </c>
      <c r="B91" s="590">
        <v>32.537631749992002</v>
      </c>
      <c r="C91" s="590">
        <v>35.073929999999997</v>
      </c>
      <c r="D91" s="591">
        <v>2.5362982500069999</v>
      </c>
      <c r="E91" s="598">
        <v>1.0779496882099999</v>
      </c>
      <c r="F91" s="590">
        <v>34.695776781300999</v>
      </c>
      <c r="G91" s="591">
        <v>8.6739441953249994</v>
      </c>
      <c r="H91" s="593">
        <v>2.0830700000000002</v>
      </c>
      <c r="I91" s="590">
        <v>6.3775199999999996</v>
      </c>
      <c r="J91" s="591">
        <v>-2.2964241953250002</v>
      </c>
      <c r="K91" s="597">
        <v>0.18381257293</v>
      </c>
    </row>
    <row r="92" spans="1:11" ht="14.4" customHeight="1" thickBot="1" x14ac:dyDescent="0.35">
      <c r="A92" s="607" t="s">
        <v>407</v>
      </c>
      <c r="B92" s="585">
        <v>17.799972872169999</v>
      </c>
      <c r="C92" s="585">
        <v>20.939699999999998</v>
      </c>
      <c r="D92" s="586">
        <v>3.139727127829</v>
      </c>
      <c r="E92" s="587">
        <v>1.1763894333080001</v>
      </c>
      <c r="F92" s="585">
        <v>21.421024713028</v>
      </c>
      <c r="G92" s="586">
        <v>5.3552561782570001</v>
      </c>
      <c r="H92" s="588">
        <v>1.0954999999999999</v>
      </c>
      <c r="I92" s="585">
        <v>3.7557999999999998</v>
      </c>
      <c r="J92" s="586">
        <v>-1.599456178257</v>
      </c>
      <c r="K92" s="589">
        <v>0.17533241524599999</v>
      </c>
    </row>
    <row r="93" spans="1:11" ht="14.4" customHeight="1" thickBot="1" x14ac:dyDescent="0.35">
      <c r="A93" s="607" t="s">
        <v>408</v>
      </c>
      <c r="B93" s="585">
        <v>14.737658877821</v>
      </c>
      <c r="C93" s="585">
        <v>14.134230000000001</v>
      </c>
      <c r="D93" s="586">
        <v>-0.60342887782099996</v>
      </c>
      <c r="E93" s="587">
        <v>0.95905530974599995</v>
      </c>
      <c r="F93" s="585">
        <v>13.274752068272001</v>
      </c>
      <c r="G93" s="586">
        <v>3.3186880170680002</v>
      </c>
      <c r="H93" s="588">
        <v>0.98756999999999995</v>
      </c>
      <c r="I93" s="585">
        <v>2.6217199999999998</v>
      </c>
      <c r="J93" s="586">
        <v>-0.69696801706800005</v>
      </c>
      <c r="K93" s="589">
        <v>0.19749672058000001</v>
      </c>
    </row>
    <row r="94" spans="1:11" ht="14.4" customHeight="1" thickBot="1" x14ac:dyDescent="0.35">
      <c r="A94" s="606" t="s">
        <v>409</v>
      </c>
      <c r="B94" s="590">
        <v>43.929962216759002</v>
      </c>
      <c r="C94" s="590">
        <v>52.957839999999997</v>
      </c>
      <c r="D94" s="591">
        <v>9.0278777832399992</v>
      </c>
      <c r="E94" s="598">
        <v>1.2055061586139999</v>
      </c>
      <c r="F94" s="590">
        <v>50.443269765323002</v>
      </c>
      <c r="G94" s="591">
        <v>12.610817441329999</v>
      </c>
      <c r="H94" s="593">
        <v>2.4780799999999998</v>
      </c>
      <c r="I94" s="590">
        <v>13.864800000000001</v>
      </c>
      <c r="J94" s="591">
        <v>1.2539825586690001</v>
      </c>
      <c r="K94" s="597">
        <v>0.27485926397100002</v>
      </c>
    </row>
    <row r="95" spans="1:11" ht="14.4" customHeight="1" thickBot="1" x14ac:dyDescent="0.35">
      <c r="A95" s="607" t="s">
        <v>410</v>
      </c>
      <c r="B95" s="585">
        <v>26.764639217675999</v>
      </c>
      <c r="C95" s="585">
        <v>27</v>
      </c>
      <c r="D95" s="586">
        <v>0.23536078232300001</v>
      </c>
      <c r="E95" s="587">
        <v>1.008793721462</v>
      </c>
      <c r="F95" s="585">
        <v>26.681448986892001</v>
      </c>
      <c r="G95" s="586">
        <v>6.6703622467230002</v>
      </c>
      <c r="H95" s="588">
        <v>4.9406564584124654E-324</v>
      </c>
      <c r="I95" s="585">
        <v>6.75</v>
      </c>
      <c r="J95" s="586">
        <v>7.9637753276000006E-2</v>
      </c>
      <c r="K95" s="589">
        <v>0.25298476118399998</v>
      </c>
    </row>
    <row r="96" spans="1:11" ht="14.4" customHeight="1" thickBot="1" x14ac:dyDescent="0.35">
      <c r="A96" s="607" t="s">
        <v>411</v>
      </c>
      <c r="B96" s="585">
        <v>17.165322999082999</v>
      </c>
      <c r="C96" s="585">
        <v>25.957840000000001</v>
      </c>
      <c r="D96" s="586">
        <v>8.7925170009159999</v>
      </c>
      <c r="E96" s="587">
        <v>1.5122255492300001</v>
      </c>
      <c r="F96" s="585">
        <v>23.761820778431002</v>
      </c>
      <c r="G96" s="586">
        <v>5.9404551946069999</v>
      </c>
      <c r="H96" s="588">
        <v>2.4780799999999998</v>
      </c>
      <c r="I96" s="585">
        <v>7.1147999999999998</v>
      </c>
      <c r="J96" s="586">
        <v>1.174344805392</v>
      </c>
      <c r="K96" s="589">
        <v>0.29942149914900001</v>
      </c>
    </row>
    <row r="97" spans="1:11" ht="14.4" customHeight="1" thickBot="1" x14ac:dyDescent="0.35">
      <c r="A97" s="606" t="s">
        <v>412</v>
      </c>
      <c r="B97" s="590">
        <v>693.62602563518897</v>
      </c>
      <c r="C97" s="590">
        <v>704.84217999999998</v>
      </c>
      <c r="D97" s="591">
        <v>11.216154364811</v>
      </c>
      <c r="E97" s="598">
        <v>1.01617031938</v>
      </c>
      <c r="F97" s="590">
        <v>704.566784146847</v>
      </c>
      <c r="G97" s="591">
        <v>176.14169603671201</v>
      </c>
      <c r="H97" s="593">
        <v>58.213099999999997</v>
      </c>
      <c r="I97" s="590">
        <v>130.15661</v>
      </c>
      <c r="J97" s="591">
        <v>-45.985086036711003</v>
      </c>
      <c r="K97" s="597">
        <v>0.18473282154099999</v>
      </c>
    </row>
    <row r="98" spans="1:11" ht="14.4" customHeight="1" thickBot="1" x14ac:dyDescent="0.35">
      <c r="A98" s="607" t="s">
        <v>413</v>
      </c>
      <c r="B98" s="585">
        <v>538.00054629584895</v>
      </c>
      <c r="C98" s="585">
        <v>542.16025000000002</v>
      </c>
      <c r="D98" s="586">
        <v>4.15970370415</v>
      </c>
      <c r="E98" s="587">
        <v>1.0077317834199999</v>
      </c>
      <c r="F98" s="585">
        <v>541.18732979496701</v>
      </c>
      <c r="G98" s="586">
        <v>135.29683244874201</v>
      </c>
      <c r="H98" s="588">
        <v>44.526539999999997</v>
      </c>
      <c r="I98" s="585">
        <v>89.053079999999994</v>
      </c>
      <c r="J98" s="586">
        <v>-46.243752448740999</v>
      </c>
      <c r="K98" s="589">
        <v>0.16455130247300001</v>
      </c>
    </row>
    <row r="99" spans="1:11" ht="14.4" customHeight="1" thickBot="1" x14ac:dyDescent="0.35">
      <c r="A99" s="607" t="s">
        <v>414</v>
      </c>
      <c r="B99" s="585">
        <v>0.41665773525499999</v>
      </c>
      <c r="C99" s="585">
        <v>0.60599999999999998</v>
      </c>
      <c r="D99" s="586">
        <v>0.18934226474400001</v>
      </c>
      <c r="E99" s="587">
        <v>1.4544311762960001</v>
      </c>
      <c r="F99" s="585">
        <v>0.51903949941899996</v>
      </c>
      <c r="G99" s="586">
        <v>0.12975987485400001</v>
      </c>
      <c r="H99" s="588">
        <v>4.9406564584124654E-324</v>
      </c>
      <c r="I99" s="585">
        <v>1.4821969375237396E-323</v>
      </c>
      <c r="J99" s="586">
        <v>-0.12975987485400001</v>
      </c>
      <c r="K99" s="589">
        <v>2.9643938750474793E-323</v>
      </c>
    </row>
    <row r="100" spans="1:11" ht="14.4" customHeight="1" thickBot="1" x14ac:dyDescent="0.35">
      <c r="A100" s="607" t="s">
        <v>415</v>
      </c>
      <c r="B100" s="585">
        <v>155.20882160408399</v>
      </c>
      <c r="C100" s="585">
        <v>162.07593</v>
      </c>
      <c r="D100" s="586">
        <v>6.8671083959150003</v>
      </c>
      <c r="E100" s="587">
        <v>1.04424431759</v>
      </c>
      <c r="F100" s="585">
        <v>162.86041485246</v>
      </c>
      <c r="G100" s="586">
        <v>40.715103713114999</v>
      </c>
      <c r="H100" s="588">
        <v>13.68656</v>
      </c>
      <c r="I100" s="585">
        <v>41.103529999999999</v>
      </c>
      <c r="J100" s="586">
        <v>0.38842628688500003</v>
      </c>
      <c r="K100" s="589">
        <v>0.25238502577299998</v>
      </c>
    </row>
    <row r="101" spans="1:11" ht="14.4" customHeight="1" thickBot="1" x14ac:dyDescent="0.35">
      <c r="A101" s="606" t="s">
        <v>416</v>
      </c>
      <c r="B101" s="590">
        <v>334.86005570896498</v>
      </c>
      <c r="C101" s="590">
        <v>285.10325</v>
      </c>
      <c r="D101" s="591">
        <v>-49.756805708964997</v>
      </c>
      <c r="E101" s="598">
        <v>0.85141014922299996</v>
      </c>
      <c r="F101" s="590">
        <v>303.21899282779799</v>
      </c>
      <c r="G101" s="591">
        <v>75.804748206949</v>
      </c>
      <c r="H101" s="593">
        <v>32.686549999999997</v>
      </c>
      <c r="I101" s="590">
        <v>53.113900000000001</v>
      </c>
      <c r="J101" s="591">
        <v>-22.690848206948999</v>
      </c>
      <c r="K101" s="597">
        <v>0.17516679777999999</v>
      </c>
    </row>
    <row r="102" spans="1:11" ht="14.4" customHeight="1" thickBot="1" x14ac:dyDescent="0.35">
      <c r="A102" s="607" t="s">
        <v>417</v>
      </c>
      <c r="B102" s="585">
        <v>3.0039203381820001</v>
      </c>
      <c r="C102" s="585">
        <v>1.0549999999999999</v>
      </c>
      <c r="D102" s="586">
        <v>-1.9489203381819999</v>
      </c>
      <c r="E102" s="587">
        <v>0.35120771565999997</v>
      </c>
      <c r="F102" s="585">
        <v>1.0827639530390001</v>
      </c>
      <c r="G102" s="586">
        <v>0.27069098825900001</v>
      </c>
      <c r="H102" s="588">
        <v>4.9406564584124654E-324</v>
      </c>
      <c r="I102" s="585">
        <v>1.4821969375237396E-323</v>
      </c>
      <c r="J102" s="586">
        <v>-0.27069098825900001</v>
      </c>
      <c r="K102" s="589">
        <v>1.4821969375237396E-323</v>
      </c>
    </row>
    <row r="103" spans="1:11" ht="14.4" customHeight="1" thickBot="1" x14ac:dyDescent="0.35">
      <c r="A103" s="607" t="s">
        <v>418</v>
      </c>
      <c r="B103" s="585">
        <v>191.441270834725</v>
      </c>
      <c r="C103" s="585">
        <v>161.62621999999999</v>
      </c>
      <c r="D103" s="586">
        <v>-29.815050834724001</v>
      </c>
      <c r="E103" s="587">
        <v>0.84426006626000005</v>
      </c>
      <c r="F103" s="585">
        <v>159.793953407923</v>
      </c>
      <c r="G103" s="586">
        <v>39.948488351979996</v>
      </c>
      <c r="H103" s="588">
        <v>16.170559999999998</v>
      </c>
      <c r="I103" s="585">
        <v>20.093769999999999</v>
      </c>
      <c r="J103" s="586">
        <v>-19.854718351980001</v>
      </c>
      <c r="K103" s="589">
        <v>0.12574799966700001</v>
      </c>
    </row>
    <row r="104" spans="1:11" ht="14.4" customHeight="1" thickBot="1" x14ac:dyDescent="0.35">
      <c r="A104" s="607" t="s">
        <v>419</v>
      </c>
      <c r="B104" s="585">
        <v>12.993297940901</v>
      </c>
      <c r="C104" s="585">
        <v>12.727</v>
      </c>
      <c r="D104" s="586">
        <v>-0.26629794090100001</v>
      </c>
      <c r="E104" s="587">
        <v>0.97950497694100003</v>
      </c>
      <c r="F104" s="585">
        <v>13.004737417627</v>
      </c>
      <c r="G104" s="586">
        <v>3.251184354406</v>
      </c>
      <c r="H104" s="588">
        <v>5</v>
      </c>
      <c r="I104" s="585">
        <v>7.3330000000000002</v>
      </c>
      <c r="J104" s="586">
        <v>4.0818156455930001</v>
      </c>
      <c r="K104" s="589">
        <v>0.56387143888500002</v>
      </c>
    </row>
    <row r="105" spans="1:11" ht="14.4" customHeight="1" thickBot="1" x14ac:dyDescent="0.35">
      <c r="A105" s="607" t="s">
        <v>420</v>
      </c>
      <c r="B105" s="585">
        <v>2.089240297536</v>
      </c>
      <c r="C105" s="585">
        <v>0.19359000000000001</v>
      </c>
      <c r="D105" s="586">
        <v>-1.8956502975359999</v>
      </c>
      <c r="E105" s="587">
        <v>9.2660475785000002E-2</v>
      </c>
      <c r="F105" s="585">
        <v>0.18289816607600001</v>
      </c>
      <c r="G105" s="586">
        <v>4.5724541519000003E-2</v>
      </c>
      <c r="H105" s="588">
        <v>4.9406564584124654E-324</v>
      </c>
      <c r="I105" s="585">
        <v>1.5488</v>
      </c>
      <c r="J105" s="586">
        <v>1.5030754584799999</v>
      </c>
      <c r="K105" s="589">
        <v>8.4681002178699991</v>
      </c>
    </row>
    <row r="106" spans="1:11" ht="14.4" customHeight="1" thickBot="1" x14ac:dyDescent="0.35">
      <c r="A106" s="607" t="s">
        <v>421</v>
      </c>
      <c r="B106" s="585">
        <v>125.33232629762</v>
      </c>
      <c r="C106" s="585">
        <v>109.50144</v>
      </c>
      <c r="D106" s="586">
        <v>-15.830886297618999</v>
      </c>
      <c r="E106" s="587">
        <v>0.87368872209299997</v>
      </c>
      <c r="F106" s="585">
        <v>129.15463988313101</v>
      </c>
      <c r="G106" s="586">
        <v>32.288659970782</v>
      </c>
      <c r="H106" s="588">
        <v>11.51599</v>
      </c>
      <c r="I106" s="585">
        <v>24.13833</v>
      </c>
      <c r="J106" s="586">
        <v>-8.1503299707819998</v>
      </c>
      <c r="K106" s="589">
        <v>0.18689479543099999</v>
      </c>
    </row>
    <row r="107" spans="1:11" ht="14.4" customHeight="1" thickBot="1" x14ac:dyDescent="0.35">
      <c r="A107" s="606" t="s">
        <v>422</v>
      </c>
      <c r="B107" s="590">
        <v>0</v>
      </c>
      <c r="C107" s="590">
        <v>0.05</v>
      </c>
      <c r="D107" s="591">
        <v>0.05</v>
      </c>
      <c r="E107" s="592" t="s">
        <v>322</v>
      </c>
      <c r="F107" s="590">
        <v>0</v>
      </c>
      <c r="G107" s="591">
        <v>0</v>
      </c>
      <c r="H107" s="593">
        <v>4.9406564584124654E-324</v>
      </c>
      <c r="I107" s="590">
        <v>1.4821969375237396E-323</v>
      </c>
      <c r="J107" s="591">
        <v>1.4821969375237396E-323</v>
      </c>
      <c r="K107" s="594" t="s">
        <v>322</v>
      </c>
    </row>
    <row r="108" spans="1:11" ht="14.4" customHeight="1" thickBot="1" x14ac:dyDescent="0.35">
      <c r="A108" s="607" t="s">
        <v>423</v>
      </c>
      <c r="B108" s="585">
        <v>0</v>
      </c>
      <c r="C108" s="585">
        <v>0.05</v>
      </c>
      <c r="D108" s="586">
        <v>0.05</v>
      </c>
      <c r="E108" s="595" t="s">
        <v>322</v>
      </c>
      <c r="F108" s="585">
        <v>0</v>
      </c>
      <c r="G108" s="586">
        <v>0</v>
      </c>
      <c r="H108" s="588">
        <v>4.9406564584124654E-324</v>
      </c>
      <c r="I108" s="585">
        <v>1.4821969375237396E-323</v>
      </c>
      <c r="J108" s="586">
        <v>1.4821969375237396E-323</v>
      </c>
      <c r="K108" s="596" t="s">
        <v>322</v>
      </c>
    </row>
    <row r="109" spans="1:11" ht="14.4" customHeight="1" thickBot="1" x14ac:dyDescent="0.35">
      <c r="A109" s="606" t="s">
        <v>424</v>
      </c>
      <c r="B109" s="590">
        <v>6.0319270248069996</v>
      </c>
      <c r="C109" s="590">
        <v>0.82</v>
      </c>
      <c r="D109" s="591">
        <v>-5.2119270248070002</v>
      </c>
      <c r="E109" s="598">
        <v>0.13594328920500001</v>
      </c>
      <c r="F109" s="590">
        <v>0</v>
      </c>
      <c r="G109" s="591">
        <v>0</v>
      </c>
      <c r="H109" s="593">
        <v>4.9406564584124654E-324</v>
      </c>
      <c r="I109" s="590">
        <v>1.4821969375237396E-323</v>
      </c>
      <c r="J109" s="591">
        <v>1.4821969375237396E-323</v>
      </c>
      <c r="K109" s="594" t="s">
        <v>322</v>
      </c>
    </row>
    <row r="110" spans="1:11" ht="14.4" customHeight="1" thickBot="1" x14ac:dyDescent="0.35">
      <c r="A110" s="607" t="s">
        <v>425</v>
      </c>
      <c r="B110" s="585">
        <v>0</v>
      </c>
      <c r="C110" s="585">
        <v>0.82</v>
      </c>
      <c r="D110" s="586">
        <v>0.82</v>
      </c>
      <c r="E110" s="595" t="s">
        <v>322</v>
      </c>
      <c r="F110" s="585">
        <v>0</v>
      </c>
      <c r="G110" s="586">
        <v>0</v>
      </c>
      <c r="H110" s="588">
        <v>4.9406564584124654E-324</v>
      </c>
      <c r="I110" s="585">
        <v>1.4821969375237396E-323</v>
      </c>
      <c r="J110" s="586">
        <v>1.4821969375237396E-323</v>
      </c>
      <c r="K110" s="596" t="s">
        <v>322</v>
      </c>
    </row>
    <row r="111" spans="1:11" ht="14.4" customHeight="1" thickBot="1" x14ac:dyDescent="0.35">
      <c r="A111" s="604" t="s">
        <v>48</v>
      </c>
      <c r="B111" s="585">
        <v>37804.989804158096</v>
      </c>
      <c r="C111" s="585">
        <v>40019.373469999999</v>
      </c>
      <c r="D111" s="586">
        <v>2214.38366584197</v>
      </c>
      <c r="E111" s="587">
        <v>1.058573846397</v>
      </c>
      <c r="F111" s="585">
        <v>39635</v>
      </c>
      <c r="G111" s="586">
        <v>9908.75</v>
      </c>
      <c r="H111" s="588">
        <v>3230.2654299999999</v>
      </c>
      <c r="I111" s="585">
        <v>9584.2099300000209</v>
      </c>
      <c r="J111" s="586">
        <v>-324.54006999998302</v>
      </c>
      <c r="K111" s="589">
        <v>0.241811780749</v>
      </c>
    </row>
    <row r="112" spans="1:11" ht="14.4" customHeight="1" thickBot="1" x14ac:dyDescent="0.35">
      <c r="A112" s="610" t="s">
        <v>426</v>
      </c>
      <c r="B112" s="590">
        <v>28024.999999998501</v>
      </c>
      <c r="C112" s="590">
        <v>29828.992999999999</v>
      </c>
      <c r="D112" s="591">
        <v>1803.9930000015599</v>
      </c>
      <c r="E112" s="598">
        <v>1.0643708474569999</v>
      </c>
      <c r="F112" s="590">
        <v>29384</v>
      </c>
      <c r="G112" s="591">
        <v>7346</v>
      </c>
      <c r="H112" s="593">
        <v>2393.9650000000001</v>
      </c>
      <c r="I112" s="590">
        <v>7101.1660000000102</v>
      </c>
      <c r="J112" s="591">
        <v>-244.83399999998599</v>
      </c>
      <c r="K112" s="597">
        <v>0.24166777838199999</v>
      </c>
    </row>
    <row r="113" spans="1:11" ht="14.4" customHeight="1" thickBot="1" x14ac:dyDescent="0.35">
      <c r="A113" s="606" t="s">
        <v>427</v>
      </c>
      <c r="B113" s="590">
        <v>27938.999999998501</v>
      </c>
      <c r="C113" s="590">
        <v>29676.623</v>
      </c>
      <c r="D113" s="591">
        <v>1737.6230000015501</v>
      </c>
      <c r="E113" s="598">
        <v>1.0621934571739999</v>
      </c>
      <c r="F113" s="590">
        <v>29285</v>
      </c>
      <c r="G113" s="591">
        <v>7321.25</v>
      </c>
      <c r="H113" s="593">
        <v>2382.0230000000001</v>
      </c>
      <c r="I113" s="590">
        <v>7066.8690000000097</v>
      </c>
      <c r="J113" s="591">
        <v>-254.38099999998701</v>
      </c>
      <c r="K113" s="597">
        <v>0.241313607648</v>
      </c>
    </row>
    <row r="114" spans="1:11" ht="14.4" customHeight="1" thickBot="1" x14ac:dyDescent="0.35">
      <c r="A114" s="607" t="s">
        <v>428</v>
      </c>
      <c r="B114" s="585">
        <v>27938.999999998501</v>
      </c>
      <c r="C114" s="585">
        <v>29676.623</v>
      </c>
      <c r="D114" s="586">
        <v>1737.6230000015501</v>
      </c>
      <c r="E114" s="587">
        <v>1.0621934571739999</v>
      </c>
      <c r="F114" s="585">
        <v>29285</v>
      </c>
      <c r="G114" s="586">
        <v>7321.25</v>
      </c>
      <c r="H114" s="588">
        <v>2382.0230000000001</v>
      </c>
      <c r="I114" s="585">
        <v>7066.8690000000097</v>
      </c>
      <c r="J114" s="586">
        <v>-254.38099999998701</v>
      </c>
      <c r="K114" s="589">
        <v>0.241313607648</v>
      </c>
    </row>
    <row r="115" spans="1:11" ht="14.4" customHeight="1" thickBot="1" x14ac:dyDescent="0.35">
      <c r="A115" s="606" t="s">
        <v>429</v>
      </c>
      <c r="B115" s="590">
        <v>0</v>
      </c>
      <c r="C115" s="590">
        <v>50.183</v>
      </c>
      <c r="D115" s="591">
        <v>50.183</v>
      </c>
      <c r="E115" s="592" t="s">
        <v>322</v>
      </c>
      <c r="F115" s="590">
        <v>0</v>
      </c>
      <c r="G115" s="591">
        <v>0</v>
      </c>
      <c r="H115" s="593">
        <v>3.2490000000000001</v>
      </c>
      <c r="I115" s="590">
        <v>20.327000000000002</v>
      </c>
      <c r="J115" s="591">
        <v>20.327000000000002</v>
      </c>
      <c r="K115" s="594" t="s">
        <v>322</v>
      </c>
    </row>
    <row r="116" spans="1:11" ht="14.4" customHeight="1" thickBot="1" x14ac:dyDescent="0.35">
      <c r="A116" s="607" t="s">
        <v>430</v>
      </c>
      <c r="B116" s="585">
        <v>0</v>
      </c>
      <c r="C116" s="585">
        <v>50.183</v>
      </c>
      <c r="D116" s="586">
        <v>50.183</v>
      </c>
      <c r="E116" s="595" t="s">
        <v>322</v>
      </c>
      <c r="F116" s="585">
        <v>0</v>
      </c>
      <c r="G116" s="586">
        <v>0</v>
      </c>
      <c r="H116" s="588">
        <v>3.2490000000000001</v>
      </c>
      <c r="I116" s="585">
        <v>20.327000000000002</v>
      </c>
      <c r="J116" s="586">
        <v>20.327000000000002</v>
      </c>
      <c r="K116" s="596" t="s">
        <v>322</v>
      </c>
    </row>
    <row r="117" spans="1:11" ht="14.4" customHeight="1" thickBot="1" x14ac:dyDescent="0.35">
      <c r="A117" s="606" t="s">
        <v>431</v>
      </c>
      <c r="B117" s="590">
        <v>85.999999999994998</v>
      </c>
      <c r="C117" s="590">
        <v>48.9</v>
      </c>
      <c r="D117" s="591">
        <v>-37.099999999994999</v>
      </c>
      <c r="E117" s="598">
        <v>0.56860465116199999</v>
      </c>
      <c r="F117" s="590">
        <v>0</v>
      </c>
      <c r="G117" s="591">
        <v>0</v>
      </c>
      <c r="H117" s="593">
        <v>4.5</v>
      </c>
      <c r="I117" s="590">
        <v>8.1</v>
      </c>
      <c r="J117" s="591">
        <v>8.1</v>
      </c>
      <c r="K117" s="594" t="s">
        <v>322</v>
      </c>
    </row>
    <row r="118" spans="1:11" ht="14.4" customHeight="1" thickBot="1" x14ac:dyDescent="0.35">
      <c r="A118" s="607" t="s">
        <v>432</v>
      </c>
      <c r="B118" s="585">
        <v>85.999999999994998</v>
      </c>
      <c r="C118" s="585">
        <v>48.9</v>
      </c>
      <c r="D118" s="586">
        <v>-37.099999999994999</v>
      </c>
      <c r="E118" s="587">
        <v>0.56860465116199999</v>
      </c>
      <c r="F118" s="585">
        <v>0</v>
      </c>
      <c r="G118" s="586">
        <v>0</v>
      </c>
      <c r="H118" s="588">
        <v>4.5</v>
      </c>
      <c r="I118" s="585">
        <v>8.1</v>
      </c>
      <c r="J118" s="586">
        <v>8.1</v>
      </c>
      <c r="K118" s="596" t="s">
        <v>322</v>
      </c>
    </row>
    <row r="119" spans="1:11" ht="14.4" customHeight="1" thickBot="1" x14ac:dyDescent="0.35">
      <c r="A119" s="606" t="s">
        <v>433</v>
      </c>
      <c r="B119" s="590">
        <v>0</v>
      </c>
      <c r="C119" s="590">
        <v>53.286999999999999</v>
      </c>
      <c r="D119" s="591">
        <v>53.286999999999999</v>
      </c>
      <c r="E119" s="592" t="s">
        <v>322</v>
      </c>
      <c r="F119" s="590">
        <v>98.999999999997996</v>
      </c>
      <c r="G119" s="591">
        <v>24.749999999999002</v>
      </c>
      <c r="H119" s="593">
        <v>4.1929999999999996</v>
      </c>
      <c r="I119" s="590">
        <v>5.87</v>
      </c>
      <c r="J119" s="591">
        <v>-18.879999999999001</v>
      </c>
      <c r="K119" s="597">
        <v>5.9292929292000002E-2</v>
      </c>
    </row>
    <row r="120" spans="1:11" ht="14.4" customHeight="1" thickBot="1" x14ac:dyDescent="0.35">
      <c r="A120" s="607" t="s">
        <v>434</v>
      </c>
      <c r="B120" s="585">
        <v>0</v>
      </c>
      <c r="C120" s="585">
        <v>53.286999999999999</v>
      </c>
      <c r="D120" s="586">
        <v>53.286999999999999</v>
      </c>
      <c r="E120" s="595" t="s">
        <v>322</v>
      </c>
      <c r="F120" s="585">
        <v>98.999999999997996</v>
      </c>
      <c r="G120" s="586">
        <v>24.749999999999002</v>
      </c>
      <c r="H120" s="588">
        <v>4.1929999999999996</v>
      </c>
      <c r="I120" s="585">
        <v>5.87</v>
      </c>
      <c r="J120" s="586">
        <v>-18.879999999999001</v>
      </c>
      <c r="K120" s="589">
        <v>5.9292929292000002E-2</v>
      </c>
    </row>
    <row r="121" spans="1:11" ht="14.4" customHeight="1" thickBot="1" x14ac:dyDescent="0.35">
      <c r="A121" s="605" t="s">
        <v>435</v>
      </c>
      <c r="B121" s="585">
        <v>9499.9898041596098</v>
      </c>
      <c r="C121" s="585">
        <v>9893.0796900000005</v>
      </c>
      <c r="D121" s="586">
        <v>393.08988584039599</v>
      </c>
      <c r="E121" s="587">
        <v>1.0413779271279999</v>
      </c>
      <c r="F121" s="585">
        <v>9958</v>
      </c>
      <c r="G121" s="586">
        <v>2489.5</v>
      </c>
      <c r="H121" s="588">
        <v>812.43790000000001</v>
      </c>
      <c r="I121" s="585">
        <v>2412.3149100000001</v>
      </c>
      <c r="J121" s="586">
        <v>-77.185089999995995</v>
      </c>
      <c r="K121" s="589">
        <v>0.242248936533</v>
      </c>
    </row>
    <row r="122" spans="1:11" ht="14.4" customHeight="1" thickBot="1" x14ac:dyDescent="0.35">
      <c r="A122" s="606" t="s">
        <v>436</v>
      </c>
      <c r="B122" s="590">
        <v>2514.9999806422502</v>
      </c>
      <c r="C122" s="590">
        <v>2678.4363800000001</v>
      </c>
      <c r="D122" s="591">
        <v>163.43639935774701</v>
      </c>
      <c r="E122" s="598">
        <v>1.0649846523319999</v>
      </c>
      <c r="F122" s="590">
        <v>2636</v>
      </c>
      <c r="G122" s="591">
        <v>659</v>
      </c>
      <c r="H122" s="593">
        <v>214.99489</v>
      </c>
      <c r="I122" s="590">
        <v>638.49089000000095</v>
      </c>
      <c r="J122" s="591">
        <v>-20.509109999999001</v>
      </c>
      <c r="K122" s="597">
        <v>0.242219609256</v>
      </c>
    </row>
    <row r="123" spans="1:11" ht="14.4" customHeight="1" thickBot="1" x14ac:dyDescent="0.35">
      <c r="A123" s="607" t="s">
        <v>437</v>
      </c>
      <c r="B123" s="585">
        <v>2514.9999806422502</v>
      </c>
      <c r="C123" s="585">
        <v>2678.4363800000001</v>
      </c>
      <c r="D123" s="586">
        <v>163.43639935774701</v>
      </c>
      <c r="E123" s="587">
        <v>1.0649846523319999</v>
      </c>
      <c r="F123" s="585">
        <v>2636</v>
      </c>
      <c r="G123" s="586">
        <v>659</v>
      </c>
      <c r="H123" s="588">
        <v>214.99489</v>
      </c>
      <c r="I123" s="585">
        <v>638.49089000000095</v>
      </c>
      <c r="J123" s="586">
        <v>-20.509109999999001</v>
      </c>
      <c r="K123" s="589">
        <v>0.242219609256</v>
      </c>
    </row>
    <row r="124" spans="1:11" ht="14.4" customHeight="1" thickBot="1" x14ac:dyDescent="0.35">
      <c r="A124" s="606" t="s">
        <v>438</v>
      </c>
      <c r="B124" s="590">
        <v>6984.9898235173496</v>
      </c>
      <c r="C124" s="590">
        <v>7214.6433100000004</v>
      </c>
      <c r="D124" s="591">
        <v>229.653486482651</v>
      </c>
      <c r="E124" s="598">
        <v>1.0328781418840001</v>
      </c>
      <c r="F124" s="590">
        <v>7322</v>
      </c>
      <c r="G124" s="591">
        <v>1830.5</v>
      </c>
      <c r="H124" s="593">
        <v>597.44300999999996</v>
      </c>
      <c r="I124" s="590">
        <v>1773.82402</v>
      </c>
      <c r="J124" s="591">
        <v>-56.675979999996997</v>
      </c>
      <c r="K124" s="597">
        <v>0.24225949467300001</v>
      </c>
    </row>
    <row r="125" spans="1:11" ht="14.4" customHeight="1" thickBot="1" x14ac:dyDescent="0.35">
      <c r="A125" s="607" t="s">
        <v>439</v>
      </c>
      <c r="B125" s="585">
        <v>6984.9898235173496</v>
      </c>
      <c r="C125" s="585">
        <v>7214.6433100000004</v>
      </c>
      <c r="D125" s="586">
        <v>229.653486482651</v>
      </c>
      <c r="E125" s="587">
        <v>1.0328781418840001</v>
      </c>
      <c r="F125" s="585">
        <v>7322</v>
      </c>
      <c r="G125" s="586">
        <v>1830.5</v>
      </c>
      <c r="H125" s="588">
        <v>597.44300999999996</v>
      </c>
      <c r="I125" s="585">
        <v>1773.82402</v>
      </c>
      <c r="J125" s="586">
        <v>-56.675979999996997</v>
      </c>
      <c r="K125" s="589">
        <v>0.24225949467300001</v>
      </c>
    </row>
    <row r="126" spans="1:11" ht="14.4" customHeight="1" thickBot="1" x14ac:dyDescent="0.35">
      <c r="A126" s="605" t="s">
        <v>440</v>
      </c>
      <c r="B126" s="585">
        <v>279.99999999998499</v>
      </c>
      <c r="C126" s="585">
        <v>297.30077999999997</v>
      </c>
      <c r="D126" s="586">
        <v>17.300780000014999</v>
      </c>
      <c r="E126" s="587">
        <v>1.0617885</v>
      </c>
      <c r="F126" s="585">
        <v>293</v>
      </c>
      <c r="G126" s="586">
        <v>73.25</v>
      </c>
      <c r="H126" s="588">
        <v>23.86253</v>
      </c>
      <c r="I126" s="585">
        <v>70.729020000000006</v>
      </c>
      <c r="J126" s="586">
        <v>-2.5209799999990001</v>
      </c>
      <c r="K126" s="589">
        <v>0.24139597269599999</v>
      </c>
    </row>
    <row r="127" spans="1:11" ht="14.4" customHeight="1" thickBot="1" x14ac:dyDescent="0.35">
      <c r="A127" s="606" t="s">
        <v>441</v>
      </c>
      <c r="B127" s="590">
        <v>279.99999999998499</v>
      </c>
      <c r="C127" s="590">
        <v>297.30077999999997</v>
      </c>
      <c r="D127" s="591">
        <v>17.300780000014999</v>
      </c>
      <c r="E127" s="598">
        <v>1.0617885</v>
      </c>
      <c r="F127" s="590">
        <v>293</v>
      </c>
      <c r="G127" s="591">
        <v>73.25</v>
      </c>
      <c r="H127" s="593">
        <v>23.86253</v>
      </c>
      <c r="I127" s="590">
        <v>70.729020000000006</v>
      </c>
      <c r="J127" s="591">
        <v>-2.5209799999990001</v>
      </c>
      <c r="K127" s="597">
        <v>0.24139597269599999</v>
      </c>
    </row>
    <row r="128" spans="1:11" ht="14.4" customHeight="1" thickBot="1" x14ac:dyDescent="0.35">
      <c r="A128" s="607" t="s">
        <v>442</v>
      </c>
      <c r="B128" s="585">
        <v>279.99999999998499</v>
      </c>
      <c r="C128" s="585">
        <v>297.30077999999997</v>
      </c>
      <c r="D128" s="586">
        <v>17.300780000014999</v>
      </c>
      <c r="E128" s="587">
        <v>1.0617885</v>
      </c>
      <c r="F128" s="585">
        <v>293</v>
      </c>
      <c r="G128" s="586">
        <v>73.25</v>
      </c>
      <c r="H128" s="588">
        <v>23.86253</v>
      </c>
      <c r="I128" s="585">
        <v>70.729020000000006</v>
      </c>
      <c r="J128" s="586">
        <v>-2.5209799999990001</v>
      </c>
      <c r="K128" s="589">
        <v>0.24139597269599999</v>
      </c>
    </row>
    <row r="129" spans="1:11" ht="14.4" customHeight="1" thickBot="1" x14ac:dyDescent="0.35">
      <c r="A129" s="604" t="s">
        <v>443</v>
      </c>
      <c r="B129" s="585">
        <v>0</v>
      </c>
      <c r="C129" s="585">
        <v>180.44399999999999</v>
      </c>
      <c r="D129" s="586">
        <v>180.44399999999999</v>
      </c>
      <c r="E129" s="595" t="s">
        <v>322</v>
      </c>
      <c r="F129" s="585">
        <v>0</v>
      </c>
      <c r="G129" s="586">
        <v>0</v>
      </c>
      <c r="H129" s="588">
        <v>36.92</v>
      </c>
      <c r="I129" s="585">
        <v>43.72</v>
      </c>
      <c r="J129" s="586">
        <v>43.72</v>
      </c>
      <c r="K129" s="596" t="s">
        <v>322</v>
      </c>
    </row>
    <row r="130" spans="1:11" ht="14.4" customHeight="1" thickBot="1" x14ac:dyDescent="0.35">
      <c r="A130" s="605" t="s">
        <v>444</v>
      </c>
      <c r="B130" s="585">
        <v>4.9406564584124654E-324</v>
      </c>
      <c r="C130" s="585">
        <v>47.778999999999002</v>
      </c>
      <c r="D130" s="586">
        <v>47.778999999999002</v>
      </c>
      <c r="E130" s="595" t="s">
        <v>328</v>
      </c>
      <c r="F130" s="585">
        <v>0</v>
      </c>
      <c r="G130" s="586">
        <v>0</v>
      </c>
      <c r="H130" s="588">
        <v>4.9406564584124654E-324</v>
      </c>
      <c r="I130" s="585">
        <v>1.4821969375237396E-323</v>
      </c>
      <c r="J130" s="586">
        <v>1.4821969375237396E-323</v>
      </c>
      <c r="K130" s="596" t="s">
        <v>322</v>
      </c>
    </row>
    <row r="131" spans="1:11" ht="14.4" customHeight="1" thickBot="1" x14ac:dyDescent="0.35">
      <c r="A131" s="606" t="s">
        <v>445</v>
      </c>
      <c r="B131" s="590">
        <v>4.9406564584124654E-324</v>
      </c>
      <c r="C131" s="590">
        <v>47.778999999999002</v>
      </c>
      <c r="D131" s="591">
        <v>47.778999999999002</v>
      </c>
      <c r="E131" s="592" t="s">
        <v>328</v>
      </c>
      <c r="F131" s="590">
        <v>0</v>
      </c>
      <c r="G131" s="591">
        <v>0</v>
      </c>
      <c r="H131" s="593">
        <v>4.9406564584124654E-324</v>
      </c>
      <c r="I131" s="590">
        <v>1.4821969375237396E-323</v>
      </c>
      <c r="J131" s="591">
        <v>1.4821969375237396E-323</v>
      </c>
      <c r="K131" s="594" t="s">
        <v>322</v>
      </c>
    </row>
    <row r="132" spans="1:11" ht="14.4" customHeight="1" thickBot="1" x14ac:dyDescent="0.35">
      <c r="A132" s="607" t="s">
        <v>446</v>
      </c>
      <c r="B132" s="585">
        <v>4.9406564584124654E-324</v>
      </c>
      <c r="C132" s="585">
        <v>47.778999999999002</v>
      </c>
      <c r="D132" s="586">
        <v>47.778999999999002</v>
      </c>
      <c r="E132" s="595" t="s">
        <v>328</v>
      </c>
      <c r="F132" s="585">
        <v>0</v>
      </c>
      <c r="G132" s="586">
        <v>0</v>
      </c>
      <c r="H132" s="588">
        <v>4.9406564584124654E-324</v>
      </c>
      <c r="I132" s="585">
        <v>1.4821969375237396E-323</v>
      </c>
      <c r="J132" s="586">
        <v>1.4821969375237396E-323</v>
      </c>
      <c r="K132" s="596" t="s">
        <v>322</v>
      </c>
    </row>
    <row r="133" spans="1:11" ht="14.4" customHeight="1" thickBot="1" x14ac:dyDescent="0.35">
      <c r="A133" s="605" t="s">
        <v>447</v>
      </c>
      <c r="B133" s="585">
        <v>0</v>
      </c>
      <c r="C133" s="585">
        <v>132.66499999999999</v>
      </c>
      <c r="D133" s="586">
        <v>132.66499999999999</v>
      </c>
      <c r="E133" s="595" t="s">
        <v>322</v>
      </c>
      <c r="F133" s="585">
        <v>0</v>
      </c>
      <c r="G133" s="586">
        <v>0</v>
      </c>
      <c r="H133" s="588">
        <v>36.92</v>
      </c>
      <c r="I133" s="585">
        <v>43.72</v>
      </c>
      <c r="J133" s="586">
        <v>43.72</v>
      </c>
      <c r="K133" s="596" t="s">
        <v>322</v>
      </c>
    </row>
    <row r="134" spans="1:11" ht="14.4" customHeight="1" thickBot="1" x14ac:dyDescent="0.35">
      <c r="A134" s="606" t="s">
        <v>448</v>
      </c>
      <c r="B134" s="590">
        <v>0</v>
      </c>
      <c r="C134" s="590">
        <v>104.49299999999999</v>
      </c>
      <c r="D134" s="591">
        <v>104.49299999999999</v>
      </c>
      <c r="E134" s="592" t="s">
        <v>322</v>
      </c>
      <c r="F134" s="590">
        <v>0</v>
      </c>
      <c r="G134" s="591">
        <v>0</v>
      </c>
      <c r="H134" s="593">
        <v>14.82</v>
      </c>
      <c r="I134" s="590">
        <v>21.62</v>
      </c>
      <c r="J134" s="591">
        <v>21.62</v>
      </c>
      <c r="K134" s="594" t="s">
        <v>322</v>
      </c>
    </row>
    <row r="135" spans="1:11" ht="14.4" customHeight="1" thickBot="1" x14ac:dyDescent="0.35">
      <c r="A135" s="607" t="s">
        <v>449</v>
      </c>
      <c r="B135" s="585">
        <v>4.9406564584124654E-324</v>
      </c>
      <c r="C135" s="585">
        <v>-3.4820000000000002</v>
      </c>
      <c r="D135" s="586">
        <v>-3.4820000000000002</v>
      </c>
      <c r="E135" s="595" t="s">
        <v>328</v>
      </c>
      <c r="F135" s="585">
        <v>0</v>
      </c>
      <c r="G135" s="586">
        <v>0</v>
      </c>
      <c r="H135" s="588">
        <v>4.9406564584124654E-324</v>
      </c>
      <c r="I135" s="585">
        <v>1.4821969375237396E-323</v>
      </c>
      <c r="J135" s="586">
        <v>1.4821969375237396E-323</v>
      </c>
      <c r="K135" s="596" t="s">
        <v>322</v>
      </c>
    </row>
    <row r="136" spans="1:11" ht="14.4" customHeight="1" thickBot="1" x14ac:dyDescent="0.35">
      <c r="A136" s="607" t="s">
        <v>450</v>
      </c>
      <c r="B136" s="585">
        <v>0</v>
      </c>
      <c r="C136" s="585">
        <v>76.474999999999994</v>
      </c>
      <c r="D136" s="586">
        <v>76.474999999999994</v>
      </c>
      <c r="E136" s="595" t="s">
        <v>322</v>
      </c>
      <c r="F136" s="585">
        <v>0</v>
      </c>
      <c r="G136" s="586">
        <v>0</v>
      </c>
      <c r="H136" s="588">
        <v>14.82</v>
      </c>
      <c r="I136" s="585">
        <v>14.82</v>
      </c>
      <c r="J136" s="586">
        <v>14.82</v>
      </c>
      <c r="K136" s="596" t="s">
        <v>322</v>
      </c>
    </row>
    <row r="137" spans="1:11" ht="14.4" customHeight="1" thickBot="1" x14ac:dyDescent="0.35">
      <c r="A137" s="607" t="s">
        <v>451</v>
      </c>
      <c r="B137" s="585">
        <v>0</v>
      </c>
      <c r="C137" s="585">
        <v>31.2</v>
      </c>
      <c r="D137" s="586">
        <v>31.2</v>
      </c>
      <c r="E137" s="595" t="s">
        <v>322</v>
      </c>
      <c r="F137" s="585">
        <v>0</v>
      </c>
      <c r="G137" s="586">
        <v>0</v>
      </c>
      <c r="H137" s="588">
        <v>4.9406564584124654E-324</v>
      </c>
      <c r="I137" s="585">
        <v>6.8</v>
      </c>
      <c r="J137" s="586">
        <v>6.8</v>
      </c>
      <c r="K137" s="596" t="s">
        <v>322</v>
      </c>
    </row>
    <row r="138" spans="1:11" ht="14.4" customHeight="1" thickBot="1" x14ac:dyDescent="0.35">
      <c r="A138" s="607" t="s">
        <v>452</v>
      </c>
      <c r="B138" s="585">
        <v>0</v>
      </c>
      <c r="C138" s="585">
        <v>0.3</v>
      </c>
      <c r="D138" s="586">
        <v>0.3</v>
      </c>
      <c r="E138" s="595" t="s">
        <v>322</v>
      </c>
      <c r="F138" s="585">
        <v>0</v>
      </c>
      <c r="G138" s="586">
        <v>0</v>
      </c>
      <c r="H138" s="588">
        <v>4.9406564584124654E-324</v>
      </c>
      <c r="I138" s="585">
        <v>1.4821969375237396E-323</v>
      </c>
      <c r="J138" s="586">
        <v>1.4821969375237396E-323</v>
      </c>
      <c r="K138" s="596" t="s">
        <v>322</v>
      </c>
    </row>
    <row r="139" spans="1:11" ht="14.4" customHeight="1" thickBot="1" x14ac:dyDescent="0.35">
      <c r="A139" s="609" t="s">
        <v>453</v>
      </c>
      <c r="B139" s="585">
        <v>0</v>
      </c>
      <c r="C139" s="585">
        <v>28.172000000000001</v>
      </c>
      <c r="D139" s="586">
        <v>28.172000000000001</v>
      </c>
      <c r="E139" s="595" t="s">
        <v>322</v>
      </c>
      <c r="F139" s="585">
        <v>0</v>
      </c>
      <c r="G139" s="586">
        <v>0</v>
      </c>
      <c r="H139" s="588">
        <v>19.2</v>
      </c>
      <c r="I139" s="585">
        <v>19.2</v>
      </c>
      <c r="J139" s="586">
        <v>19.2</v>
      </c>
      <c r="K139" s="596" t="s">
        <v>322</v>
      </c>
    </row>
    <row r="140" spans="1:11" ht="14.4" customHeight="1" thickBot="1" x14ac:dyDescent="0.35">
      <c r="A140" s="607" t="s">
        <v>454</v>
      </c>
      <c r="B140" s="585">
        <v>0</v>
      </c>
      <c r="C140" s="585">
        <v>28.172000000000001</v>
      </c>
      <c r="D140" s="586">
        <v>28.172000000000001</v>
      </c>
      <c r="E140" s="595" t="s">
        <v>322</v>
      </c>
      <c r="F140" s="585">
        <v>0</v>
      </c>
      <c r="G140" s="586">
        <v>0</v>
      </c>
      <c r="H140" s="588">
        <v>19.2</v>
      </c>
      <c r="I140" s="585">
        <v>19.2</v>
      </c>
      <c r="J140" s="586">
        <v>19.2</v>
      </c>
      <c r="K140" s="596" t="s">
        <v>322</v>
      </c>
    </row>
    <row r="141" spans="1:11" ht="14.4" customHeight="1" thickBot="1" x14ac:dyDescent="0.35">
      <c r="A141" s="609" t="s">
        <v>455</v>
      </c>
      <c r="B141" s="585">
        <v>4.9406564584124654E-324</v>
      </c>
      <c r="C141" s="585">
        <v>4.9406564584124654E-324</v>
      </c>
      <c r="D141" s="586">
        <v>0</v>
      </c>
      <c r="E141" s="587">
        <v>1</v>
      </c>
      <c r="F141" s="585">
        <v>4.9406564584124654E-324</v>
      </c>
      <c r="G141" s="586">
        <v>0</v>
      </c>
      <c r="H141" s="588">
        <v>2.9</v>
      </c>
      <c r="I141" s="585">
        <v>2.9</v>
      </c>
      <c r="J141" s="586">
        <v>2.9</v>
      </c>
      <c r="K141" s="596" t="s">
        <v>328</v>
      </c>
    </row>
    <row r="142" spans="1:11" ht="14.4" customHeight="1" thickBot="1" x14ac:dyDescent="0.35">
      <c r="A142" s="607" t="s">
        <v>456</v>
      </c>
      <c r="B142" s="585">
        <v>4.9406564584124654E-324</v>
      </c>
      <c r="C142" s="585">
        <v>4.9406564584124654E-324</v>
      </c>
      <c r="D142" s="586">
        <v>0</v>
      </c>
      <c r="E142" s="587">
        <v>1</v>
      </c>
      <c r="F142" s="585">
        <v>4.9406564584124654E-324</v>
      </c>
      <c r="G142" s="586">
        <v>0</v>
      </c>
      <c r="H142" s="588">
        <v>2.9</v>
      </c>
      <c r="I142" s="585">
        <v>2.9</v>
      </c>
      <c r="J142" s="586">
        <v>2.9</v>
      </c>
      <c r="K142" s="596" t="s">
        <v>328</v>
      </c>
    </row>
    <row r="143" spans="1:11" ht="14.4" customHeight="1" thickBot="1" x14ac:dyDescent="0.35">
      <c r="A143" s="604" t="s">
        <v>457</v>
      </c>
      <c r="B143" s="585">
        <v>1225.99999999993</v>
      </c>
      <c r="C143" s="585">
        <v>1360.6953000000001</v>
      </c>
      <c r="D143" s="586">
        <v>134.69530000006799</v>
      </c>
      <c r="E143" s="587">
        <v>1.1098656606849999</v>
      </c>
      <c r="F143" s="585">
        <v>1074.9909964390899</v>
      </c>
      <c r="G143" s="586">
        <v>268.747749109773</v>
      </c>
      <c r="H143" s="588">
        <v>96.954890000000006</v>
      </c>
      <c r="I143" s="585">
        <v>318.08459000000101</v>
      </c>
      <c r="J143" s="586">
        <v>49.336840890227002</v>
      </c>
      <c r="K143" s="589">
        <v>0.29589512010199998</v>
      </c>
    </row>
    <row r="144" spans="1:11" ht="14.4" customHeight="1" thickBot="1" x14ac:dyDescent="0.35">
      <c r="A144" s="605" t="s">
        <v>458</v>
      </c>
      <c r="B144" s="585">
        <v>1225.99999999993</v>
      </c>
      <c r="C144" s="585">
        <v>1090.992</v>
      </c>
      <c r="D144" s="586">
        <v>-135.00799999993299</v>
      </c>
      <c r="E144" s="587">
        <v>0.88987928221799995</v>
      </c>
      <c r="F144" s="585">
        <v>1074.9909964390899</v>
      </c>
      <c r="G144" s="586">
        <v>268.747749109773</v>
      </c>
      <c r="H144" s="588">
        <v>86.765000000000001</v>
      </c>
      <c r="I144" s="585">
        <v>260.298</v>
      </c>
      <c r="J144" s="586">
        <v>-8.4497491097730002</v>
      </c>
      <c r="K144" s="589">
        <v>0.242139702436</v>
      </c>
    </row>
    <row r="145" spans="1:11" ht="14.4" customHeight="1" thickBot="1" x14ac:dyDescent="0.35">
      <c r="A145" s="606" t="s">
        <v>459</v>
      </c>
      <c r="B145" s="590">
        <v>1225.99999999993</v>
      </c>
      <c r="C145" s="590">
        <v>1089.4880000000001</v>
      </c>
      <c r="D145" s="591">
        <v>-136.51199999993199</v>
      </c>
      <c r="E145" s="598">
        <v>0.88865252854800003</v>
      </c>
      <c r="F145" s="590">
        <v>1074.9909964390899</v>
      </c>
      <c r="G145" s="591">
        <v>268.747749109773</v>
      </c>
      <c r="H145" s="593">
        <v>86.765000000000001</v>
      </c>
      <c r="I145" s="590">
        <v>260.298</v>
      </c>
      <c r="J145" s="591">
        <v>-8.4497491097730002</v>
      </c>
      <c r="K145" s="597">
        <v>0.242139702436</v>
      </c>
    </row>
    <row r="146" spans="1:11" ht="14.4" customHeight="1" thickBot="1" x14ac:dyDescent="0.35">
      <c r="A146" s="607" t="s">
        <v>460</v>
      </c>
      <c r="B146" s="585">
        <v>80.999999999994998</v>
      </c>
      <c r="C146" s="585">
        <v>67.418999999999997</v>
      </c>
      <c r="D146" s="586">
        <v>-13.580999999995001</v>
      </c>
      <c r="E146" s="587">
        <v>0.83233333333299997</v>
      </c>
      <c r="F146" s="585">
        <v>61.997536753737002</v>
      </c>
      <c r="G146" s="586">
        <v>15.499384188434</v>
      </c>
      <c r="H146" s="588">
        <v>5.2290000000000001</v>
      </c>
      <c r="I146" s="585">
        <v>15.686999999999999</v>
      </c>
      <c r="J146" s="586">
        <v>0.18761581156500001</v>
      </c>
      <c r="K146" s="589">
        <v>0.253026181706</v>
      </c>
    </row>
    <row r="147" spans="1:11" ht="14.4" customHeight="1" thickBot="1" x14ac:dyDescent="0.35">
      <c r="A147" s="607" t="s">
        <v>461</v>
      </c>
      <c r="B147" s="585">
        <v>140.99999999999201</v>
      </c>
      <c r="C147" s="585">
        <v>140.78200000000001</v>
      </c>
      <c r="D147" s="586">
        <v>-0.21799999999200001</v>
      </c>
      <c r="E147" s="587">
        <v>0.99845390070899998</v>
      </c>
      <c r="F147" s="585">
        <v>174.99999999999699</v>
      </c>
      <c r="G147" s="586">
        <v>43.749999999998998</v>
      </c>
      <c r="H147" s="588">
        <v>11.73</v>
      </c>
      <c r="I147" s="585">
        <v>35.19</v>
      </c>
      <c r="J147" s="586">
        <v>-8.5599999999990004</v>
      </c>
      <c r="K147" s="589">
        <v>0.20108571428499999</v>
      </c>
    </row>
    <row r="148" spans="1:11" ht="14.4" customHeight="1" thickBot="1" x14ac:dyDescent="0.35">
      <c r="A148" s="607" t="s">
        <v>462</v>
      </c>
      <c r="B148" s="585">
        <v>5.9999999999989999</v>
      </c>
      <c r="C148" s="585">
        <v>5.8330000000000002</v>
      </c>
      <c r="D148" s="586">
        <v>-0.166999999999</v>
      </c>
      <c r="E148" s="587">
        <v>0.97216666666600005</v>
      </c>
      <c r="F148" s="585">
        <v>3.0000250993719999</v>
      </c>
      <c r="G148" s="586">
        <v>0.75000627484299998</v>
      </c>
      <c r="H148" s="588">
        <v>0.22800000000000001</v>
      </c>
      <c r="I148" s="585">
        <v>0.68400000000000005</v>
      </c>
      <c r="J148" s="586">
        <v>-6.6006274843000007E-2</v>
      </c>
      <c r="K148" s="589">
        <v>0.22799809246300001</v>
      </c>
    </row>
    <row r="149" spans="1:11" ht="14.4" customHeight="1" thickBot="1" x14ac:dyDescent="0.35">
      <c r="A149" s="607" t="s">
        <v>463</v>
      </c>
      <c r="B149" s="585">
        <v>697.99999999996203</v>
      </c>
      <c r="C149" s="585">
        <v>574.68499999999995</v>
      </c>
      <c r="D149" s="586">
        <v>-123.314999999962</v>
      </c>
      <c r="E149" s="587">
        <v>0.82333094555800002</v>
      </c>
      <c r="F149" s="585">
        <v>532.99343458599299</v>
      </c>
      <c r="G149" s="586">
        <v>133.24835864649799</v>
      </c>
      <c r="H149" s="588">
        <v>44.396999999999998</v>
      </c>
      <c r="I149" s="585">
        <v>133.191</v>
      </c>
      <c r="J149" s="586">
        <v>-5.7358646497000003E-2</v>
      </c>
      <c r="K149" s="589">
        <v>0.24989238395300001</v>
      </c>
    </row>
    <row r="150" spans="1:11" ht="14.4" customHeight="1" thickBot="1" x14ac:dyDescent="0.35">
      <c r="A150" s="607" t="s">
        <v>464</v>
      </c>
      <c r="B150" s="585">
        <v>283.99999999998403</v>
      </c>
      <c r="C150" s="585">
        <v>284.339</v>
      </c>
      <c r="D150" s="586">
        <v>0.33900000001500002</v>
      </c>
      <c r="E150" s="587">
        <v>1.001193661971</v>
      </c>
      <c r="F150" s="585">
        <v>283.999999999995</v>
      </c>
      <c r="G150" s="586">
        <v>70.999999999997996</v>
      </c>
      <c r="H150" s="588">
        <v>23.690999999999999</v>
      </c>
      <c r="I150" s="585">
        <v>71.075999999999993</v>
      </c>
      <c r="J150" s="586">
        <v>7.6000000001000004E-2</v>
      </c>
      <c r="K150" s="589">
        <v>0.25026760563299999</v>
      </c>
    </row>
    <row r="151" spans="1:11" ht="14.4" customHeight="1" thickBot="1" x14ac:dyDescent="0.35">
      <c r="A151" s="607" t="s">
        <v>465</v>
      </c>
      <c r="B151" s="585">
        <v>15.999999999999</v>
      </c>
      <c r="C151" s="585">
        <v>16.43</v>
      </c>
      <c r="D151" s="586">
        <v>0.43</v>
      </c>
      <c r="E151" s="587">
        <v>1.026875</v>
      </c>
      <c r="F151" s="585">
        <v>17.999999999999002</v>
      </c>
      <c r="G151" s="586">
        <v>4.4999999999989999</v>
      </c>
      <c r="H151" s="588">
        <v>1.49</v>
      </c>
      <c r="I151" s="585">
        <v>4.47</v>
      </c>
      <c r="J151" s="586">
        <v>-2.9999999999E-2</v>
      </c>
      <c r="K151" s="589">
        <v>0.24833333333300001</v>
      </c>
    </row>
    <row r="152" spans="1:11" ht="14.4" customHeight="1" thickBot="1" x14ac:dyDescent="0.35">
      <c r="A152" s="606" t="s">
        <v>466</v>
      </c>
      <c r="B152" s="590">
        <v>4.9406564584124654E-324</v>
      </c>
      <c r="C152" s="590">
        <v>1.504</v>
      </c>
      <c r="D152" s="591">
        <v>1.504</v>
      </c>
      <c r="E152" s="592" t="s">
        <v>328</v>
      </c>
      <c r="F152" s="590">
        <v>0</v>
      </c>
      <c r="G152" s="591">
        <v>0</v>
      </c>
      <c r="H152" s="593">
        <v>4.9406564584124654E-324</v>
      </c>
      <c r="I152" s="590">
        <v>1.4821969375237396E-323</v>
      </c>
      <c r="J152" s="591">
        <v>1.4821969375237396E-323</v>
      </c>
      <c r="K152" s="594" t="s">
        <v>322</v>
      </c>
    </row>
    <row r="153" spans="1:11" ht="14.4" customHeight="1" thickBot="1" x14ac:dyDescent="0.35">
      <c r="A153" s="607" t="s">
        <v>467</v>
      </c>
      <c r="B153" s="585">
        <v>4.9406564584124654E-324</v>
      </c>
      <c r="C153" s="585">
        <v>1.504</v>
      </c>
      <c r="D153" s="586">
        <v>1.504</v>
      </c>
      <c r="E153" s="595" t="s">
        <v>328</v>
      </c>
      <c r="F153" s="585">
        <v>0</v>
      </c>
      <c r="G153" s="586">
        <v>0</v>
      </c>
      <c r="H153" s="588">
        <v>4.9406564584124654E-324</v>
      </c>
      <c r="I153" s="585">
        <v>1.4821969375237396E-323</v>
      </c>
      <c r="J153" s="586">
        <v>1.4821969375237396E-323</v>
      </c>
      <c r="K153" s="596" t="s">
        <v>322</v>
      </c>
    </row>
    <row r="154" spans="1:11" ht="14.4" customHeight="1" thickBot="1" x14ac:dyDescent="0.35">
      <c r="A154" s="605" t="s">
        <v>468</v>
      </c>
      <c r="B154" s="585">
        <v>0</v>
      </c>
      <c r="C154" s="585">
        <v>269.70330000000001</v>
      </c>
      <c r="D154" s="586">
        <v>269.70330000000001</v>
      </c>
      <c r="E154" s="595" t="s">
        <v>322</v>
      </c>
      <c r="F154" s="585">
        <v>0</v>
      </c>
      <c r="G154" s="586">
        <v>0</v>
      </c>
      <c r="H154" s="588">
        <v>10.18989</v>
      </c>
      <c r="I154" s="585">
        <v>57.786589999999997</v>
      </c>
      <c r="J154" s="586">
        <v>57.786589999999997</v>
      </c>
      <c r="K154" s="596" t="s">
        <v>322</v>
      </c>
    </row>
    <row r="155" spans="1:11" ht="14.4" customHeight="1" thickBot="1" x14ac:dyDescent="0.35">
      <c r="A155" s="606" t="s">
        <v>469</v>
      </c>
      <c r="B155" s="590">
        <v>0</v>
      </c>
      <c r="C155" s="590">
        <v>230.94553999999999</v>
      </c>
      <c r="D155" s="591">
        <v>230.94553999999999</v>
      </c>
      <c r="E155" s="592" t="s">
        <v>322</v>
      </c>
      <c r="F155" s="590">
        <v>0</v>
      </c>
      <c r="G155" s="591">
        <v>0</v>
      </c>
      <c r="H155" s="593">
        <v>6.4388899999999998</v>
      </c>
      <c r="I155" s="590">
        <v>33.48359</v>
      </c>
      <c r="J155" s="591">
        <v>33.48359</v>
      </c>
      <c r="K155" s="594" t="s">
        <v>322</v>
      </c>
    </row>
    <row r="156" spans="1:11" ht="14.4" customHeight="1" thickBot="1" x14ac:dyDescent="0.35">
      <c r="A156" s="607" t="s">
        <v>470</v>
      </c>
      <c r="B156" s="585">
        <v>0</v>
      </c>
      <c r="C156" s="585">
        <v>17.908000000000001</v>
      </c>
      <c r="D156" s="586">
        <v>17.908000000000001</v>
      </c>
      <c r="E156" s="595" t="s">
        <v>322</v>
      </c>
      <c r="F156" s="585">
        <v>0</v>
      </c>
      <c r="G156" s="586">
        <v>0</v>
      </c>
      <c r="H156" s="588">
        <v>4.9406564584124654E-324</v>
      </c>
      <c r="I156" s="585">
        <v>1.4821969375237396E-323</v>
      </c>
      <c r="J156" s="586">
        <v>1.4821969375237396E-323</v>
      </c>
      <c r="K156" s="596" t="s">
        <v>322</v>
      </c>
    </row>
    <row r="157" spans="1:11" ht="14.4" customHeight="1" thickBot="1" x14ac:dyDescent="0.35">
      <c r="A157" s="607" t="s">
        <v>471</v>
      </c>
      <c r="B157" s="585">
        <v>0</v>
      </c>
      <c r="C157" s="585">
        <v>213.03754000000001</v>
      </c>
      <c r="D157" s="586">
        <v>213.03754000000001</v>
      </c>
      <c r="E157" s="595" t="s">
        <v>322</v>
      </c>
      <c r="F157" s="585">
        <v>0</v>
      </c>
      <c r="G157" s="586">
        <v>0</v>
      </c>
      <c r="H157" s="588">
        <v>6.4388899999999998</v>
      </c>
      <c r="I157" s="585">
        <v>33.48359</v>
      </c>
      <c r="J157" s="586">
        <v>33.48359</v>
      </c>
      <c r="K157" s="596" t="s">
        <v>322</v>
      </c>
    </row>
    <row r="158" spans="1:11" ht="14.4" customHeight="1" thickBot="1" x14ac:dyDescent="0.35">
      <c r="A158" s="606" t="s">
        <v>472</v>
      </c>
      <c r="B158" s="590">
        <v>0</v>
      </c>
      <c r="C158" s="590">
        <v>22.39105</v>
      </c>
      <c r="D158" s="591">
        <v>22.39105</v>
      </c>
      <c r="E158" s="592" t="s">
        <v>322</v>
      </c>
      <c r="F158" s="590">
        <v>0</v>
      </c>
      <c r="G158" s="591">
        <v>0</v>
      </c>
      <c r="H158" s="593">
        <v>3.7509999999999999</v>
      </c>
      <c r="I158" s="590">
        <v>3.7509999999999999</v>
      </c>
      <c r="J158" s="591">
        <v>3.7509999999999999</v>
      </c>
      <c r="K158" s="594" t="s">
        <v>322</v>
      </c>
    </row>
    <row r="159" spans="1:11" ht="14.4" customHeight="1" thickBot="1" x14ac:dyDescent="0.35">
      <c r="A159" s="607" t="s">
        <v>473</v>
      </c>
      <c r="B159" s="585">
        <v>4.9406564584124654E-324</v>
      </c>
      <c r="C159" s="585">
        <v>11.62205</v>
      </c>
      <c r="D159" s="586">
        <v>11.62205</v>
      </c>
      <c r="E159" s="595" t="s">
        <v>328</v>
      </c>
      <c r="F159" s="585">
        <v>0</v>
      </c>
      <c r="G159" s="586">
        <v>0</v>
      </c>
      <c r="H159" s="588">
        <v>4.9406564584124654E-324</v>
      </c>
      <c r="I159" s="585">
        <v>1.4821969375237396E-323</v>
      </c>
      <c r="J159" s="586">
        <v>1.4821969375237396E-323</v>
      </c>
      <c r="K159" s="596" t="s">
        <v>322</v>
      </c>
    </row>
    <row r="160" spans="1:11" ht="14.4" customHeight="1" thickBot="1" x14ac:dyDescent="0.35">
      <c r="A160" s="607" t="s">
        <v>474</v>
      </c>
      <c r="B160" s="585">
        <v>0</v>
      </c>
      <c r="C160" s="585">
        <v>10.769</v>
      </c>
      <c r="D160" s="586">
        <v>10.769</v>
      </c>
      <c r="E160" s="595" t="s">
        <v>322</v>
      </c>
      <c r="F160" s="585">
        <v>0</v>
      </c>
      <c r="G160" s="586">
        <v>0</v>
      </c>
      <c r="H160" s="588">
        <v>3.7509999999999999</v>
      </c>
      <c r="I160" s="585">
        <v>3.7509999999999999</v>
      </c>
      <c r="J160" s="586">
        <v>3.7509999999999999</v>
      </c>
      <c r="K160" s="596" t="s">
        <v>322</v>
      </c>
    </row>
    <row r="161" spans="1:11" ht="14.4" customHeight="1" thickBot="1" x14ac:dyDescent="0.35">
      <c r="A161" s="606" t="s">
        <v>475</v>
      </c>
      <c r="B161" s="590">
        <v>4.9406564584124654E-324</v>
      </c>
      <c r="C161" s="590">
        <v>4.9406564584124654E-324</v>
      </c>
      <c r="D161" s="591">
        <v>0</v>
      </c>
      <c r="E161" s="598">
        <v>1</v>
      </c>
      <c r="F161" s="590">
        <v>4.9406564584124654E-324</v>
      </c>
      <c r="G161" s="591">
        <v>0</v>
      </c>
      <c r="H161" s="593">
        <v>4.9406564584124654E-324</v>
      </c>
      <c r="I161" s="590">
        <v>20.552</v>
      </c>
      <c r="J161" s="591">
        <v>20.552</v>
      </c>
      <c r="K161" s="594" t="s">
        <v>328</v>
      </c>
    </row>
    <row r="162" spans="1:11" ht="14.4" customHeight="1" thickBot="1" x14ac:dyDescent="0.35">
      <c r="A162" s="607" t="s">
        <v>476</v>
      </c>
      <c r="B162" s="585">
        <v>4.9406564584124654E-324</v>
      </c>
      <c r="C162" s="585">
        <v>4.9406564584124654E-324</v>
      </c>
      <c r="D162" s="586">
        <v>0</v>
      </c>
      <c r="E162" s="587">
        <v>1</v>
      </c>
      <c r="F162" s="585">
        <v>4.9406564584124654E-324</v>
      </c>
      <c r="G162" s="586">
        <v>0</v>
      </c>
      <c r="H162" s="588">
        <v>4.9406564584124654E-324</v>
      </c>
      <c r="I162" s="585">
        <v>20.552</v>
      </c>
      <c r="J162" s="586">
        <v>20.552</v>
      </c>
      <c r="K162" s="596" t="s">
        <v>328</v>
      </c>
    </row>
    <row r="163" spans="1:11" ht="14.4" customHeight="1" thickBot="1" x14ac:dyDescent="0.35">
      <c r="A163" s="606" t="s">
        <v>477</v>
      </c>
      <c r="B163" s="590">
        <v>0</v>
      </c>
      <c r="C163" s="590">
        <v>16.366710000000001</v>
      </c>
      <c r="D163" s="591">
        <v>16.366710000000001</v>
      </c>
      <c r="E163" s="592" t="s">
        <v>322</v>
      </c>
      <c r="F163" s="590">
        <v>0</v>
      </c>
      <c r="G163" s="591">
        <v>0</v>
      </c>
      <c r="H163" s="593">
        <v>4.9406564584124654E-324</v>
      </c>
      <c r="I163" s="590">
        <v>1.4821969375237396E-323</v>
      </c>
      <c r="J163" s="591">
        <v>1.4821969375237396E-323</v>
      </c>
      <c r="K163" s="594" t="s">
        <v>322</v>
      </c>
    </row>
    <row r="164" spans="1:11" ht="14.4" customHeight="1" thickBot="1" x14ac:dyDescent="0.35">
      <c r="A164" s="607" t="s">
        <v>478</v>
      </c>
      <c r="B164" s="585">
        <v>0</v>
      </c>
      <c r="C164" s="585">
        <v>16.366710000000001</v>
      </c>
      <c r="D164" s="586">
        <v>16.366710000000001</v>
      </c>
      <c r="E164" s="595" t="s">
        <v>322</v>
      </c>
      <c r="F164" s="585">
        <v>0</v>
      </c>
      <c r="G164" s="586">
        <v>0</v>
      </c>
      <c r="H164" s="588">
        <v>4.9406564584124654E-324</v>
      </c>
      <c r="I164" s="585">
        <v>1.4821969375237396E-323</v>
      </c>
      <c r="J164" s="586">
        <v>1.4821969375237396E-323</v>
      </c>
      <c r="K164" s="596" t="s">
        <v>322</v>
      </c>
    </row>
    <row r="165" spans="1:11" ht="14.4" customHeight="1" thickBot="1" x14ac:dyDescent="0.35">
      <c r="A165" s="604" t="s">
        <v>479</v>
      </c>
      <c r="B165" s="585">
        <v>0</v>
      </c>
      <c r="C165" s="585">
        <v>0.90776000000000001</v>
      </c>
      <c r="D165" s="586">
        <v>0.90776000000000001</v>
      </c>
      <c r="E165" s="595" t="s">
        <v>322</v>
      </c>
      <c r="F165" s="585">
        <v>0</v>
      </c>
      <c r="G165" s="586">
        <v>0</v>
      </c>
      <c r="H165" s="588">
        <v>4.9406564584124654E-324</v>
      </c>
      <c r="I165" s="585">
        <v>1.4821969375237396E-323</v>
      </c>
      <c r="J165" s="586">
        <v>1.4821969375237396E-323</v>
      </c>
      <c r="K165" s="596" t="s">
        <v>322</v>
      </c>
    </row>
    <row r="166" spans="1:11" ht="14.4" customHeight="1" thickBot="1" x14ac:dyDescent="0.35">
      <c r="A166" s="605" t="s">
        <v>480</v>
      </c>
      <c r="B166" s="585">
        <v>0</v>
      </c>
      <c r="C166" s="585">
        <v>0.90776000000000001</v>
      </c>
      <c r="D166" s="586">
        <v>0.90776000000000001</v>
      </c>
      <c r="E166" s="595" t="s">
        <v>322</v>
      </c>
      <c r="F166" s="585">
        <v>0</v>
      </c>
      <c r="G166" s="586">
        <v>0</v>
      </c>
      <c r="H166" s="588">
        <v>4.9406564584124654E-324</v>
      </c>
      <c r="I166" s="585">
        <v>1.4821969375237396E-323</v>
      </c>
      <c r="J166" s="586">
        <v>1.4821969375237396E-323</v>
      </c>
      <c r="K166" s="596" t="s">
        <v>322</v>
      </c>
    </row>
    <row r="167" spans="1:11" ht="14.4" customHeight="1" thickBot="1" x14ac:dyDescent="0.35">
      <c r="A167" s="606" t="s">
        <v>481</v>
      </c>
      <c r="B167" s="590">
        <v>0</v>
      </c>
      <c r="C167" s="590">
        <v>0.90776000000000001</v>
      </c>
      <c r="D167" s="591">
        <v>0.90776000000000001</v>
      </c>
      <c r="E167" s="592" t="s">
        <v>322</v>
      </c>
      <c r="F167" s="590">
        <v>0</v>
      </c>
      <c r="G167" s="591">
        <v>0</v>
      </c>
      <c r="H167" s="593">
        <v>4.9406564584124654E-324</v>
      </c>
      <c r="I167" s="590">
        <v>1.4821969375237396E-323</v>
      </c>
      <c r="J167" s="591">
        <v>1.4821969375237396E-323</v>
      </c>
      <c r="K167" s="594" t="s">
        <v>322</v>
      </c>
    </row>
    <row r="168" spans="1:11" ht="14.4" customHeight="1" thickBot="1" x14ac:dyDescent="0.35">
      <c r="A168" s="607" t="s">
        <v>482</v>
      </c>
      <c r="B168" s="585">
        <v>0</v>
      </c>
      <c r="C168" s="585">
        <v>0.90776000000000001</v>
      </c>
      <c r="D168" s="586">
        <v>0.90776000000000001</v>
      </c>
      <c r="E168" s="595" t="s">
        <v>322</v>
      </c>
      <c r="F168" s="585">
        <v>0</v>
      </c>
      <c r="G168" s="586">
        <v>0</v>
      </c>
      <c r="H168" s="588">
        <v>4.9406564584124654E-324</v>
      </c>
      <c r="I168" s="585">
        <v>1.4821969375237396E-323</v>
      </c>
      <c r="J168" s="586">
        <v>1.4821969375237396E-323</v>
      </c>
      <c r="K168" s="596" t="s">
        <v>322</v>
      </c>
    </row>
    <row r="169" spans="1:11" ht="14.4" customHeight="1" thickBot="1" x14ac:dyDescent="0.35">
      <c r="A169" s="603" t="s">
        <v>483</v>
      </c>
      <c r="B169" s="585">
        <v>52198.461340542897</v>
      </c>
      <c r="C169" s="585">
        <v>45235.127399999998</v>
      </c>
      <c r="D169" s="586">
        <v>-6963.3339405429397</v>
      </c>
      <c r="E169" s="587">
        <v>0.86659886591000002</v>
      </c>
      <c r="F169" s="585">
        <v>54612.9633286756</v>
      </c>
      <c r="G169" s="586">
        <v>13653.2408321689</v>
      </c>
      <c r="H169" s="588">
        <v>4067.00209</v>
      </c>
      <c r="I169" s="585">
        <v>14891.749589999999</v>
      </c>
      <c r="J169" s="586">
        <v>1238.5087578311</v>
      </c>
      <c r="K169" s="589">
        <v>0.27267792630799997</v>
      </c>
    </row>
    <row r="170" spans="1:11" ht="14.4" customHeight="1" thickBot="1" x14ac:dyDescent="0.35">
      <c r="A170" s="604" t="s">
        <v>484</v>
      </c>
      <c r="B170" s="585">
        <v>51817.888109989297</v>
      </c>
      <c r="C170" s="585">
        <v>44931.616269999999</v>
      </c>
      <c r="D170" s="586">
        <v>-6886.2718399893402</v>
      </c>
      <c r="E170" s="587">
        <v>0.86710628141799995</v>
      </c>
      <c r="F170" s="585">
        <v>54416.547309438603</v>
      </c>
      <c r="G170" s="586">
        <v>13604.1368273597</v>
      </c>
      <c r="H170" s="588">
        <v>4062.8698599999998</v>
      </c>
      <c r="I170" s="585">
        <v>14864.645759999999</v>
      </c>
      <c r="J170" s="586">
        <v>1260.5089326403399</v>
      </c>
      <c r="K170" s="589">
        <v>0.273164074072</v>
      </c>
    </row>
    <row r="171" spans="1:11" ht="14.4" customHeight="1" thickBot="1" x14ac:dyDescent="0.35">
      <c r="A171" s="605" t="s">
        <v>485</v>
      </c>
      <c r="B171" s="585">
        <v>51817.888109989297</v>
      </c>
      <c r="C171" s="585">
        <v>44931.616269999999</v>
      </c>
      <c r="D171" s="586">
        <v>-6886.2718399893402</v>
      </c>
      <c r="E171" s="587">
        <v>0.86710628141799995</v>
      </c>
      <c r="F171" s="585">
        <v>54416.547309438603</v>
      </c>
      <c r="G171" s="586">
        <v>13604.1368273597</v>
      </c>
      <c r="H171" s="588">
        <v>4062.8698599999998</v>
      </c>
      <c r="I171" s="585">
        <v>14864.645759999999</v>
      </c>
      <c r="J171" s="586">
        <v>1260.5089326403399</v>
      </c>
      <c r="K171" s="589">
        <v>0.273164074072</v>
      </c>
    </row>
    <row r="172" spans="1:11" ht="14.4" customHeight="1" thickBot="1" x14ac:dyDescent="0.35">
      <c r="A172" s="606" t="s">
        <v>486</v>
      </c>
      <c r="B172" s="590">
        <v>204.84913706868801</v>
      </c>
      <c r="C172" s="590">
        <v>306.81216000000001</v>
      </c>
      <c r="D172" s="591">
        <v>101.963022931312</v>
      </c>
      <c r="E172" s="598">
        <v>1.497746899939</v>
      </c>
      <c r="F172" s="590">
        <v>283.54730943861802</v>
      </c>
      <c r="G172" s="591">
        <v>70.886827359654006</v>
      </c>
      <c r="H172" s="593">
        <v>16.000979999999998</v>
      </c>
      <c r="I172" s="590">
        <v>39.539479999999998</v>
      </c>
      <c r="J172" s="591">
        <v>-31.347347359654002</v>
      </c>
      <c r="K172" s="597">
        <v>0.139445795053</v>
      </c>
    </row>
    <row r="173" spans="1:11" ht="14.4" customHeight="1" thickBot="1" x14ac:dyDescent="0.35">
      <c r="A173" s="607" t="s">
        <v>487</v>
      </c>
      <c r="B173" s="585">
        <v>2.9768965355980002</v>
      </c>
      <c r="C173" s="585">
        <v>35.033790000000003</v>
      </c>
      <c r="D173" s="586">
        <v>32.056893464402002</v>
      </c>
      <c r="E173" s="587">
        <v>11.768561514</v>
      </c>
      <c r="F173" s="585">
        <v>32.586107860405001</v>
      </c>
      <c r="G173" s="586">
        <v>8.1465269651009997</v>
      </c>
      <c r="H173" s="588">
        <v>12.467079999999999</v>
      </c>
      <c r="I173" s="585">
        <v>25.49118</v>
      </c>
      <c r="J173" s="586">
        <v>17.344653034897998</v>
      </c>
      <c r="K173" s="589">
        <v>0.78227139335499996</v>
      </c>
    </row>
    <row r="174" spans="1:11" ht="14.4" customHeight="1" thickBot="1" x14ac:dyDescent="0.35">
      <c r="A174" s="607" t="s">
        <v>488</v>
      </c>
      <c r="B174" s="585">
        <v>12.132386139678999</v>
      </c>
      <c r="C174" s="585">
        <v>16.37359</v>
      </c>
      <c r="D174" s="586">
        <v>4.2412038603199997</v>
      </c>
      <c r="E174" s="587">
        <v>1.3495770585839999</v>
      </c>
      <c r="F174" s="585">
        <v>15.846178638619</v>
      </c>
      <c r="G174" s="586">
        <v>3.9615446596539998</v>
      </c>
      <c r="H174" s="588">
        <v>1.2229000000000001</v>
      </c>
      <c r="I174" s="585">
        <v>3.0949</v>
      </c>
      <c r="J174" s="586">
        <v>-0.86664465965399995</v>
      </c>
      <c r="K174" s="589">
        <v>0.195308917725</v>
      </c>
    </row>
    <row r="175" spans="1:11" ht="14.4" customHeight="1" thickBot="1" x14ac:dyDescent="0.35">
      <c r="A175" s="607" t="s">
        <v>489</v>
      </c>
      <c r="B175" s="585">
        <v>3.5165788487960001</v>
      </c>
      <c r="C175" s="585">
        <v>111.58642</v>
      </c>
      <c r="D175" s="586">
        <v>108.069841151204</v>
      </c>
      <c r="E175" s="587">
        <v>31.731527941764</v>
      </c>
      <c r="F175" s="585">
        <v>100.09904778318401</v>
      </c>
      <c r="G175" s="586">
        <v>25.024761945796001</v>
      </c>
      <c r="H175" s="588">
        <v>4.9406564584124654E-324</v>
      </c>
      <c r="I175" s="585">
        <v>0.51039999999999996</v>
      </c>
      <c r="J175" s="586">
        <v>-24.514361945796001</v>
      </c>
      <c r="K175" s="589">
        <v>5.0989496029999999E-3</v>
      </c>
    </row>
    <row r="176" spans="1:11" ht="14.4" customHeight="1" thickBot="1" x14ac:dyDescent="0.35">
      <c r="A176" s="607" t="s">
        <v>490</v>
      </c>
      <c r="B176" s="585">
        <v>163.21076625038401</v>
      </c>
      <c r="C176" s="585">
        <v>128.09736000000001</v>
      </c>
      <c r="D176" s="586">
        <v>-35.113406250384003</v>
      </c>
      <c r="E176" s="587">
        <v>0.78485851725900002</v>
      </c>
      <c r="F176" s="585">
        <v>135.01597515640799</v>
      </c>
      <c r="G176" s="586">
        <v>33.753993789101997</v>
      </c>
      <c r="H176" s="588">
        <v>2.3109999999999999</v>
      </c>
      <c r="I176" s="585">
        <v>10.443</v>
      </c>
      <c r="J176" s="586">
        <v>-23.310993789102</v>
      </c>
      <c r="K176" s="589">
        <v>7.7346402807999995E-2</v>
      </c>
    </row>
    <row r="177" spans="1:11" ht="14.4" customHeight="1" thickBot="1" x14ac:dyDescent="0.35">
      <c r="A177" s="607" t="s">
        <v>491</v>
      </c>
      <c r="B177" s="585">
        <v>23.012509294229002</v>
      </c>
      <c r="C177" s="585">
        <v>15.721</v>
      </c>
      <c r="D177" s="586">
        <v>-7.2915092942289998</v>
      </c>
      <c r="E177" s="587">
        <v>0.68315018579599995</v>
      </c>
      <c r="F177" s="585">
        <v>0</v>
      </c>
      <c r="G177" s="586">
        <v>0</v>
      </c>
      <c r="H177" s="588">
        <v>4.9406564584124654E-324</v>
      </c>
      <c r="I177" s="585">
        <v>1.4821969375237396E-323</v>
      </c>
      <c r="J177" s="586">
        <v>1.4821969375237396E-323</v>
      </c>
      <c r="K177" s="596" t="s">
        <v>322</v>
      </c>
    </row>
    <row r="178" spans="1:11" ht="14.4" customHeight="1" thickBot="1" x14ac:dyDescent="0.35">
      <c r="A178" s="606" t="s">
        <v>492</v>
      </c>
      <c r="B178" s="590">
        <v>186.00256586937601</v>
      </c>
      <c r="C178" s="590">
        <v>142.52003999999999</v>
      </c>
      <c r="D178" s="591">
        <v>-43.482525869375003</v>
      </c>
      <c r="E178" s="598">
        <v>0.76622620410499998</v>
      </c>
      <c r="F178" s="590">
        <v>0</v>
      </c>
      <c r="G178" s="591">
        <v>0</v>
      </c>
      <c r="H178" s="593">
        <v>5.1566999999999998</v>
      </c>
      <c r="I178" s="590">
        <v>6.4331399999999999</v>
      </c>
      <c r="J178" s="591">
        <v>6.4331399999999999</v>
      </c>
      <c r="K178" s="594" t="s">
        <v>322</v>
      </c>
    </row>
    <row r="179" spans="1:11" ht="14.4" customHeight="1" thickBot="1" x14ac:dyDescent="0.35">
      <c r="A179" s="607" t="s">
        <v>493</v>
      </c>
      <c r="B179" s="585">
        <v>184.00256644797801</v>
      </c>
      <c r="C179" s="585">
        <v>128.72192999999999</v>
      </c>
      <c r="D179" s="586">
        <v>-55.280636447977002</v>
      </c>
      <c r="E179" s="587">
        <v>0.69956594891500001</v>
      </c>
      <c r="F179" s="585">
        <v>0</v>
      </c>
      <c r="G179" s="586">
        <v>0</v>
      </c>
      <c r="H179" s="588">
        <v>5.1566999999999998</v>
      </c>
      <c r="I179" s="585">
        <v>6.0503400000000003</v>
      </c>
      <c r="J179" s="586">
        <v>6.0503400000000003</v>
      </c>
      <c r="K179" s="596" t="s">
        <v>322</v>
      </c>
    </row>
    <row r="180" spans="1:11" ht="14.4" customHeight="1" thickBot="1" x14ac:dyDescent="0.35">
      <c r="A180" s="607" t="s">
        <v>494</v>
      </c>
      <c r="B180" s="585">
        <v>1.9999994213979999</v>
      </c>
      <c r="C180" s="585">
        <v>13.798109999999999</v>
      </c>
      <c r="D180" s="586">
        <v>11.798110578600999</v>
      </c>
      <c r="E180" s="587">
        <v>6.8990569959029999</v>
      </c>
      <c r="F180" s="585">
        <v>0</v>
      </c>
      <c r="G180" s="586">
        <v>0</v>
      </c>
      <c r="H180" s="588">
        <v>4.9406564584124654E-324</v>
      </c>
      <c r="I180" s="585">
        <v>0.38279999999999997</v>
      </c>
      <c r="J180" s="586">
        <v>0.38279999999999997</v>
      </c>
      <c r="K180" s="596" t="s">
        <v>322</v>
      </c>
    </row>
    <row r="181" spans="1:11" ht="14.4" customHeight="1" thickBot="1" x14ac:dyDescent="0.35">
      <c r="A181" s="606" t="s">
        <v>495</v>
      </c>
      <c r="B181" s="590">
        <v>268.03657816465602</v>
      </c>
      <c r="C181" s="590">
        <v>43.690390000000001</v>
      </c>
      <c r="D181" s="591">
        <v>-224.34618816465601</v>
      </c>
      <c r="E181" s="598">
        <v>0.16300159589800001</v>
      </c>
      <c r="F181" s="590">
        <v>0</v>
      </c>
      <c r="G181" s="591">
        <v>0</v>
      </c>
      <c r="H181" s="593">
        <v>4.9406564584124654E-324</v>
      </c>
      <c r="I181" s="590">
        <v>6.5323799999999999</v>
      </c>
      <c r="J181" s="591">
        <v>6.5323799999999999</v>
      </c>
      <c r="K181" s="594" t="s">
        <v>322</v>
      </c>
    </row>
    <row r="182" spans="1:11" ht="14.4" customHeight="1" thickBot="1" x14ac:dyDescent="0.35">
      <c r="A182" s="607" t="s">
        <v>496</v>
      </c>
      <c r="B182" s="585">
        <v>70.997598229898003</v>
      </c>
      <c r="C182" s="585">
        <v>20.869879999999998</v>
      </c>
      <c r="D182" s="586">
        <v>-50.127718229898001</v>
      </c>
      <c r="E182" s="587">
        <v>0.29395191556200001</v>
      </c>
      <c r="F182" s="585">
        <v>0</v>
      </c>
      <c r="G182" s="586">
        <v>0</v>
      </c>
      <c r="H182" s="588">
        <v>4.9406564584124654E-324</v>
      </c>
      <c r="I182" s="585">
        <v>6.4960000000000004E-2</v>
      </c>
      <c r="J182" s="586">
        <v>6.4960000000000004E-2</v>
      </c>
      <c r="K182" s="596" t="s">
        <v>322</v>
      </c>
    </row>
    <row r="183" spans="1:11" ht="14.4" customHeight="1" thickBot="1" x14ac:dyDescent="0.35">
      <c r="A183" s="607" t="s">
        <v>497</v>
      </c>
      <c r="B183" s="585">
        <v>197.03897993475701</v>
      </c>
      <c r="C183" s="585">
        <v>22.820509999999999</v>
      </c>
      <c r="D183" s="586">
        <v>-174.218469934757</v>
      </c>
      <c r="E183" s="587">
        <v>0.115817235795</v>
      </c>
      <c r="F183" s="585">
        <v>0</v>
      </c>
      <c r="G183" s="586">
        <v>0</v>
      </c>
      <c r="H183" s="588">
        <v>4.9406564584124654E-324</v>
      </c>
      <c r="I183" s="585">
        <v>6.4674199999999997</v>
      </c>
      <c r="J183" s="586">
        <v>6.4674199999999997</v>
      </c>
      <c r="K183" s="596" t="s">
        <v>322</v>
      </c>
    </row>
    <row r="184" spans="1:11" ht="14.4" customHeight="1" thickBot="1" x14ac:dyDescent="0.35">
      <c r="A184" s="606" t="s">
        <v>498</v>
      </c>
      <c r="B184" s="590">
        <v>0</v>
      </c>
      <c r="C184" s="590">
        <v>-50.23066</v>
      </c>
      <c r="D184" s="591">
        <v>-50.23066</v>
      </c>
      <c r="E184" s="592" t="s">
        <v>322</v>
      </c>
      <c r="F184" s="590">
        <v>0</v>
      </c>
      <c r="G184" s="591">
        <v>0</v>
      </c>
      <c r="H184" s="593">
        <v>4.9406564584124654E-324</v>
      </c>
      <c r="I184" s="590">
        <v>1.4821969375237396E-323</v>
      </c>
      <c r="J184" s="591">
        <v>1.4821969375237396E-323</v>
      </c>
      <c r="K184" s="594" t="s">
        <v>322</v>
      </c>
    </row>
    <row r="185" spans="1:11" ht="14.4" customHeight="1" thickBot="1" x14ac:dyDescent="0.35">
      <c r="A185" s="607" t="s">
        <v>499</v>
      </c>
      <c r="B185" s="585">
        <v>0</v>
      </c>
      <c r="C185" s="585">
        <v>-50.141359999999999</v>
      </c>
      <c r="D185" s="586">
        <v>-50.141359999999999</v>
      </c>
      <c r="E185" s="595" t="s">
        <v>322</v>
      </c>
      <c r="F185" s="585">
        <v>0</v>
      </c>
      <c r="G185" s="586">
        <v>0</v>
      </c>
      <c r="H185" s="588">
        <v>4.9406564584124654E-324</v>
      </c>
      <c r="I185" s="585">
        <v>1.4821969375237396E-323</v>
      </c>
      <c r="J185" s="586">
        <v>1.4821969375237396E-323</v>
      </c>
      <c r="K185" s="596" t="s">
        <v>322</v>
      </c>
    </row>
    <row r="186" spans="1:11" ht="14.4" customHeight="1" thickBot="1" x14ac:dyDescent="0.35">
      <c r="A186" s="607" t="s">
        <v>500</v>
      </c>
      <c r="B186" s="585">
        <v>0</v>
      </c>
      <c r="C186" s="585">
        <v>-8.9300000000000004E-2</v>
      </c>
      <c r="D186" s="586">
        <v>-8.9300000000000004E-2</v>
      </c>
      <c r="E186" s="595" t="s">
        <v>322</v>
      </c>
      <c r="F186" s="585">
        <v>0</v>
      </c>
      <c r="G186" s="586">
        <v>0</v>
      </c>
      <c r="H186" s="588">
        <v>4.9406564584124654E-324</v>
      </c>
      <c r="I186" s="585">
        <v>1.4821969375237396E-323</v>
      </c>
      <c r="J186" s="586">
        <v>1.4821969375237396E-323</v>
      </c>
      <c r="K186" s="596" t="s">
        <v>322</v>
      </c>
    </row>
    <row r="187" spans="1:11" ht="14.4" customHeight="1" thickBot="1" x14ac:dyDescent="0.35">
      <c r="A187" s="606" t="s">
        <v>501</v>
      </c>
      <c r="B187" s="590">
        <v>0</v>
      </c>
      <c r="C187" s="590">
        <v>0.495</v>
      </c>
      <c r="D187" s="591">
        <v>0.495</v>
      </c>
      <c r="E187" s="592" t="s">
        <v>322</v>
      </c>
      <c r="F187" s="590">
        <v>0</v>
      </c>
      <c r="G187" s="591">
        <v>0</v>
      </c>
      <c r="H187" s="593">
        <v>4.9406564584124654E-324</v>
      </c>
      <c r="I187" s="590">
        <v>9.2700000000000005E-2</v>
      </c>
      <c r="J187" s="591">
        <v>9.2700000000000005E-2</v>
      </c>
      <c r="K187" s="594" t="s">
        <v>322</v>
      </c>
    </row>
    <row r="188" spans="1:11" ht="14.4" customHeight="1" thickBot="1" x14ac:dyDescent="0.35">
      <c r="A188" s="607" t="s">
        <v>502</v>
      </c>
      <c r="B188" s="585">
        <v>0</v>
      </c>
      <c r="C188" s="585">
        <v>0.495</v>
      </c>
      <c r="D188" s="586">
        <v>0.495</v>
      </c>
      <c r="E188" s="595" t="s">
        <v>322</v>
      </c>
      <c r="F188" s="585">
        <v>0</v>
      </c>
      <c r="G188" s="586">
        <v>0</v>
      </c>
      <c r="H188" s="588">
        <v>4.9406564584124654E-324</v>
      </c>
      <c r="I188" s="585">
        <v>9.2700000000000005E-2</v>
      </c>
      <c r="J188" s="586">
        <v>9.2700000000000005E-2</v>
      </c>
      <c r="K188" s="596" t="s">
        <v>322</v>
      </c>
    </row>
    <row r="189" spans="1:11" ht="14.4" customHeight="1" thickBot="1" x14ac:dyDescent="0.35">
      <c r="A189" s="606" t="s">
        <v>503</v>
      </c>
      <c r="B189" s="590">
        <v>51158.999828886597</v>
      </c>
      <c r="C189" s="590">
        <v>42436.847269999998</v>
      </c>
      <c r="D189" s="591">
        <v>-8722.1525588866207</v>
      </c>
      <c r="E189" s="598">
        <v>0.82950893121299996</v>
      </c>
      <c r="F189" s="590">
        <v>54133</v>
      </c>
      <c r="G189" s="591">
        <v>13533.25</v>
      </c>
      <c r="H189" s="593">
        <v>4041.71218</v>
      </c>
      <c r="I189" s="590">
        <v>14664.956410000001</v>
      </c>
      <c r="J189" s="591">
        <v>1131.70641</v>
      </c>
      <c r="K189" s="597">
        <v>0.27090603532000002</v>
      </c>
    </row>
    <row r="190" spans="1:11" ht="14.4" customHeight="1" thickBot="1" x14ac:dyDescent="0.35">
      <c r="A190" s="607" t="s">
        <v>504</v>
      </c>
      <c r="B190" s="585">
        <v>23397.999929460799</v>
      </c>
      <c r="C190" s="585">
        <v>17794.501130000001</v>
      </c>
      <c r="D190" s="586">
        <v>-5603.49879946081</v>
      </c>
      <c r="E190" s="587">
        <v>0.760513769708</v>
      </c>
      <c r="F190" s="585">
        <v>26694</v>
      </c>
      <c r="G190" s="586">
        <v>6673.5</v>
      </c>
      <c r="H190" s="588">
        <v>1384.92894</v>
      </c>
      <c r="I190" s="585">
        <v>5812.0153399999999</v>
      </c>
      <c r="J190" s="586">
        <v>-861.48466000000406</v>
      </c>
      <c r="K190" s="589">
        <v>0.21772740466000001</v>
      </c>
    </row>
    <row r="191" spans="1:11" ht="14.4" customHeight="1" thickBot="1" x14ac:dyDescent="0.35">
      <c r="A191" s="607" t="s">
        <v>505</v>
      </c>
      <c r="B191" s="585">
        <v>27760.999899425799</v>
      </c>
      <c r="C191" s="585">
        <v>24642.346140000001</v>
      </c>
      <c r="D191" s="586">
        <v>-3118.6537594258202</v>
      </c>
      <c r="E191" s="587">
        <v>0.887660611263</v>
      </c>
      <c r="F191" s="585">
        <v>27439</v>
      </c>
      <c r="G191" s="586">
        <v>6859.75</v>
      </c>
      <c r="H191" s="588">
        <v>2656.7832400000002</v>
      </c>
      <c r="I191" s="585">
        <v>8852.9410700000008</v>
      </c>
      <c r="J191" s="586">
        <v>1993.1910700000001</v>
      </c>
      <c r="K191" s="589">
        <v>0.322640805787</v>
      </c>
    </row>
    <row r="192" spans="1:11" ht="14.4" customHeight="1" thickBot="1" x14ac:dyDescent="0.35">
      <c r="A192" s="606" t="s">
        <v>506</v>
      </c>
      <c r="B192" s="590">
        <v>0</v>
      </c>
      <c r="C192" s="590">
        <v>2051.48207</v>
      </c>
      <c r="D192" s="591">
        <v>2051.48207</v>
      </c>
      <c r="E192" s="592" t="s">
        <v>322</v>
      </c>
      <c r="F192" s="590">
        <v>0</v>
      </c>
      <c r="G192" s="591">
        <v>0</v>
      </c>
      <c r="H192" s="593">
        <v>4.9406564584124654E-324</v>
      </c>
      <c r="I192" s="590">
        <v>147.09164999999999</v>
      </c>
      <c r="J192" s="591">
        <v>147.09164999999999</v>
      </c>
      <c r="K192" s="594" t="s">
        <v>322</v>
      </c>
    </row>
    <row r="193" spans="1:11" ht="14.4" customHeight="1" thickBot="1" x14ac:dyDescent="0.35">
      <c r="A193" s="607" t="s">
        <v>507</v>
      </c>
      <c r="B193" s="585">
        <v>4.9406564584124654E-324</v>
      </c>
      <c r="C193" s="585">
        <v>1367.81603</v>
      </c>
      <c r="D193" s="586">
        <v>1367.81603</v>
      </c>
      <c r="E193" s="595" t="s">
        <v>328</v>
      </c>
      <c r="F193" s="585">
        <v>0</v>
      </c>
      <c r="G193" s="586">
        <v>0</v>
      </c>
      <c r="H193" s="588">
        <v>4.9406564584124654E-324</v>
      </c>
      <c r="I193" s="585">
        <v>96.041380000000004</v>
      </c>
      <c r="J193" s="586">
        <v>96.041380000000004</v>
      </c>
      <c r="K193" s="596" t="s">
        <v>322</v>
      </c>
    </row>
    <row r="194" spans="1:11" ht="14.4" customHeight="1" thickBot="1" x14ac:dyDescent="0.35">
      <c r="A194" s="607" t="s">
        <v>508</v>
      </c>
      <c r="B194" s="585">
        <v>0</v>
      </c>
      <c r="C194" s="585">
        <v>683.66603999999995</v>
      </c>
      <c r="D194" s="586">
        <v>683.66603999999995</v>
      </c>
      <c r="E194" s="595" t="s">
        <v>322</v>
      </c>
      <c r="F194" s="585">
        <v>0</v>
      </c>
      <c r="G194" s="586">
        <v>0</v>
      </c>
      <c r="H194" s="588">
        <v>4.9406564584124654E-324</v>
      </c>
      <c r="I194" s="585">
        <v>51.050269999999998</v>
      </c>
      <c r="J194" s="586">
        <v>51.050269999999998</v>
      </c>
      <c r="K194" s="596" t="s">
        <v>322</v>
      </c>
    </row>
    <row r="195" spans="1:11" ht="14.4" customHeight="1" thickBot="1" x14ac:dyDescent="0.35">
      <c r="A195" s="604" t="s">
        <v>509</v>
      </c>
      <c r="B195" s="585">
        <v>329.573230553607</v>
      </c>
      <c r="C195" s="585">
        <v>252.59112999999999</v>
      </c>
      <c r="D195" s="586">
        <v>-76.982100553606998</v>
      </c>
      <c r="E195" s="587">
        <v>0.76641883072700001</v>
      </c>
      <c r="F195" s="585">
        <v>145.41601923695799</v>
      </c>
      <c r="G195" s="586">
        <v>36.354004809239001</v>
      </c>
      <c r="H195" s="588">
        <v>4.1322299999999998</v>
      </c>
      <c r="I195" s="585">
        <v>27.103829999999999</v>
      </c>
      <c r="J195" s="586">
        <v>-9.2501748092390006</v>
      </c>
      <c r="K195" s="589">
        <v>0.186388199472</v>
      </c>
    </row>
    <row r="196" spans="1:11" ht="14.4" customHeight="1" thickBot="1" x14ac:dyDescent="0.35">
      <c r="A196" s="605" t="s">
        <v>510</v>
      </c>
      <c r="B196" s="585">
        <v>202.934996794608</v>
      </c>
      <c r="C196" s="585">
        <v>161.33779999999999</v>
      </c>
      <c r="D196" s="586">
        <v>-41.597196794608003</v>
      </c>
      <c r="E196" s="587">
        <v>0.79502206395300001</v>
      </c>
      <c r="F196" s="585">
        <v>0</v>
      </c>
      <c r="G196" s="586">
        <v>0</v>
      </c>
      <c r="H196" s="588">
        <v>4.9406564584124654E-324</v>
      </c>
      <c r="I196" s="585">
        <v>2.42</v>
      </c>
      <c r="J196" s="586">
        <v>2.42</v>
      </c>
      <c r="K196" s="596" t="s">
        <v>322</v>
      </c>
    </row>
    <row r="197" spans="1:11" ht="14.4" customHeight="1" thickBot="1" x14ac:dyDescent="0.35">
      <c r="A197" s="606" t="s">
        <v>511</v>
      </c>
      <c r="B197" s="590">
        <v>4.9406564584124654E-324</v>
      </c>
      <c r="C197" s="590">
        <v>4.9406564584124654E-324</v>
      </c>
      <c r="D197" s="591">
        <v>0</v>
      </c>
      <c r="E197" s="598">
        <v>1</v>
      </c>
      <c r="F197" s="590">
        <v>4.9406564584124654E-324</v>
      </c>
      <c r="G197" s="591">
        <v>0</v>
      </c>
      <c r="H197" s="593">
        <v>4.9406564584124654E-324</v>
      </c>
      <c r="I197" s="590">
        <v>2.42</v>
      </c>
      <c r="J197" s="591">
        <v>2.42</v>
      </c>
      <c r="K197" s="594" t="s">
        <v>328</v>
      </c>
    </row>
    <row r="198" spans="1:11" ht="14.4" customHeight="1" thickBot="1" x14ac:dyDescent="0.35">
      <c r="A198" s="607" t="s">
        <v>512</v>
      </c>
      <c r="B198" s="585">
        <v>4.9406564584124654E-324</v>
      </c>
      <c r="C198" s="585">
        <v>4.9406564584124654E-324</v>
      </c>
      <c r="D198" s="586">
        <v>0</v>
      </c>
      <c r="E198" s="587">
        <v>1</v>
      </c>
      <c r="F198" s="585">
        <v>4.9406564584124654E-324</v>
      </c>
      <c r="G198" s="586">
        <v>0</v>
      </c>
      <c r="H198" s="588">
        <v>4.9406564584124654E-324</v>
      </c>
      <c r="I198" s="585">
        <v>2.42</v>
      </c>
      <c r="J198" s="586">
        <v>2.42</v>
      </c>
      <c r="K198" s="596" t="s">
        <v>328</v>
      </c>
    </row>
    <row r="199" spans="1:11" ht="14.4" customHeight="1" thickBot="1" x14ac:dyDescent="0.35">
      <c r="A199" s="606" t="s">
        <v>513</v>
      </c>
      <c r="B199" s="590">
        <v>202.934996794608</v>
      </c>
      <c r="C199" s="590">
        <v>161.33779999999999</v>
      </c>
      <c r="D199" s="591">
        <v>-41.597196794608003</v>
      </c>
      <c r="E199" s="598">
        <v>0.79502206395300001</v>
      </c>
      <c r="F199" s="590">
        <v>0</v>
      </c>
      <c r="G199" s="591">
        <v>0</v>
      </c>
      <c r="H199" s="593">
        <v>4.9406564584124654E-324</v>
      </c>
      <c r="I199" s="590">
        <v>1.4821969375237396E-323</v>
      </c>
      <c r="J199" s="591">
        <v>1.4821969375237396E-323</v>
      </c>
      <c r="K199" s="594" t="s">
        <v>322</v>
      </c>
    </row>
    <row r="200" spans="1:11" ht="14.4" customHeight="1" thickBot="1" x14ac:dyDescent="0.35">
      <c r="A200" s="607" t="s">
        <v>514</v>
      </c>
      <c r="B200" s="585">
        <v>0</v>
      </c>
      <c r="C200" s="585">
        <v>98.794520000000006</v>
      </c>
      <c r="D200" s="586">
        <v>98.794520000000006</v>
      </c>
      <c r="E200" s="595" t="s">
        <v>322</v>
      </c>
      <c r="F200" s="585">
        <v>0</v>
      </c>
      <c r="G200" s="586">
        <v>0</v>
      </c>
      <c r="H200" s="588">
        <v>4.9406564584124654E-324</v>
      </c>
      <c r="I200" s="585">
        <v>1.4821969375237396E-323</v>
      </c>
      <c r="J200" s="586">
        <v>1.4821969375237396E-323</v>
      </c>
      <c r="K200" s="596" t="s">
        <v>322</v>
      </c>
    </row>
    <row r="201" spans="1:11" ht="14.4" customHeight="1" thickBot="1" x14ac:dyDescent="0.35">
      <c r="A201" s="607" t="s">
        <v>515</v>
      </c>
      <c r="B201" s="585">
        <v>4.9406564584124654E-324</v>
      </c>
      <c r="C201" s="585">
        <v>0.64700000000000002</v>
      </c>
      <c r="D201" s="586">
        <v>0.64700000000000002</v>
      </c>
      <c r="E201" s="595" t="s">
        <v>328</v>
      </c>
      <c r="F201" s="585">
        <v>0</v>
      </c>
      <c r="G201" s="586">
        <v>0</v>
      </c>
      <c r="H201" s="588">
        <v>4.9406564584124654E-324</v>
      </c>
      <c r="I201" s="585">
        <v>1.4821969375237396E-323</v>
      </c>
      <c r="J201" s="586">
        <v>1.4821969375237396E-323</v>
      </c>
      <c r="K201" s="596" t="s">
        <v>322</v>
      </c>
    </row>
    <row r="202" spans="1:11" ht="14.4" customHeight="1" thickBot="1" x14ac:dyDescent="0.35">
      <c r="A202" s="607" t="s">
        <v>516</v>
      </c>
      <c r="B202" s="585">
        <v>0</v>
      </c>
      <c r="C202" s="585">
        <v>20.47512</v>
      </c>
      <c r="D202" s="586">
        <v>20.47512</v>
      </c>
      <c r="E202" s="595" t="s">
        <v>322</v>
      </c>
      <c r="F202" s="585">
        <v>0</v>
      </c>
      <c r="G202" s="586">
        <v>0</v>
      </c>
      <c r="H202" s="588">
        <v>4.9406564584124654E-324</v>
      </c>
      <c r="I202" s="585">
        <v>1.4821969375237396E-323</v>
      </c>
      <c r="J202" s="586">
        <v>1.4821969375237396E-323</v>
      </c>
      <c r="K202" s="596" t="s">
        <v>322</v>
      </c>
    </row>
    <row r="203" spans="1:11" ht="14.4" customHeight="1" thickBot="1" x14ac:dyDescent="0.35">
      <c r="A203" s="607" t="s">
        <v>517</v>
      </c>
      <c r="B203" s="585">
        <v>0</v>
      </c>
      <c r="C203" s="585">
        <v>17.84375</v>
      </c>
      <c r="D203" s="586">
        <v>17.84375</v>
      </c>
      <c r="E203" s="595" t="s">
        <v>322</v>
      </c>
      <c r="F203" s="585">
        <v>0</v>
      </c>
      <c r="G203" s="586">
        <v>0</v>
      </c>
      <c r="H203" s="588">
        <v>4.9406564584124654E-324</v>
      </c>
      <c r="I203" s="585">
        <v>1.4821969375237396E-323</v>
      </c>
      <c r="J203" s="586">
        <v>1.4821969375237396E-323</v>
      </c>
      <c r="K203" s="596" t="s">
        <v>322</v>
      </c>
    </row>
    <row r="204" spans="1:11" ht="14.4" customHeight="1" thickBot="1" x14ac:dyDescent="0.35">
      <c r="A204" s="607" t="s">
        <v>518</v>
      </c>
      <c r="B204" s="585">
        <v>0</v>
      </c>
      <c r="C204" s="585">
        <v>19.794910000000002</v>
      </c>
      <c r="D204" s="586">
        <v>19.794910000000002</v>
      </c>
      <c r="E204" s="595" t="s">
        <v>322</v>
      </c>
      <c r="F204" s="585">
        <v>0</v>
      </c>
      <c r="G204" s="586">
        <v>0</v>
      </c>
      <c r="H204" s="588">
        <v>4.9406564584124654E-324</v>
      </c>
      <c r="I204" s="585">
        <v>1.4821969375237396E-323</v>
      </c>
      <c r="J204" s="586">
        <v>1.4821969375237396E-323</v>
      </c>
      <c r="K204" s="596" t="s">
        <v>322</v>
      </c>
    </row>
    <row r="205" spans="1:11" ht="14.4" customHeight="1" thickBot="1" x14ac:dyDescent="0.35">
      <c r="A205" s="607" t="s">
        <v>519</v>
      </c>
      <c r="B205" s="585">
        <v>4.9406564584124654E-324</v>
      </c>
      <c r="C205" s="585">
        <v>3.7825000000000002</v>
      </c>
      <c r="D205" s="586">
        <v>3.7825000000000002</v>
      </c>
      <c r="E205" s="595" t="s">
        <v>328</v>
      </c>
      <c r="F205" s="585">
        <v>0</v>
      </c>
      <c r="G205" s="586">
        <v>0</v>
      </c>
      <c r="H205" s="588">
        <v>4.9406564584124654E-324</v>
      </c>
      <c r="I205" s="585">
        <v>1.4821969375237396E-323</v>
      </c>
      <c r="J205" s="586">
        <v>1.4821969375237396E-323</v>
      </c>
      <c r="K205" s="596" t="s">
        <v>322</v>
      </c>
    </row>
    <row r="206" spans="1:11" ht="14.4" customHeight="1" thickBot="1" x14ac:dyDescent="0.35">
      <c r="A206" s="610" t="s">
        <v>520</v>
      </c>
      <c r="B206" s="590">
        <v>126.63823375899899</v>
      </c>
      <c r="C206" s="590">
        <v>91.253330000000005</v>
      </c>
      <c r="D206" s="591">
        <v>-35.384903758999002</v>
      </c>
      <c r="E206" s="598">
        <v>0.72058277576399998</v>
      </c>
      <c r="F206" s="590">
        <v>145.41601923695799</v>
      </c>
      <c r="G206" s="591">
        <v>36.354004809239001</v>
      </c>
      <c r="H206" s="593">
        <v>4.1322299999999998</v>
      </c>
      <c r="I206" s="590">
        <v>24.68383</v>
      </c>
      <c r="J206" s="591">
        <v>-11.670174809239001</v>
      </c>
      <c r="K206" s="597">
        <v>0.169746291567</v>
      </c>
    </row>
    <row r="207" spans="1:11" ht="14.4" customHeight="1" thickBot="1" x14ac:dyDescent="0.35">
      <c r="A207" s="606" t="s">
        <v>521</v>
      </c>
      <c r="B207" s="590">
        <v>0</v>
      </c>
      <c r="C207" s="590">
        <v>-5.806E-2</v>
      </c>
      <c r="D207" s="591">
        <v>-5.806E-2</v>
      </c>
      <c r="E207" s="592" t="s">
        <v>322</v>
      </c>
      <c r="F207" s="590">
        <v>0</v>
      </c>
      <c r="G207" s="591">
        <v>0</v>
      </c>
      <c r="H207" s="593">
        <v>4.9406564584124654E-324</v>
      </c>
      <c r="I207" s="590">
        <v>-4.0000000000000002E-4</v>
      </c>
      <c r="J207" s="591">
        <v>-4.0000000000000002E-4</v>
      </c>
      <c r="K207" s="594" t="s">
        <v>322</v>
      </c>
    </row>
    <row r="208" spans="1:11" ht="14.4" customHeight="1" thickBot="1" x14ac:dyDescent="0.35">
      <c r="A208" s="607" t="s">
        <v>522</v>
      </c>
      <c r="B208" s="585">
        <v>0</v>
      </c>
      <c r="C208" s="585">
        <v>-5.806E-2</v>
      </c>
      <c r="D208" s="586">
        <v>-5.806E-2</v>
      </c>
      <c r="E208" s="595" t="s">
        <v>322</v>
      </c>
      <c r="F208" s="585">
        <v>0</v>
      </c>
      <c r="G208" s="586">
        <v>0</v>
      </c>
      <c r="H208" s="588">
        <v>4.9406564584124654E-324</v>
      </c>
      <c r="I208" s="585">
        <v>-4.0000000000000002E-4</v>
      </c>
      <c r="J208" s="586">
        <v>-4.0000000000000002E-4</v>
      </c>
      <c r="K208" s="596" t="s">
        <v>322</v>
      </c>
    </row>
    <row r="209" spans="1:11" ht="14.4" customHeight="1" thickBot="1" x14ac:dyDescent="0.35">
      <c r="A209" s="606" t="s">
        <v>523</v>
      </c>
      <c r="B209" s="590">
        <v>126.63823375899899</v>
      </c>
      <c r="C209" s="590">
        <v>75.472390000000004</v>
      </c>
      <c r="D209" s="591">
        <v>-51.165843758999003</v>
      </c>
      <c r="E209" s="598">
        <v>0.59596843512200004</v>
      </c>
      <c r="F209" s="590">
        <v>145.41601923695799</v>
      </c>
      <c r="G209" s="591">
        <v>36.354004809239001</v>
      </c>
      <c r="H209" s="593">
        <v>4.1322299999999998</v>
      </c>
      <c r="I209" s="590">
        <v>4.1322299999999998</v>
      </c>
      <c r="J209" s="591">
        <v>-32.221774809239001</v>
      </c>
      <c r="K209" s="597">
        <v>2.8416607892000002E-2</v>
      </c>
    </row>
    <row r="210" spans="1:11" ht="14.4" customHeight="1" thickBot="1" x14ac:dyDescent="0.35">
      <c r="A210" s="607" t="s">
        <v>524</v>
      </c>
      <c r="B210" s="585">
        <v>4.9406564584124654E-324</v>
      </c>
      <c r="C210" s="585">
        <v>10.5</v>
      </c>
      <c r="D210" s="586">
        <v>10.5</v>
      </c>
      <c r="E210" s="595" t="s">
        <v>328</v>
      </c>
      <c r="F210" s="585">
        <v>0</v>
      </c>
      <c r="G210" s="586">
        <v>0</v>
      </c>
      <c r="H210" s="588">
        <v>4.9406564584124654E-324</v>
      </c>
      <c r="I210" s="585">
        <v>1.4821969375237396E-323</v>
      </c>
      <c r="J210" s="586">
        <v>1.4821969375237396E-323</v>
      </c>
      <c r="K210" s="596" t="s">
        <v>322</v>
      </c>
    </row>
    <row r="211" spans="1:11" ht="14.4" customHeight="1" thickBot="1" x14ac:dyDescent="0.35">
      <c r="A211" s="607" t="s">
        <v>525</v>
      </c>
      <c r="B211" s="585">
        <v>94.311280463022996</v>
      </c>
      <c r="C211" s="585">
        <v>22.286429999999999</v>
      </c>
      <c r="D211" s="586">
        <v>-72.024850463023</v>
      </c>
      <c r="E211" s="587">
        <v>0.23630715107</v>
      </c>
      <c r="F211" s="585">
        <v>113.17353655562999</v>
      </c>
      <c r="G211" s="586">
        <v>28.293384138907001</v>
      </c>
      <c r="H211" s="588">
        <v>4.9406564584124654E-324</v>
      </c>
      <c r="I211" s="585">
        <v>1.4821969375237396E-323</v>
      </c>
      <c r="J211" s="586">
        <v>-28.293384138907001</v>
      </c>
      <c r="K211" s="589">
        <v>0</v>
      </c>
    </row>
    <row r="212" spans="1:11" ht="14.4" customHeight="1" thickBot="1" x14ac:dyDescent="0.35">
      <c r="A212" s="607" t="s">
        <v>526</v>
      </c>
      <c r="B212" s="585">
        <v>32.242482681327999</v>
      </c>
      <c r="C212" s="585">
        <v>42.685960000000001</v>
      </c>
      <c r="D212" s="586">
        <v>10.443477318671</v>
      </c>
      <c r="E212" s="587">
        <v>1.323904254578</v>
      </c>
      <c r="F212" s="585">
        <v>32.242482681327999</v>
      </c>
      <c r="G212" s="586">
        <v>8.0606206703319998</v>
      </c>
      <c r="H212" s="588">
        <v>4.1322299999999998</v>
      </c>
      <c r="I212" s="585">
        <v>4.1322299999999998</v>
      </c>
      <c r="J212" s="586">
        <v>-3.928390670332</v>
      </c>
      <c r="K212" s="589">
        <v>0.128161036507</v>
      </c>
    </row>
    <row r="213" spans="1:11" ht="14.4" customHeight="1" thickBot="1" x14ac:dyDescent="0.35">
      <c r="A213" s="606" t="s">
        <v>527</v>
      </c>
      <c r="B213" s="590">
        <v>0</v>
      </c>
      <c r="C213" s="590">
        <v>15.839</v>
      </c>
      <c r="D213" s="591">
        <v>15.839</v>
      </c>
      <c r="E213" s="592" t="s">
        <v>322</v>
      </c>
      <c r="F213" s="590">
        <v>0</v>
      </c>
      <c r="G213" s="591">
        <v>0</v>
      </c>
      <c r="H213" s="593">
        <v>4.9406564584124654E-324</v>
      </c>
      <c r="I213" s="590">
        <v>20.552</v>
      </c>
      <c r="J213" s="591">
        <v>20.552</v>
      </c>
      <c r="K213" s="594" t="s">
        <v>322</v>
      </c>
    </row>
    <row r="214" spans="1:11" ht="14.4" customHeight="1" thickBot="1" x14ac:dyDescent="0.35">
      <c r="A214" s="607" t="s">
        <v>528</v>
      </c>
      <c r="B214" s="585">
        <v>0</v>
      </c>
      <c r="C214" s="585">
        <v>15.839</v>
      </c>
      <c r="D214" s="586">
        <v>15.839</v>
      </c>
      <c r="E214" s="595" t="s">
        <v>322</v>
      </c>
      <c r="F214" s="585">
        <v>0</v>
      </c>
      <c r="G214" s="586">
        <v>0</v>
      </c>
      <c r="H214" s="588">
        <v>4.9406564584124654E-324</v>
      </c>
      <c r="I214" s="585">
        <v>20.552</v>
      </c>
      <c r="J214" s="586">
        <v>20.552</v>
      </c>
      <c r="K214" s="596" t="s">
        <v>322</v>
      </c>
    </row>
    <row r="215" spans="1:11" ht="14.4" customHeight="1" thickBot="1" x14ac:dyDescent="0.35">
      <c r="A215" s="604" t="s">
        <v>529</v>
      </c>
      <c r="B215" s="585">
        <v>50.999999999998998</v>
      </c>
      <c r="C215" s="585">
        <v>50.92</v>
      </c>
      <c r="D215" s="586">
        <v>-7.9999999998999996E-2</v>
      </c>
      <c r="E215" s="587">
        <v>0.99843137254900005</v>
      </c>
      <c r="F215" s="585">
        <v>51</v>
      </c>
      <c r="G215" s="586">
        <v>12.75</v>
      </c>
      <c r="H215" s="588">
        <v>4.9406564584124654E-324</v>
      </c>
      <c r="I215" s="585">
        <v>1.4821969375237396E-323</v>
      </c>
      <c r="J215" s="586">
        <v>-12.75</v>
      </c>
      <c r="K215" s="589">
        <v>0</v>
      </c>
    </row>
    <row r="216" spans="1:11" ht="14.4" customHeight="1" thickBot="1" x14ac:dyDescent="0.35">
      <c r="A216" s="610" t="s">
        <v>530</v>
      </c>
      <c r="B216" s="590">
        <v>50.999999999998998</v>
      </c>
      <c r="C216" s="590">
        <v>50.92</v>
      </c>
      <c r="D216" s="591">
        <v>-7.9999999998999996E-2</v>
      </c>
      <c r="E216" s="598">
        <v>0.99843137254900005</v>
      </c>
      <c r="F216" s="590">
        <v>51</v>
      </c>
      <c r="G216" s="591">
        <v>12.75</v>
      </c>
      <c r="H216" s="593">
        <v>4.9406564584124654E-324</v>
      </c>
      <c r="I216" s="590">
        <v>1.4821969375237396E-323</v>
      </c>
      <c r="J216" s="591">
        <v>-12.75</v>
      </c>
      <c r="K216" s="597">
        <v>0</v>
      </c>
    </row>
    <row r="217" spans="1:11" ht="14.4" customHeight="1" thickBot="1" x14ac:dyDescent="0.35">
      <c r="A217" s="606" t="s">
        <v>531</v>
      </c>
      <c r="B217" s="590">
        <v>50.999999999998998</v>
      </c>
      <c r="C217" s="590">
        <v>50.92</v>
      </c>
      <c r="D217" s="591">
        <v>-7.9999999998999996E-2</v>
      </c>
      <c r="E217" s="598">
        <v>0.99843137254900005</v>
      </c>
      <c r="F217" s="590">
        <v>51</v>
      </c>
      <c r="G217" s="591">
        <v>12.75</v>
      </c>
      <c r="H217" s="593">
        <v>4.9406564584124654E-324</v>
      </c>
      <c r="I217" s="590">
        <v>1.4821969375237396E-323</v>
      </c>
      <c r="J217" s="591">
        <v>-12.75</v>
      </c>
      <c r="K217" s="597">
        <v>0</v>
      </c>
    </row>
    <row r="218" spans="1:11" ht="14.4" customHeight="1" thickBot="1" x14ac:dyDescent="0.35">
      <c r="A218" s="607" t="s">
        <v>532</v>
      </c>
      <c r="B218" s="585">
        <v>50.999999999998998</v>
      </c>
      <c r="C218" s="585">
        <v>50.92</v>
      </c>
      <c r="D218" s="586">
        <v>-7.9999999998999996E-2</v>
      </c>
      <c r="E218" s="587">
        <v>0.99843137254900005</v>
      </c>
      <c r="F218" s="585">
        <v>51</v>
      </c>
      <c r="G218" s="586">
        <v>12.75</v>
      </c>
      <c r="H218" s="588">
        <v>4.9406564584124654E-324</v>
      </c>
      <c r="I218" s="585">
        <v>1.4821969375237396E-323</v>
      </c>
      <c r="J218" s="586">
        <v>-12.75</v>
      </c>
      <c r="K218" s="589">
        <v>0</v>
      </c>
    </row>
    <row r="219" spans="1:11" ht="14.4" customHeight="1" thickBot="1" x14ac:dyDescent="0.35">
      <c r="A219" s="603" t="s">
        <v>533</v>
      </c>
      <c r="B219" s="585">
        <v>6206.3341208604697</v>
      </c>
      <c r="C219" s="585">
        <v>6170.5703700000004</v>
      </c>
      <c r="D219" s="586">
        <v>-35.763750860473003</v>
      </c>
      <c r="E219" s="587">
        <v>0.99423754020199995</v>
      </c>
      <c r="F219" s="585">
        <v>6451.0085058123104</v>
      </c>
      <c r="G219" s="586">
        <v>1612.7521264530801</v>
      </c>
      <c r="H219" s="588">
        <v>588.12144000000001</v>
      </c>
      <c r="I219" s="585">
        <v>1677.37572</v>
      </c>
      <c r="J219" s="586">
        <v>64.623593546923004</v>
      </c>
      <c r="K219" s="589">
        <v>0.260017595464</v>
      </c>
    </row>
    <row r="220" spans="1:11" ht="14.4" customHeight="1" thickBot="1" x14ac:dyDescent="0.35">
      <c r="A220" s="608" t="s">
        <v>534</v>
      </c>
      <c r="B220" s="590">
        <v>6206.3341208604697</v>
      </c>
      <c r="C220" s="590">
        <v>6170.5703700000004</v>
      </c>
      <c r="D220" s="591">
        <v>-35.763750860473003</v>
      </c>
      <c r="E220" s="598">
        <v>0.99423754020199995</v>
      </c>
      <c r="F220" s="590">
        <v>6451.0085058123104</v>
      </c>
      <c r="G220" s="591">
        <v>1612.7521264530801</v>
      </c>
      <c r="H220" s="593">
        <v>588.12144000000001</v>
      </c>
      <c r="I220" s="590">
        <v>1677.37572</v>
      </c>
      <c r="J220" s="591">
        <v>64.623593546923004</v>
      </c>
      <c r="K220" s="597">
        <v>0.260017595464</v>
      </c>
    </row>
    <row r="221" spans="1:11" ht="14.4" customHeight="1" thickBot="1" x14ac:dyDescent="0.35">
      <c r="A221" s="610" t="s">
        <v>54</v>
      </c>
      <c r="B221" s="590">
        <v>6206.3341208604697</v>
      </c>
      <c r="C221" s="590">
        <v>6170.5703700000004</v>
      </c>
      <c r="D221" s="591">
        <v>-35.763750860473003</v>
      </c>
      <c r="E221" s="598">
        <v>0.99423754020199995</v>
      </c>
      <c r="F221" s="590">
        <v>6451.0085058123104</v>
      </c>
      <c r="G221" s="591">
        <v>1612.7521264530801</v>
      </c>
      <c r="H221" s="593">
        <v>588.12144000000001</v>
      </c>
      <c r="I221" s="590">
        <v>1677.37572</v>
      </c>
      <c r="J221" s="591">
        <v>64.623593546923004</v>
      </c>
      <c r="K221" s="597">
        <v>0.260017595464</v>
      </c>
    </row>
    <row r="222" spans="1:11" ht="14.4" customHeight="1" thickBot="1" x14ac:dyDescent="0.35">
      <c r="A222" s="606" t="s">
        <v>535</v>
      </c>
      <c r="B222" s="590">
        <v>33.999999999998998</v>
      </c>
      <c r="C222" s="590">
        <v>96.194999999999993</v>
      </c>
      <c r="D222" s="591">
        <v>62.195</v>
      </c>
      <c r="E222" s="598">
        <v>2.8292647058820002</v>
      </c>
      <c r="F222" s="590">
        <v>144</v>
      </c>
      <c r="G222" s="591">
        <v>36</v>
      </c>
      <c r="H222" s="593">
        <v>8.0162499999999994</v>
      </c>
      <c r="I222" s="590">
        <v>24.048749999999998</v>
      </c>
      <c r="J222" s="591">
        <v>-11.95125</v>
      </c>
      <c r="K222" s="597">
        <v>0.167005208333</v>
      </c>
    </row>
    <row r="223" spans="1:11" ht="14.4" customHeight="1" thickBot="1" x14ac:dyDescent="0.35">
      <c r="A223" s="607" t="s">
        <v>536</v>
      </c>
      <c r="B223" s="585">
        <v>33.999999999998998</v>
      </c>
      <c r="C223" s="585">
        <v>96.194999999999993</v>
      </c>
      <c r="D223" s="586">
        <v>62.195</v>
      </c>
      <c r="E223" s="587">
        <v>2.8292647058820002</v>
      </c>
      <c r="F223" s="585">
        <v>144</v>
      </c>
      <c r="G223" s="586">
        <v>36</v>
      </c>
      <c r="H223" s="588">
        <v>8.0162499999999994</v>
      </c>
      <c r="I223" s="585">
        <v>24.048749999999998</v>
      </c>
      <c r="J223" s="586">
        <v>-11.95125</v>
      </c>
      <c r="K223" s="589">
        <v>0.167005208333</v>
      </c>
    </row>
    <row r="224" spans="1:11" ht="14.4" customHeight="1" thickBot="1" x14ac:dyDescent="0.35">
      <c r="A224" s="606" t="s">
        <v>537</v>
      </c>
      <c r="B224" s="590">
        <v>101.855443537631</v>
      </c>
      <c r="C224" s="590">
        <v>53.945</v>
      </c>
      <c r="D224" s="591">
        <v>-47.910443537630997</v>
      </c>
      <c r="E224" s="598">
        <v>0.52962314164400004</v>
      </c>
      <c r="F224" s="590">
        <v>60.008505812305003</v>
      </c>
      <c r="G224" s="591">
        <v>15.002126453076</v>
      </c>
      <c r="H224" s="593">
        <v>8.1199999999999992</v>
      </c>
      <c r="I224" s="590">
        <v>16.105</v>
      </c>
      <c r="J224" s="591">
        <v>1.102873546923</v>
      </c>
      <c r="K224" s="597">
        <v>0.26837862036299998</v>
      </c>
    </row>
    <row r="225" spans="1:11" ht="14.4" customHeight="1" thickBot="1" x14ac:dyDescent="0.35">
      <c r="A225" s="607" t="s">
        <v>538</v>
      </c>
      <c r="B225" s="585">
        <v>101.855443537631</v>
      </c>
      <c r="C225" s="585">
        <v>53.945</v>
      </c>
      <c r="D225" s="586">
        <v>-47.910443537630997</v>
      </c>
      <c r="E225" s="587">
        <v>0.52962314164400004</v>
      </c>
      <c r="F225" s="585">
        <v>60.008505812305003</v>
      </c>
      <c r="G225" s="586">
        <v>15.002126453076</v>
      </c>
      <c r="H225" s="588">
        <v>8.1199999999999992</v>
      </c>
      <c r="I225" s="585">
        <v>16.105</v>
      </c>
      <c r="J225" s="586">
        <v>1.102873546923</v>
      </c>
      <c r="K225" s="589">
        <v>0.26837862036299998</v>
      </c>
    </row>
    <row r="226" spans="1:11" ht="14.4" customHeight="1" thickBot="1" x14ac:dyDescent="0.35">
      <c r="A226" s="606" t="s">
        <v>539</v>
      </c>
      <c r="B226" s="590">
        <v>814.47867732291002</v>
      </c>
      <c r="C226" s="590">
        <v>889.69183999999996</v>
      </c>
      <c r="D226" s="591">
        <v>75.213162677089997</v>
      </c>
      <c r="E226" s="598">
        <v>1.092345158653</v>
      </c>
      <c r="F226" s="590">
        <v>976</v>
      </c>
      <c r="G226" s="591">
        <v>244</v>
      </c>
      <c r="H226" s="593">
        <v>83.880399999999995</v>
      </c>
      <c r="I226" s="590">
        <v>227.67779999999999</v>
      </c>
      <c r="J226" s="591">
        <v>-16.322199999999999</v>
      </c>
      <c r="K226" s="597">
        <v>0.23327643442599999</v>
      </c>
    </row>
    <row r="227" spans="1:11" ht="14.4" customHeight="1" thickBot="1" x14ac:dyDescent="0.35">
      <c r="A227" s="607" t="s">
        <v>540</v>
      </c>
      <c r="B227" s="585">
        <v>814.47867732291002</v>
      </c>
      <c r="C227" s="585">
        <v>889.69183999999996</v>
      </c>
      <c r="D227" s="586">
        <v>75.213162677089997</v>
      </c>
      <c r="E227" s="587">
        <v>1.092345158653</v>
      </c>
      <c r="F227" s="585">
        <v>976</v>
      </c>
      <c r="G227" s="586">
        <v>244</v>
      </c>
      <c r="H227" s="588">
        <v>83.880399999999995</v>
      </c>
      <c r="I227" s="585">
        <v>227.67779999999999</v>
      </c>
      <c r="J227" s="586">
        <v>-16.322199999999999</v>
      </c>
      <c r="K227" s="589">
        <v>0.23327643442599999</v>
      </c>
    </row>
    <row r="228" spans="1:11" ht="14.4" customHeight="1" thickBot="1" x14ac:dyDescent="0.35">
      <c r="A228" s="606" t="s">
        <v>541</v>
      </c>
      <c r="B228" s="590">
        <v>0</v>
      </c>
      <c r="C228" s="590">
        <v>6.1420000000000003</v>
      </c>
      <c r="D228" s="591">
        <v>6.1420000000000003</v>
      </c>
      <c r="E228" s="592" t="s">
        <v>322</v>
      </c>
      <c r="F228" s="590">
        <v>4.9406564584124654E-324</v>
      </c>
      <c r="G228" s="591">
        <v>0</v>
      </c>
      <c r="H228" s="593">
        <v>0.67400000000000004</v>
      </c>
      <c r="I228" s="590">
        <v>1.3540000000000001</v>
      </c>
      <c r="J228" s="591">
        <v>1.3540000000000001</v>
      </c>
      <c r="K228" s="594" t="s">
        <v>328</v>
      </c>
    </row>
    <row r="229" spans="1:11" ht="14.4" customHeight="1" thickBot="1" x14ac:dyDescent="0.35">
      <c r="A229" s="607" t="s">
        <v>542</v>
      </c>
      <c r="B229" s="585">
        <v>0</v>
      </c>
      <c r="C229" s="585">
        <v>6.1420000000000003</v>
      </c>
      <c r="D229" s="586">
        <v>6.1420000000000003</v>
      </c>
      <c r="E229" s="595" t="s">
        <v>322</v>
      </c>
      <c r="F229" s="585">
        <v>4.9406564584124654E-324</v>
      </c>
      <c r="G229" s="586">
        <v>0</v>
      </c>
      <c r="H229" s="588">
        <v>0.67400000000000004</v>
      </c>
      <c r="I229" s="585">
        <v>1.3540000000000001</v>
      </c>
      <c r="J229" s="586">
        <v>1.3540000000000001</v>
      </c>
      <c r="K229" s="596" t="s">
        <v>328</v>
      </c>
    </row>
    <row r="230" spans="1:11" ht="14.4" customHeight="1" thickBot="1" x14ac:dyDescent="0.35">
      <c r="A230" s="606" t="s">
        <v>543</v>
      </c>
      <c r="B230" s="590">
        <v>719.99999999999</v>
      </c>
      <c r="C230" s="590">
        <v>639.07980999999995</v>
      </c>
      <c r="D230" s="591">
        <v>-80.920189999990001</v>
      </c>
      <c r="E230" s="598">
        <v>0.88761084722200001</v>
      </c>
      <c r="F230" s="590">
        <v>903</v>
      </c>
      <c r="G230" s="591">
        <v>225.75</v>
      </c>
      <c r="H230" s="593">
        <v>51.551960000000001</v>
      </c>
      <c r="I230" s="590">
        <v>144.26680999999999</v>
      </c>
      <c r="J230" s="591">
        <v>-81.483189999999993</v>
      </c>
      <c r="K230" s="597">
        <v>0.159763909191</v>
      </c>
    </row>
    <row r="231" spans="1:11" ht="14.4" customHeight="1" thickBot="1" x14ac:dyDescent="0.35">
      <c r="A231" s="607" t="s">
        <v>544</v>
      </c>
      <c r="B231" s="585">
        <v>719.99999999999</v>
      </c>
      <c r="C231" s="585">
        <v>638.80309</v>
      </c>
      <c r="D231" s="586">
        <v>-81.196909999989998</v>
      </c>
      <c r="E231" s="587">
        <v>0.887226513888</v>
      </c>
      <c r="F231" s="585">
        <v>888</v>
      </c>
      <c r="G231" s="586">
        <v>222</v>
      </c>
      <c r="H231" s="588">
        <v>50.290030000000002</v>
      </c>
      <c r="I231" s="585">
        <v>140.48102</v>
      </c>
      <c r="J231" s="586">
        <v>-81.518979999999999</v>
      </c>
      <c r="K231" s="589">
        <v>0.15819934684600001</v>
      </c>
    </row>
    <row r="232" spans="1:11" ht="14.4" customHeight="1" thickBot="1" x14ac:dyDescent="0.35">
      <c r="A232" s="607" t="s">
        <v>545</v>
      </c>
      <c r="B232" s="585">
        <v>0</v>
      </c>
      <c r="C232" s="585">
        <v>0.27672000000000002</v>
      </c>
      <c r="D232" s="586">
        <v>0.27672000000000002</v>
      </c>
      <c r="E232" s="595" t="s">
        <v>322</v>
      </c>
      <c r="F232" s="585">
        <v>15</v>
      </c>
      <c r="G232" s="586">
        <v>3.75</v>
      </c>
      <c r="H232" s="588">
        <v>1.26193</v>
      </c>
      <c r="I232" s="585">
        <v>3.78579</v>
      </c>
      <c r="J232" s="586">
        <v>3.5789999998999997E-2</v>
      </c>
      <c r="K232" s="589">
        <v>0.252386</v>
      </c>
    </row>
    <row r="233" spans="1:11" ht="14.4" customHeight="1" thickBot="1" x14ac:dyDescent="0.35">
      <c r="A233" s="606" t="s">
        <v>546</v>
      </c>
      <c r="B233" s="590">
        <v>0</v>
      </c>
      <c r="C233" s="590">
        <v>517.88229999999999</v>
      </c>
      <c r="D233" s="591">
        <v>517.88229999999999</v>
      </c>
      <c r="E233" s="592" t="s">
        <v>322</v>
      </c>
      <c r="F233" s="590">
        <v>4.9406564584124654E-324</v>
      </c>
      <c r="G233" s="591">
        <v>0</v>
      </c>
      <c r="H233" s="593">
        <v>58.742040000000003</v>
      </c>
      <c r="I233" s="590">
        <v>152.52714</v>
      </c>
      <c r="J233" s="591">
        <v>152.52714</v>
      </c>
      <c r="K233" s="594" t="s">
        <v>328</v>
      </c>
    </row>
    <row r="234" spans="1:11" ht="14.4" customHeight="1" thickBot="1" x14ac:dyDescent="0.35">
      <c r="A234" s="607" t="s">
        <v>547</v>
      </c>
      <c r="B234" s="585">
        <v>0</v>
      </c>
      <c r="C234" s="585">
        <v>517.88229999999999</v>
      </c>
      <c r="D234" s="586">
        <v>517.88229999999999</v>
      </c>
      <c r="E234" s="595" t="s">
        <v>322</v>
      </c>
      <c r="F234" s="585">
        <v>4.9406564584124654E-324</v>
      </c>
      <c r="G234" s="586">
        <v>0</v>
      </c>
      <c r="H234" s="588">
        <v>58.742040000000003</v>
      </c>
      <c r="I234" s="585">
        <v>152.52714</v>
      </c>
      <c r="J234" s="586">
        <v>152.52714</v>
      </c>
      <c r="K234" s="596" t="s">
        <v>328</v>
      </c>
    </row>
    <row r="235" spans="1:11" ht="14.4" customHeight="1" thickBot="1" x14ac:dyDescent="0.35">
      <c r="A235" s="606" t="s">
        <v>548</v>
      </c>
      <c r="B235" s="590">
        <v>4535.99999999994</v>
      </c>
      <c r="C235" s="590">
        <v>3967.6344199999999</v>
      </c>
      <c r="D235" s="591">
        <v>-568.36557999994</v>
      </c>
      <c r="E235" s="598">
        <v>0.87469894620800004</v>
      </c>
      <c r="F235" s="590">
        <v>4368</v>
      </c>
      <c r="G235" s="591">
        <v>1092</v>
      </c>
      <c r="H235" s="593">
        <v>377.13679000000002</v>
      </c>
      <c r="I235" s="590">
        <v>1111.3962200000001</v>
      </c>
      <c r="J235" s="591">
        <v>19.39622</v>
      </c>
      <c r="K235" s="597">
        <v>0.25444052655600002</v>
      </c>
    </row>
    <row r="236" spans="1:11" ht="14.4" customHeight="1" thickBot="1" x14ac:dyDescent="0.35">
      <c r="A236" s="607" t="s">
        <v>549</v>
      </c>
      <c r="B236" s="585">
        <v>4535.99999999994</v>
      </c>
      <c r="C236" s="585">
        <v>3967.6344199999999</v>
      </c>
      <c r="D236" s="586">
        <v>-568.36557999994</v>
      </c>
      <c r="E236" s="587">
        <v>0.87469894620800004</v>
      </c>
      <c r="F236" s="585">
        <v>4368</v>
      </c>
      <c r="G236" s="586">
        <v>1092</v>
      </c>
      <c r="H236" s="588">
        <v>377.13679000000002</v>
      </c>
      <c r="I236" s="585">
        <v>1111.3962200000001</v>
      </c>
      <c r="J236" s="586">
        <v>19.39622</v>
      </c>
      <c r="K236" s="589">
        <v>0.25444052655600002</v>
      </c>
    </row>
    <row r="237" spans="1:11" ht="14.4" customHeight="1" thickBot="1" x14ac:dyDescent="0.35">
      <c r="A237" s="611" t="s">
        <v>550</v>
      </c>
      <c r="B237" s="590">
        <v>0</v>
      </c>
      <c r="C237" s="590">
        <v>4.1413099999999998</v>
      </c>
      <c r="D237" s="591">
        <v>4.1413099999999998</v>
      </c>
      <c r="E237" s="592" t="s">
        <v>322</v>
      </c>
      <c r="F237" s="590">
        <v>4.9406564584124654E-324</v>
      </c>
      <c r="G237" s="591">
        <v>0</v>
      </c>
      <c r="H237" s="593">
        <v>1.56382</v>
      </c>
      <c r="I237" s="590">
        <v>3.6257100000000002</v>
      </c>
      <c r="J237" s="591">
        <v>3.6257100000000002</v>
      </c>
      <c r="K237" s="594" t="s">
        <v>328</v>
      </c>
    </row>
    <row r="238" spans="1:11" ht="14.4" customHeight="1" thickBot="1" x14ac:dyDescent="0.35">
      <c r="A238" s="608" t="s">
        <v>551</v>
      </c>
      <c r="B238" s="590">
        <v>0</v>
      </c>
      <c r="C238" s="590">
        <v>4.1413099999999998</v>
      </c>
      <c r="D238" s="591">
        <v>4.1413099999999998</v>
      </c>
      <c r="E238" s="592" t="s">
        <v>322</v>
      </c>
      <c r="F238" s="590">
        <v>4.9406564584124654E-324</v>
      </c>
      <c r="G238" s="591">
        <v>0</v>
      </c>
      <c r="H238" s="593">
        <v>1.56382</v>
      </c>
      <c r="I238" s="590">
        <v>3.6257100000000002</v>
      </c>
      <c r="J238" s="591">
        <v>3.6257100000000002</v>
      </c>
      <c r="K238" s="594" t="s">
        <v>328</v>
      </c>
    </row>
    <row r="239" spans="1:11" ht="14.4" customHeight="1" thickBot="1" x14ac:dyDescent="0.35">
      <c r="A239" s="610" t="s">
        <v>552</v>
      </c>
      <c r="B239" s="590">
        <v>0</v>
      </c>
      <c r="C239" s="590">
        <v>4.1413099999999998</v>
      </c>
      <c r="D239" s="591">
        <v>4.1413099999999998</v>
      </c>
      <c r="E239" s="592" t="s">
        <v>322</v>
      </c>
      <c r="F239" s="590">
        <v>4.9406564584124654E-324</v>
      </c>
      <c r="G239" s="591">
        <v>0</v>
      </c>
      <c r="H239" s="593">
        <v>1.56382</v>
      </c>
      <c r="I239" s="590">
        <v>3.6257100000000002</v>
      </c>
      <c r="J239" s="591">
        <v>3.6257100000000002</v>
      </c>
      <c r="K239" s="594" t="s">
        <v>328</v>
      </c>
    </row>
    <row r="240" spans="1:11" ht="14.4" customHeight="1" thickBot="1" x14ac:dyDescent="0.35">
      <c r="A240" s="606" t="s">
        <v>553</v>
      </c>
      <c r="B240" s="590">
        <v>0</v>
      </c>
      <c r="C240" s="590">
        <v>4.1413099999999998</v>
      </c>
      <c r="D240" s="591">
        <v>4.1413099999999998</v>
      </c>
      <c r="E240" s="592" t="s">
        <v>322</v>
      </c>
      <c r="F240" s="590">
        <v>4.9406564584124654E-324</v>
      </c>
      <c r="G240" s="591">
        <v>0</v>
      </c>
      <c r="H240" s="593">
        <v>1.56382</v>
      </c>
      <c r="I240" s="590">
        <v>3.6257100000000002</v>
      </c>
      <c r="J240" s="591">
        <v>3.6257100000000002</v>
      </c>
      <c r="K240" s="594" t="s">
        <v>328</v>
      </c>
    </row>
    <row r="241" spans="1:11" ht="14.4" customHeight="1" thickBot="1" x14ac:dyDescent="0.35">
      <c r="A241" s="607" t="s">
        <v>554</v>
      </c>
      <c r="B241" s="585">
        <v>0</v>
      </c>
      <c r="C241" s="585">
        <v>4.1413099999999998</v>
      </c>
      <c r="D241" s="586">
        <v>4.1413099999999998</v>
      </c>
      <c r="E241" s="595" t="s">
        <v>322</v>
      </c>
      <c r="F241" s="585">
        <v>4.9406564584124654E-324</v>
      </c>
      <c r="G241" s="586">
        <v>0</v>
      </c>
      <c r="H241" s="588">
        <v>0.44381999999999999</v>
      </c>
      <c r="I241" s="585">
        <v>2.5057100000000001</v>
      </c>
      <c r="J241" s="586">
        <v>2.5057100000000001</v>
      </c>
      <c r="K241" s="596" t="s">
        <v>328</v>
      </c>
    </row>
    <row r="242" spans="1:11" ht="14.4" customHeight="1" thickBot="1" x14ac:dyDescent="0.35">
      <c r="A242" s="607" t="s">
        <v>555</v>
      </c>
      <c r="B242" s="585">
        <v>4.9406564584124654E-324</v>
      </c>
      <c r="C242" s="585">
        <v>4.9406564584124654E-324</v>
      </c>
      <c r="D242" s="586">
        <v>0</v>
      </c>
      <c r="E242" s="587">
        <v>1</v>
      </c>
      <c r="F242" s="585">
        <v>4.9406564584124654E-324</v>
      </c>
      <c r="G242" s="586">
        <v>0</v>
      </c>
      <c r="H242" s="588">
        <v>1.1200000000000001</v>
      </c>
      <c r="I242" s="585">
        <v>1.1200000000000001</v>
      </c>
      <c r="J242" s="586">
        <v>1.1200000000000001</v>
      </c>
      <c r="K242" s="596" t="s">
        <v>328</v>
      </c>
    </row>
    <row r="243" spans="1:11" ht="14.4" customHeight="1" thickBot="1" x14ac:dyDescent="0.35">
      <c r="A243" s="612"/>
      <c r="B243" s="585">
        <v>-15743.5420065748</v>
      </c>
      <c r="C243" s="585">
        <v>-22405.520039999999</v>
      </c>
      <c r="D243" s="586">
        <v>-6661.97803342524</v>
      </c>
      <c r="E243" s="587">
        <v>1.423156239596</v>
      </c>
      <c r="F243" s="585">
        <v>-12476.484254156499</v>
      </c>
      <c r="G243" s="586">
        <v>-3119.1210635391199</v>
      </c>
      <c r="H243" s="588">
        <v>-1641.7711400000001</v>
      </c>
      <c r="I243" s="585">
        <v>-1246.98955000002</v>
      </c>
      <c r="J243" s="586">
        <v>1872.1315135390901</v>
      </c>
      <c r="K243" s="589">
        <v>9.9947190618000004E-2</v>
      </c>
    </row>
    <row r="244" spans="1:11" ht="14.4" customHeight="1" thickBot="1" x14ac:dyDescent="0.35">
      <c r="A244" s="613" t="s">
        <v>66</v>
      </c>
      <c r="B244" s="599">
        <v>-15743.5420065748</v>
      </c>
      <c r="C244" s="599">
        <v>-22405.520039999999</v>
      </c>
      <c r="D244" s="600">
        <v>-6661.97803342527</v>
      </c>
      <c r="E244" s="601" t="s">
        <v>322</v>
      </c>
      <c r="F244" s="599">
        <v>-12476.484254156499</v>
      </c>
      <c r="G244" s="600">
        <v>-3119.1210635391099</v>
      </c>
      <c r="H244" s="599">
        <v>-1641.7711400000001</v>
      </c>
      <c r="I244" s="599">
        <v>-1246.98955000002</v>
      </c>
      <c r="J244" s="600">
        <v>1872.1315135390901</v>
      </c>
      <c r="K244" s="602">
        <v>9.9947190618000004E-2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177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4" t="s">
        <v>556</v>
      </c>
      <c r="B5" s="615" t="s">
        <v>557</v>
      </c>
      <c r="C5" s="616" t="s">
        <v>558</v>
      </c>
      <c r="D5" s="616" t="s">
        <v>558</v>
      </c>
      <c r="E5" s="616"/>
      <c r="F5" s="616" t="s">
        <v>558</v>
      </c>
      <c r="G5" s="616" t="s">
        <v>558</v>
      </c>
      <c r="H5" s="616" t="s">
        <v>558</v>
      </c>
      <c r="I5" s="617" t="s">
        <v>558</v>
      </c>
      <c r="J5" s="618" t="s">
        <v>74</v>
      </c>
    </row>
    <row r="6" spans="1:10" ht="14.4" customHeight="1" x14ac:dyDescent="0.3">
      <c r="A6" s="614" t="s">
        <v>556</v>
      </c>
      <c r="B6" s="615" t="s">
        <v>333</v>
      </c>
      <c r="C6" s="616">
        <v>455.14964000000003</v>
      </c>
      <c r="D6" s="616">
        <v>365.47110999999995</v>
      </c>
      <c r="E6" s="616"/>
      <c r="F6" s="616">
        <v>295.44520999999997</v>
      </c>
      <c r="G6" s="616">
        <v>346</v>
      </c>
      <c r="H6" s="616">
        <v>-50.554790000000025</v>
      </c>
      <c r="I6" s="617">
        <v>0.85388789017341038</v>
      </c>
      <c r="J6" s="618" t="s">
        <v>1</v>
      </c>
    </row>
    <row r="7" spans="1:10" ht="14.4" customHeight="1" x14ac:dyDescent="0.3">
      <c r="A7" s="614" t="s">
        <v>556</v>
      </c>
      <c r="B7" s="615" t="s">
        <v>334</v>
      </c>
      <c r="C7" s="616">
        <v>16.8781</v>
      </c>
      <c r="D7" s="616">
        <v>11.777760000000001</v>
      </c>
      <c r="E7" s="616"/>
      <c r="F7" s="616">
        <v>12.47167</v>
      </c>
      <c r="G7" s="616">
        <v>15.25</v>
      </c>
      <c r="H7" s="616">
        <v>-2.7783300000000004</v>
      </c>
      <c r="I7" s="617">
        <v>0.81781442622950817</v>
      </c>
      <c r="J7" s="618" t="s">
        <v>1</v>
      </c>
    </row>
    <row r="8" spans="1:10" ht="14.4" customHeight="1" x14ac:dyDescent="0.3">
      <c r="A8" s="614" t="s">
        <v>556</v>
      </c>
      <c r="B8" s="615" t="s">
        <v>559</v>
      </c>
      <c r="C8" s="616">
        <v>0</v>
      </c>
      <c r="D8" s="616" t="s">
        <v>558</v>
      </c>
      <c r="E8" s="616"/>
      <c r="F8" s="616" t="s">
        <v>558</v>
      </c>
      <c r="G8" s="616" t="s">
        <v>558</v>
      </c>
      <c r="H8" s="616" t="s">
        <v>558</v>
      </c>
      <c r="I8" s="617" t="s">
        <v>558</v>
      </c>
      <c r="J8" s="618" t="s">
        <v>1</v>
      </c>
    </row>
    <row r="9" spans="1:10" ht="14.4" customHeight="1" x14ac:dyDescent="0.3">
      <c r="A9" s="614" t="s">
        <v>556</v>
      </c>
      <c r="B9" s="615" t="s">
        <v>335</v>
      </c>
      <c r="C9" s="616">
        <v>8.5447000000000006</v>
      </c>
      <c r="D9" s="616">
        <v>0</v>
      </c>
      <c r="E9" s="616"/>
      <c r="F9" s="616">
        <v>38.794919999999998</v>
      </c>
      <c r="G9" s="616">
        <v>9</v>
      </c>
      <c r="H9" s="616">
        <v>29.794919999999998</v>
      </c>
      <c r="I9" s="617">
        <v>4.3105466666666663</v>
      </c>
      <c r="J9" s="618" t="s">
        <v>1</v>
      </c>
    </row>
    <row r="10" spans="1:10" ht="14.4" customHeight="1" x14ac:dyDescent="0.3">
      <c r="A10" s="614" t="s">
        <v>556</v>
      </c>
      <c r="B10" s="615" t="s">
        <v>560</v>
      </c>
      <c r="C10" s="616">
        <v>237.21099000000001</v>
      </c>
      <c r="D10" s="616">
        <v>0</v>
      </c>
      <c r="E10" s="616"/>
      <c r="F10" s="616" t="s">
        <v>558</v>
      </c>
      <c r="G10" s="616" t="s">
        <v>558</v>
      </c>
      <c r="H10" s="616" t="s">
        <v>558</v>
      </c>
      <c r="I10" s="617" t="s">
        <v>558</v>
      </c>
      <c r="J10" s="618" t="s">
        <v>1</v>
      </c>
    </row>
    <row r="11" spans="1:10" ht="14.4" customHeight="1" x14ac:dyDescent="0.3">
      <c r="A11" s="614" t="s">
        <v>556</v>
      </c>
      <c r="B11" s="615" t="s">
        <v>336</v>
      </c>
      <c r="C11" s="616">
        <v>203.05732</v>
      </c>
      <c r="D11" s="616">
        <v>143.88247000000001</v>
      </c>
      <c r="E11" s="616"/>
      <c r="F11" s="616">
        <v>171.19909999999999</v>
      </c>
      <c r="G11" s="616">
        <v>133.75</v>
      </c>
      <c r="H11" s="616">
        <v>37.449099999999987</v>
      </c>
      <c r="I11" s="617">
        <v>1.2799932710280373</v>
      </c>
      <c r="J11" s="618" t="s">
        <v>1</v>
      </c>
    </row>
    <row r="12" spans="1:10" ht="14.4" customHeight="1" x14ac:dyDescent="0.3">
      <c r="A12" s="614" t="s">
        <v>556</v>
      </c>
      <c r="B12" s="615" t="s">
        <v>337</v>
      </c>
      <c r="C12" s="616">
        <v>0.87795000000000001</v>
      </c>
      <c r="D12" s="616">
        <v>0.31332000000000004</v>
      </c>
      <c r="E12" s="616"/>
      <c r="F12" s="616">
        <v>3.26783</v>
      </c>
      <c r="G12" s="616">
        <v>6.75</v>
      </c>
      <c r="H12" s="616">
        <v>-3.48217</v>
      </c>
      <c r="I12" s="617">
        <v>0.48412296296296298</v>
      </c>
      <c r="J12" s="618" t="s">
        <v>1</v>
      </c>
    </row>
    <row r="13" spans="1:10" ht="14.4" customHeight="1" x14ac:dyDescent="0.3">
      <c r="A13" s="614" t="s">
        <v>556</v>
      </c>
      <c r="B13" s="615" t="s">
        <v>338</v>
      </c>
      <c r="C13" s="616">
        <v>4.0378799999999995</v>
      </c>
      <c r="D13" s="616">
        <v>2.9624000000000001</v>
      </c>
      <c r="E13" s="616"/>
      <c r="F13" s="616">
        <v>6.2950999999999997</v>
      </c>
      <c r="G13" s="616">
        <v>3</v>
      </c>
      <c r="H13" s="616">
        <v>3.2950999999999997</v>
      </c>
      <c r="I13" s="617">
        <v>2.0983666666666667</v>
      </c>
      <c r="J13" s="618" t="s">
        <v>1</v>
      </c>
    </row>
    <row r="14" spans="1:10" ht="14.4" customHeight="1" x14ac:dyDescent="0.3">
      <c r="A14" s="614" t="s">
        <v>556</v>
      </c>
      <c r="B14" s="615" t="s">
        <v>561</v>
      </c>
      <c r="C14" s="616">
        <v>925.7565800000001</v>
      </c>
      <c r="D14" s="616">
        <v>524.40705999999989</v>
      </c>
      <c r="E14" s="616"/>
      <c r="F14" s="616">
        <v>527.47383000000002</v>
      </c>
      <c r="G14" s="616">
        <v>513.75</v>
      </c>
      <c r="H14" s="616">
        <v>13.723830000000021</v>
      </c>
      <c r="I14" s="617">
        <v>1.0267130510948905</v>
      </c>
      <c r="J14" s="618" t="s">
        <v>562</v>
      </c>
    </row>
    <row r="16" spans="1:10" ht="14.4" customHeight="1" x14ac:dyDescent="0.3">
      <c r="A16" s="614" t="s">
        <v>556</v>
      </c>
      <c r="B16" s="615" t="s">
        <v>557</v>
      </c>
      <c r="C16" s="616" t="s">
        <v>558</v>
      </c>
      <c r="D16" s="616" t="s">
        <v>558</v>
      </c>
      <c r="E16" s="616"/>
      <c r="F16" s="616" t="s">
        <v>558</v>
      </c>
      <c r="G16" s="616" t="s">
        <v>558</v>
      </c>
      <c r="H16" s="616" t="s">
        <v>558</v>
      </c>
      <c r="I16" s="617" t="s">
        <v>558</v>
      </c>
      <c r="J16" s="618" t="s">
        <v>74</v>
      </c>
    </row>
    <row r="17" spans="1:10" ht="14.4" customHeight="1" x14ac:dyDescent="0.3">
      <c r="A17" s="614" t="s">
        <v>563</v>
      </c>
      <c r="B17" s="615" t="s">
        <v>564</v>
      </c>
      <c r="C17" s="616" t="s">
        <v>558</v>
      </c>
      <c r="D17" s="616" t="s">
        <v>558</v>
      </c>
      <c r="E17" s="616"/>
      <c r="F17" s="616" t="s">
        <v>558</v>
      </c>
      <c r="G17" s="616" t="s">
        <v>558</v>
      </c>
      <c r="H17" s="616" t="s">
        <v>558</v>
      </c>
      <c r="I17" s="617" t="s">
        <v>558</v>
      </c>
      <c r="J17" s="618" t="s">
        <v>0</v>
      </c>
    </row>
    <row r="18" spans="1:10" ht="14.4" customHeight="1" x14ac:dyDescent="0.3">
      <c r="A18" s="614" t="s">
        <v>563</v>
      </c>
      <c r="B18" s="615" t="s">
        <v>333</v>
      </c>
      <c r="C18" s="616">
        <v>261.86872000000005</v>
      </c>
      <c r="D18" s="616">
        <v>192.44157999999999</v>
      </c>
      <c r="E18" s="616"/>
      <c r="F18" s="616">
        <v>124.52797</v>
      </c>
      <c r="G18" s="616">
        <v>172.5</v>
      </c>
      <c r="H18" s="616">
        <v>-47.972030000000004</v>
      </c>
      <c r="I18" s="617">
        <v>0.72190127536231885</v>
      </c>
      <c r="J18" s="618" t="s">
        <v>1</v>
      </c>
    </row>
    <row r="19" spans="1:10" ht="14.4" customHeight="1" x14ac:dyDescent="0.3">
      <c r="A19" s="614" t="s">
        <v>563</v>
      </c>
      <c r="B19" s="615" t="s">
        <v>334</v>
      </c>
      <c r="C19" s="616">
        <v>9.3335600000000003</v>
      </c>
      <c r="D19" s="616">
        <v>0</v>
      </c>
      <c r="E19" s="616"/>
      <c r="F19" s="616">
        <v>0</v>
      </c>
      <c r="G19" s="616">
        <v>0.75</v>
      </c>
      <c r="H19" s="616">
        <v>-0.75</v>
      </c>
      <c r="I19" s="617">
        <v>0</v>
      </c>
      <c r="J19" s="618" t="s">
        <v>1</v>
      </c>
    </row>
    <row r="20" spans="1:10" ht="14.4" customHeight="1" x14ac:dyDescent="0.3">
      <c r="A20" s="614" t="s">
        <v>563</v>
      </c>
      <c r="B20" s="615" t="s">
        <v>335</v>
      </c>
      <c r="C20" s="616">
        <v>0</v>
      </c>
      <c r="D20" s="616">
        <v>0</v>
      </c>
      <c r="E20" s="616"/>
      <c r="F20" s="616">
        <v>27.268799999999999</v>
      </c>
      <c r="G20" s="616">
        <v>0.75</v>
      </c>
      <c r="H20" s="616">
        <v>26.518799999999999</v>
      </c>
      <c r="I20" s="617">
        <v>36.358399999999996</v>
      </c>
      <c r="J20" s="618" t="s">
        <v>1</v>
      </c>
    </row>
    <row r="21" spans="1:10" ht="14.4" customHeight="1" x14ac:dyDescent="0.3">
      <c r="A21" s="614" t="s">
        <v>563</v>
      </c>
      <c r="B21" s="615" t="s">
        <v>336</v>
      </c>
      <c r="C21" s="616">
        <v>153.81465</v>
      </c>
      <c r="D21" s="616">
        <v>94.383070000000004</v>
      </c>
      <c r="E21" s="616"/>
      <c r="F21" s="616">
        <v>106.10447000000001</v>
      </c>
      <c r="G21" s="616">
        <v>83.5</v>
      </c>
      <c r="H21" s="616">
        <v>22.604470000000006</v>
      </c>
      <c r="I21" s="617">
        <v>1.2707122155688624</v>
      </c>
      <c r="J21" s="618" t="s">
        <v>1</v>
      </c>
    </row>
    <row r="22" spans="1:10" ht="14.4" customHeight="1" x14ac:dyDescent="0.3">
      <c r="A22" s="614" t="s">
        <v>563</v>
      </c>
      <c r="B22" s="615" t="s">
        <v>337</v>
      </c>
      <c r="C22" s="616">
        <v>0.33243</v>
      </c>
      <c r="D22" s="616">
        <v>0.31332000000000004</v>
      </c>
      <c r="E22" s="616"/>
      <c r="F22" s="616">
        <v>4.1320000000000003E-2</v>
      </c>
      <c r="G22" s="616">
        <v>0.75</v>
      </c>
      <c r="H22" s="616">
        <v>-0.70867999999999998</v>
      </c>
      <c r="I22" s="617">
        <v>5.5093333333333334E-2</v>
      </c>
      <c r="J22" s="618" t="s">
        <v>1</v>
      </c>
    </row>
    <row r="23" spans="1:10" ht="14.4" customHeight="1" x14ac:dyDescent="0.3">
      <c r="A23" s="614" t="s">
        <v>563</v>
      </c>
      <c r="B23" s="615" t="s">
        <v>338</v>
      </c>
      <c r="C23" s="616">
        <v>0.36708000000000002</v>
      </c>
      <c r="D23" s="616">
        <v>0</v>
      </c>
      <c r="E23" s="616"/>
      <c r="F23" s="616" t="s">
        <v>558</v>
      </c>
      <c r="G23" s="616" t="s">
        <v>558</v>
      </c>
      <c r="H23" s="616" t="s">
        <v>558</v>
      </c>
      <c r="I23" s="617" t="s">
        <v>558</v>
      </c>
      <c r="J23" s="618" t="s">
        <v>1</v>
      </c>
    </row>
    <row r="24" spans="1:10" ht="14.4" customHeight="1" x14ac:dyDescent="0.3">
      <c r="A24" s="614" t="s">
        <v>563</v>
      </c>
      <c r="B24" s="615" t="s">
        <v>565</v>
      </c>
      <c r="C24" s="616">
        <v>425.71643999999998</v>
      </c>
      <c r="D24" s="616">
        <v>287.13797</v>
      </c>
      <c r="E24" s="616"/>
      <c r="F24" s="616">
        <v>257.94255999999996</v>
      </c>
      <c r="G24" s="616">
        <v>258.25</v>
      </c>
      <c r="H24" s="616">
        <v>-0.30744000000004235</v>
      </c>
      <c r="I24" s="617">
        <v>0.99880952565343639</v>
      </c>
      <c r="J24" s="618" t="s">
        <v>566</v>
      </c>
    </row>
    <row r="25" spans="1:10" ht="14.4" customHeight="1" x14ac:dyDescent="0.3">
      <c r="A25" s="614" t="s">
        <v>558</v>
      </c>
      <c r="B25" s="615" t="s">
        <v>558</v>
      </c>
      <c r="C25" s="616" t="s">
        <v>558</v>
      </c>
      <c r="D25" s="616" t="s">
        <v>558</v>
      </c>
      <c r="E25" s="616"/>
      <c r="F25" s="616" t="s">
        <v>558</v>
      </c>
      <c r="G25" s="616" t="s">
        <v>558</v>
      </c>
      <c r="H25" s="616" t="s">
        <v>558</v>
      </c>
      <c r="I25" s="617" t="s">
        <v>558</v>
      </c>
      <c r="J25" s="618" t="s">
        <v>567</v>
      </c>
    </row>
    <row r="26" spans="1:10" ht="14.4" customHeight="1" x14ac:dyDescent="0.3">
      <c r="A26" s="614" t="s">
        <v>568</v>
      </c>
      <c r="B26" s="615" t="s">
        <v>569</v>
      </c>
      <c r="C26" s="616" t="s">
        <v>558</v>
      </c>
      <c r="D26" s="616" t="s">
        <v>558</v>
      </c>
      <c r="E26" s="616"/>
      <c r="F26" s="616" t="s">
        <v>558</v>
      </c>
      <c r="G26" s="616" t="s">
        <v>558</v>
      </c>
      <c r="H26" s="616" t="s">
        <v>558</v>
      </c>
      <c r="I26" s="617" t="s">
        <v>558</v>
      </c>
      <c r="J26" s="618" t="s">
        <v>0</v>
      </c>
    </row>
    <row r="27" spans="1:10" ht="14.4" customHeight="1" x14ac:dyDescent="0.3">
      <c r="A27" s="614" t="s">
        <v>568</v>
      </c>
      <c r="B27" s="615" t="s">
        <v>333</v>
      </c>
      <c r="C27" s="616">
        <v>11.184149999999999</v>
      </c>
      <c r="D27" s="616">
        <v>7.7785299999999999</v>
      </c>
      <c r="E27" s="616"/>
      <c r="F27" s="616">
        <v>7.88157</v>
      </c>
      <c r="G27" s="616">
        <v>10.5</v>
      </c>
      <c r="H27" s="616">
        <v>-2.61843</v>
      </c>
      <c r="I27" s="617">
        <v>0.75062571428571423</v>
      </c>
      <c r="J27" s="618" t="s">
        <v>1</v>
      </c>
    </row>
    <row r="28" spans="1:10" ht="14.4" customHeight="1" x14ac:dyDescent="0.3">
      <c r="A28" s="614" t="s">
        <v>568</v>
      </c>
      <c r="B28" s="615" t="s">
        <v>336</v>
      </c>
      <c r="C28" s="616">
        <v>0.41861999999999999</v>
      </c>
      <c r="D28" s="616">
        <v>0</v>
      </c>
      <c r="E28" s="616"/>
      <c r="F28" s="616" t="s">
        <v>558</v>
      </c>
      <c r="G28" s="616" t="s">
        <v>558</v>
      </c>
      <c r="H28" s="616" t="s">
        <v>558</v>
      </c>
      <c r="I28" s="617" t="s">
        <v>558</v>
      </c>
      <c r="J28" s="618" t="s">
        <v>1</v>
      </c>
    </row>
    <row r="29" spans="1:10" ht="14.4" customHeight="1" x14ac:dyDescent="0.3">
      <c r="A29" s="614" t="s">
        <v>568</v>
      </c>
      <c r="B29" s="615" t="s">
        <v>338</v>
      </c>
      <c r="C29" s="616" t="s">
        <v>558</v>
      </c>
      <c r="D29" s="616">
        <v>0.74060000000000004</v>
      </c>
      <c r="E29" s="616"/>
      <c r="F29" s="616">
        <v>0</v>
      </c>
      <c r="G29" s="616">
        <v>0.25</v>
      </c>
      <c r="H29" s="616">
        <v>-0.25</v>
      </c>
      <c r="I29" s="617">
        <v>0</v>
      </c>
      <c r="J29" s="618" t="s">
        <v>1</v>
      </c>
    </row>
    <row r="30" spans="1:10" ht="14.4" customHeight="1" x14ac:dyDescent="0.3">
      <c r="A30" s="614" t="s">
        <v>568</v>
      </c>
      <c r="B30" s="615" t="s">
        <v>570</v>
      </c>
      <c r="C30" s="616">
        <v>11.60277</v>
      </c>
      <c r="D30" s="616">
        <v>8.5191300000000005</v>
      </c>
      <c r="E30" s="616"/>
      <c r="F30" s="616">
        <v>7.88157</v>
      </c>
      <c r="G30" s="616">
        <v>10.75</v>
      </c>
      <c r="H30" s="616">
        <v>-2.86843</v>
      </c>
      <c r="I30" s="617">
        <v>0.73316930232558142</v>
      </c>
      <c r="J30" s="618" t="s">
        <v>566</v>
      </c>
    </row>
    <row r="31" spans="1:10" ht="14.4" customHeight="1" x14ac:dyDescent="0.3">
      <c r="A31" s="614" t="s">
        <v>558</v>
      </c>
      <c r="B31" s="615" t="s">
        <v>558</v>
      </c>
      <c r="C31" s="616" t="s">
        <v>558</v>
      </c>
      <c r="D31" s="616" t="s">
        <v>558</v>
      </c>
      <c r="E31" s="616"/>
      <c r="F31" s="616" t="s">
        <v>558</v>
      </c>
      <c r="G31" s="616" t="s">
        <v>558</v>
      </c>
      <c r="H31" s="616" t="s">
        <v>558</v>
      </c>
      <c r="I31" s="617" t="s">
        <v>558</v>
      </c>
      <c r="J31" s="618" t="s">
        <v>567</v>
      </c>
    </row>
    <row r="32" spans="1:10" ht="14.4" customHeight="1" x14ac:dyDescent="0.3">
      <c r="A32" s="614" t="s">
        <v>571</v>
      </c>
      <c r="B32" s="615" t="s">
        <v>572</v>
      </c>
      <c r="C32" s="616" t="s">
        <v>558</v>
      </c>
      <c r="D32" s="616" t="s">
        <v>558</v>
      </c>
      <c r="E32" s="616"/>
      <c r="F32" s="616" t="s">
        <v>558</v>
      </c>
      <c r="G32" s="616" t="s">
        <v>558</v>
      </c>
      <c r="H32" s="616" t="s">
        <v>558</v>
      </c>
      <c r="I32" s="617" t="s">
        <v>558</v>
      </c>
      <c r="J32" s="618" t="s">
        <v>0</v>
      </c>
    </row>
    <row r="33" spans="1:10" ht="14.4" customHeight="1" x14ac:dyDescent="0.3">
      <c r="A33" s="614" t="s">
        <v>571</v>
      </c>
      <c r="B33" s="615" t="s">
        <v>333</v>
      </c>
      <c r="C33" s="616">
        <v>182.09676999999999</v>
      </c>
      <c r="D33" s="616">
        <v>165.251</v>
      </c>
      <c r="E33" s="616"/>
      <c r="F33" s="616">
        <v>163.03567000000001</v>
      </c>
      <c r="G33" s="616">
        <v>163</v>
      </c>
      <c r="H33" s="616">
        <v>3.5670000000010305E-2</v>
      </c>
      <c r="I33" s="617">
        <v>1.0002188343558283</v>
      </c>
      <c r="J33" s="618" t="s">
        <v>1</v>
      </c>
    </row>
    <row r="34" spans="1:10" ht="14.4" customHeight="1" x14ac:dyDescent="0.3">
      <c r="A34" s="614" t="s">
        <v>571</v>
      </c>
      <c r="B34" s="615" t="s">
        <v>334</v>
      </c>
      <c r="C34" s="616">
        <v>7.5445399999999996</v>
      </c>
      <c r="D34" s="616">
        <v>11.777760000000001</v>
      </c>
      <c r="E34" s="616"/>
      <c r="F34" s="616">
        <v>12.47167</v>
      </c>
      <c r="G34" s="616">
        <v>14.5</v>
      </c>
      <c r="H34" s="616">
        <v>-2.0283300000000004</v>
      </c>
      <c r="I34" s="617">
        <v>0.86011517241379309</v>
      </c>
      <c r="J34" s="618" t="s">
        <v>1</v>
      </c>
    </row>
    <row r="35" spans="1:10" ht="14.4" customHeight="1" x14ac:dyDescent="0.3">
      <c r="A35" s="614" t="s">
        <v>571</v>
      </c>
      <c r="B35" s="615" t="s">
        <v>559</v>
      </c>
      <c r="C35" s="616">
        <v>0</v>
      </c>
      <c r="D35" s="616" t="s">
        <v>558</v>
      </c>
      <c r="E35" s="616"/>
      <c r="F35" s="616" t="s">
        <v>558</v>
      </c>
      <c r="G35" s="616" t="s">
        <v>558</v>
      </c>
      <c r="H35" s="616" t="s">
        <v>558</v>
      </c>
      <c r="I35" s="617" t="s">
        <v>558</v>
      </c>
      <c r="J35" s="618" t="s">
        <v>1</v>
      </c>
    </row>
    <row r="36" spans="1:10" ht="14.4" customHeight="1" x14ac:dyDescent="0.3">
      <c r="A36" s="614" t="s">
        <v>571</v>
      </c>
      <c r="B36" s="615" t="s">
        <v>335</v>
      </c>
      <c r="C36" s="616">
        <v>8.5447000000000006</v>
      </c>
      <c r="D36" s="616">
        <v>0</v>
      </c>
      <c r="E36" s="616"/>
      <c r="F36" s="616">
        <v>11.526119999999999</v>
      </c>
      <c r="G36" s="616">
        <v>8.25</v>
      </c>
      <c r="H36" s="616">
        <v>3.2761199999999988</v>
      </c>
      <c r="I36" s="617">
        <v>1.3971054545454544</v>
      </c>
      <c r="J36" s="618" t="s">
        <v>1</v>
      </c>
    </row>
    <row r="37" spans="1:10" ht="14.4" customHeight="1" x14ac:dyDescent="0.3">
      <c r="A37" s="614" t="s">
        <v>571</v>
      </c>
      <c r="B37" s="615" t="s">
        <v>560</v>
      </c>
      <c r="C37" s="616">
        <v>237.21099000000001</v>
      </c>
      <c r="D37" s="616">
        <v>0</v>
      </c>
      <c r="E37" s="616"/>
      <c r="F37" s="616" t="s">
        <v>558</v>
      </c>
      <c r="G37" s="616" t="s">
        <v>558</v>
      </c>
      <c r="H37" s="616" t="s">
        <v>558</v>
      </c>
      <c r="I37" s="617" t="s">
        <v>558</v>
      </c>
      <c r="J37" s="618" t="s">
        <v>1</v>
      </c>
    </row>
    <row r="38" spans="1:10" ht="14.4" customHeight="1" x14ac:dyDescent="0.3">
      <c r="A38" s="614" t="s">
        <v>571</v>
      </c>
      <c r="B38" s="615" t="s">
        <v>336</v>
      </c>
      <c r="C38" s="616">
        <v>48.82405</v>
      </c>
      <c r="D38" s="616">
        <v>49.499399999999994</v>
      </c>
      <c r="E38" s="616"/>
      <c r="F38" s="616">
        <v>65.094629999999995</v>
      </c>
      <c r="G38" s="616">
        <v>50.25</v>
      </c>
      <c r="H38" s="616">
        <v>14.844629999999995</v>
      </c>
      <c r="I38" s="617">
        <v>1.2954155223880597</v>
      </c>
      <c r="J38" s="618" t="s">
        <v>1</v>
      </c>
    </row>
    <row r="39" spans="1:10" ht="14.4" customHeight="1" x14ac:dyDescent="0.3">
      <c r="A39" s="614" t="s">
        <v>571</v>
      </c>
      <c r="B39" s="615" t="s">
        <v>337</v>
      </c>
      <c r="C39" s="616">
        <v>0.54552</v>
      </c>
      <c r="D39" s="616">
        <v>0</v>
      </c>
      <c r="E39" s="616"/>
      <c r="F39" s="616">
        <v>3.2265100000000002</v>
      </c>
      <c r="G39" s="616">
        <v>6</v>
      </c>
      <c r="H39" s="616">
        <v>-2.7734899999999998</v>
      </c>
      <c r="I39" s="617">
        <v>0.53775166666666674</v>
      </c>
      <c r="J39" s="618" t="s">
        <v>1</v>
      </c>
    </row>
    <row r="40" spans="1:10" ht="14.4" customHeight="1" x14ac:dyDescent="0.3">
      <c r="A40" s="614" t="s">
        <v>571</v>
      </c>
      <c r="B40" s="615" t="s">
        <v>338</v>
      </c>
      <c r="C40" s="616">
        <v>3.6707999999999998</v>
      </c>
      <c r="D40" s="616">
        <v>2.2218</v>
      </c>
      <c r="E40" s="616"/>
      <c r="F40" s="616">
        <v>6.2950999999999997</v>
      </c>
      <c r="G40" s="616">
        <v>2.75</v>
      </c>
      <c r="H40" s="616">
        <v>3.5450999999999997</v>
      </c>
      <c r="I40" s="617">
        <v>2.2891272727272725</v>
      </c>
      <c r="J40" s="618" t="s">
        <v>1</v>
      </c>
    </row>
    <row r="41" spans="1:10" ht="14.4" customHeight="1" x14ac:dyDescent="0.3">
      <c r="A41" s="614" t="s">
        <v>571</v>
      </c>
      <c r="B41" s="615" t="s">
        <v>573</v>
      </c>
      <c r="C41" s="616">
        <v>488.43737000000004</v>
      </c>
      <c r="D41" s="616">
        <v>228.74996000000002</v>
      </c>
      <c r="E41" s="616"/>
      <c r="F41" s="616">
        <v>261.6497</v>
      </c>
      <c r="G41" s="616">
        <v>244.75</v>
      </c>
      <c r="H41" s="616">
        <v>16.899699999999996</v>
      </c>
      <c r="I41" s="617">
        <v>1.0690488253319714</v>
      </c>
      <c r="J41" s="618" t="s">
        <v>566</v>
      </c>
    </row>
    <row r="42" spans="1:10" ht="14.4" customHeight="1" x14ac:dyDescent="0.3">
      <c r="A42" s="614" t="s">
        <v>558</v>
      </c>
      <c r="B42" s="615" t="s">
        <v>558</v>
      </c>
      <c r="C42" s="616" t="s">
        <v>558</v>
      </c>
      <c r="D42" s="616" t="s">
        <v>558</v>
      </c>
      <c r="E42" s="616"/>
      <c r="F42" s="616" t="s">
        <v>558</v>
      </c>
      <c r="G42" s="616" t="s">
        <v>558</v>
      </c>
      <c r="H42" s="616" t="s">
        <v>558</v>
      </c>
      <c r="I42" s="617" t="s">
        <v>558</v>
      </c>
      <c r="J42" s="618" t="s">
        <v>567</v>
      </c>
    </row>
    <row r="43" spans="1:10" ht="14.4" customHeight="1" x14ac:dyDescent="0.3">
      <c r="A43" s="614" t="s">
        <v>574</v>
      </c>
      <c r="B43" s="615" t="s">
        <v>575</v>
      </c>
      <c r="C43" s="616" t="s">
        <v>558</v>
      </c>
      <c r="D43" s="616" t="s">
        <v>558</v>
      </c>
      <c r="E43" s="616"/>
      <c r="F43" s="616" t="s">
        <v>558</v>
      </c>
      <c r="G43" s="616" t="s">
        <v>558</v>
      </c>
      <c r="H43" s="616" t="s">
        <v>558</v>
      </c>
      <c r="I43" s="617" t="s">
        <v>558</v>
      </c>
      <c r="J43" s="618" t="s">
        <v>0</v>
      </c>
    </row>
    <row r="44" spans="1:10" ht="14.4" customHeight="1" x14ac:dyDescent="0.3">
      <c r="A44" s="614" t="s">
        <v>574</v>
      </c>
      <c r="B44" s="615" t="s">
        <v>333</v>
      </c>
      <c r="C44" s="616">
        <v>0</v>
      </c>
      <c r="D44" s="616" t="s">
        <v>558</v>
      </c>
      <c r="E44" s="616"/>
      <c r="F44" s="616" t="s">
        <v>558</v>
      </c>
      <c r="G44" s="616" t="s">
        <v>558</v>
      </c>
      <c r="H44" s="616" t="s">
        <v>558</v>
      </c>
      <c r="I44" s="617" t="s">
        <v>558</v>
      </c>
      <c r="J44" s="618" t="s">
        <v>1</v>
      </c>
    </row>
    <row r="45" spans="1:10" ht="14.4" customHeight="1" x14ac:dyDescent="0.3">
      <c r="A45" s="614" t="s">
        <v>574</v>
      </c>
      <c r="B45" s="615" t="s">
        <v>576</v>
      </c>
      <c r="C45" s="616">
        <v>0</v>
      </c>
      <c r="D45" s="616" t="s">
        <v>558</v>
      </c>
      <c r="E45" s="616"/>
      <c r="F45" s="616" t="s">
        <v>558</v>
      </c>
      <c r="G45" s="616" t="s">
        <v>558</v>
      </c>
      <c r="H45" s="616" t="s">
        <v>558</v>
      </c>
      <c r="I45" s="617" t="s">
        <v>558</v>
      </c>
      <c r="J45" s="618" t="s">
        <v>566</v>
      </c>
    </row>
    <row r="46" spans="1:10" ht="14.4" customHeight="1" x14ac:dyDescent="0.3">
      <c r="A46" s="614" t="s">
        <v>558</v>
      </c>
      <c r="B46" s="615" t="s">
        <v>558</v>
      </c>
      <c r="C46" s="616" t="s">
        <v>558</v>
      </c>
      <c r="D46" s="616" t="s">
        <v>558</v>
      </c>
      <c r="E46" s="616"/>
      <c r="F46" s="616" t="s">
        <v>558</v>
      </c>
      <c r="G46" s="616" t="s">
        <v>558</v>
      </c>
      <c r="H46" s="616" t="s">
        <v>558</v>
      </c>
      <c r="I46" s="617" t="s">
        <v>558</v>
      </c>
      <c r="J46" s="618" t="s">
        <v>567</v>
      </c>
    </row>
    <row r="47" spans="1:10" ht="14.4" customHeight="1" x14ac:dyDescent="0.3">
      <c r="A47" s="614" t="s">
        <v>556</v>
      </c>
      <c r="B47" s="615" t="s">
        <v>561</v>
      </c>
      <c r="C47" s="616">
        <v>925.75657999999999</v>
      </c>
      <c r="D47" s="616">
        <v>524.40706</v>
      </c>
      <c r="E47" s="616"/>
      <c r="F47" s="616">
        <v>527.47382999999991</v>
      </c>
      <c r="G47" s="616">
        <v>513.75</v>
      </c>
      <c r="H47" s="616">
        <v>13.723829999999907</v>
      </c>
      <c r="I47" s="617">
        <v>1.0267130510948903</v>
      </c>
      <c r="J47" s="618" t="s">
        <v>562</v>
      </c>
    </row>
  </sheetData>
  <mergeCells count="3">
    <mergeCell ref="F3:I3"/>
    <mergeCell ref="C4:D4"/>
    <mergeCell ref="A1:I1"/>
  </mergeCells>
  <conditionalFormatting sqref="F15 F48:F65537">
    <cfRule type="cellIs" dxfId="69" priority="18" stopIfTrue="1" operator="greaterThan">
      <formula>1</formula>
    </cfRule>
  </conditionalFormatting>
  <conditionalFormatting sqref="H5:H14">
    <cfRule type="expression" dxfId="68" priority="14">
      <formula>$H5&gt;0</formula>
    </cfRule>
  </conditionalFormatting>
  <conditionalFormatting sqref="I5:I14">
    <cfRule type="expression" dxfId="67" priority="15">
      <formula>$I5&gt;1</formula>
    </cfRule>
  </conditionalFormatting>
  <conditionalFormatting sqref="B5:B14">
    <cfRule type="expression" dxfId="66" priority="11">
      <formula>OR($J5="NS",$J5="SumaNS",$J5="Účet")</formula>
    </cfRule>
  </conditionalFormatting>
  <conditionalFormatting sqref="B5:D14 F5:I14">
    <cfRule type="expression" dxfId="65" priority="17">
      <formula>AND($J5&lt;&gt;"",$J5&lt;&gt;"mezeraKL")</formula>
    </cfRule>
  </conditionalFormatting>
  <conditionalFormatting sqref="B5:D14 F5:I14">
    <cfRule type="expression" dxfId="6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3" priority="13">
      <formula>OR($J5="SumaNS",$J5="NS")</formula>
    </cfRule>
  </conditionalFormatting>
  <conditionalFormatting sqref="A5:A14">
    <cfRule type="expression" dxfId="62" priority="9">
      <formula>AND($J5&lt;&gt;"mezeraKL",$J5&lt;&gt;"")</formula>
    </cfRule>
  </conditionalFormatting>
  <conditionalFormatting sqref="A5:A14">
    <cfRule type="expression" dxfId="61" priority="10">
      <formula>AND($J5&lt;&gt;"",$J5&lt;&gt;"mezeraKL")</formula>
    </cfRule>
  </conditionalFormatting>
  <conditionalFormatting sqref="H16:H47">
    <cfRule type="expression" dxfId="60" priority="5">
      <formula>$H16&gt;0</formula>
    </cfRule>
  </conditionalFormatting>
  <conditionalFormatting sqref="A16:A47">
    <cfRule type="expression" dxfId="59" priority="2">
      <formula>AND($J16&lt;&gt;"mezeraKL",$J16&lt;&gt;"")</formula>
    </cfRule>
  </conditionalFormatting>
  <conditionalFormatting sqref="I16:I47">
    <cfRule type="expression" dxfId="58" priority="6">
      <formula>$I16&gt;1</formula>
    </cfRule>
  </conditionalFormatting>
  <conditionalFormatting sqref="B16:B47">
    <cfRule type="expression" dxfId="57" priority="1">
      <formula>OR($J16="NS",$J16="SumaNS",$J16="Účet")</formula>
    </cfRule>
  </conditionalFormatting>
  <conditionalFormatting sqref="A16:D47 F16:I47">
    <cfRule type="expression" dxfId="56" priority="8">
      <formula>AND($J16&lt;&gt;"",$J16&lt;&gt;"mezeraKL")</formula>
    </cfRule>
  </conditionalFormatting>
  <conditionalFormatting sqref="B16:D47 F16:I47">
    <cfRule type="expression" dxfId="55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7 F16:I47">
    <cfRule type="expression" dxfId="54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0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5" style="342" customWidth="1"/>
    <col min="8" max="8" width="12.44140625" style="342" hidden="1" customWidth="1" outlineLevel="1"/>
    <col min="9" max="9" width="8.5546875" style="342" hidden="1" customWidth="1" outlineLevel="1"/>
    <col min="10" max="10" width="25.77734375" style="342" customWidth="1" collapsed="1"/>
    <col min="11" max="11" width="8.77734375" style="342" customWidth="1"/>
    <col min="12" max="13" width="7.77734375" style="340" customWidth="1"/>
    <col min="14" max="14" width="11.109375" style="340" customWidth="1"/>
    <col min="15" max="16384" width="8.88671875" style="257"/>
  </cols>
  <sheetData>
    <row r="1" spans="1:14" ht="18.600000000000001" customHeight="1" thickBot="1" x14ac:dyDescent="0.4">
      <c r="A1" s="494" t="s">
        <v>208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</row>
    <row r="2" spans="1:14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4"/>
      <c r="J2" s="344"/>
      <c r="K2" s="344"/>
      <c r="L2" s="345"/>
      <c r="M2" s="345"/>
      <c r="N2" s="345"/>
    </row>
    <row r="3" spans="1:14" ht="14.4" customHeight="1" thickBot="1" x14ac:dyDescent="0.35">
      <c r="A3" s="66"/>
      <c r="B3" s="66"/>
      <c r="C3" s="490"/>
      <c r="D3" s="491"/>
      <c r="E3" s="491"/>
      <c r="F3" s="491"/>
      <c r="G3" s="491"/>
      <c r="H3" s="491"/>
      <c r="I3" s="491"/>
      <c r="J3" s="492" t="s">
        <v>160</v>
      </c>
      <c r="K3" s="493"/>
      <c r="L3" s="210">
        <f>IF(M3&lt;&gt;0,N3/M3,0)</f>
        <v>157.97865305485712</v>
      </c>
      <c r="M3" s="210">
        <f>SUBTOTAL(9,M5:M1048576)</f>
        <v>3301.1966666666672</v>
      </c>
      <c r="N3" s="211">
        <f>SUBTOTAL(9,N5:N1048576)</f>
        <v>521518.60286918422</v>
      </c>
    </row>
    <row r="4" spans="1:14" s="341" customFormat="1" ht="14.4" customHeight="1" thickBot="1" x14ac:dyDescent="0.35">
      <c r="A4" s="619" t="s">
        <v>4</v>
      </c>
      <c r="B4" s="620" t="s">
        <v>5</v>
      </c>
      <c r="C4" s="620" t="s">
        <v>0</v>
      </c>
      <c r="D4" s="620" t="s">
        <v>6</v>
      </c>
      <c r="E4" s="620" t="s">
        <v>7</v>
      </c>
      <c r="F4" s="620" t="s">
        <v>1</v>
      </c>
      <c r="G4" s="620" t="s">
        <v>8</v>
      </c>
      <c r="H4" s="620" t="s">
        <v>9</v>
      </c>
      <c r="I4" s="620" t="s">
        <v>10</v>
      </c>
      <c r="J4" s="621" t="s">
        <v>11</v>
      </c>
      <c r="K4" s="621" t="s">
        <v>12</v>
      </c>
      <c r="L4" s="622" t="s">
        <v>185</v>
      </c>
      <c r="M4" s="622" t="s">
        <v>13</v>
      </c>
      <c r="N4" s="623" t="s">
        <v>202</v>
      </c>
    </row>
    <row r="5" spans="1:14" ht="14.4" customHeight="1" x14ac:dyDescent="0.3">
      <c r="A5" s="624" t="s">
        <v>556</v>
      </c>
      <c r="B5" s="625" t="s">
        <v>557</v>
      </c>
      <c r="C5" s="626" t="s">
        <v>563</v>
      </c>
      <c r="D5" s="627" t="s">
        <v>1455</v>
      </c>
      <c r="E5" s="626" t="s">
        <v>577</v>
      </c>
      <c r="F5" s="627" t="s">
        <v>1458</v>
      </c>
      <c r="G5" s="626" t="s">
        <v>578</v>
      </c>
      <c r="H5" s="626" t="s">
        <v>579</v>
      </c>
      <c r="I5" s="626" t="s">
        <v>579</v>
      </c>
      <c r="J5" s="626" t="s">
        <v>580</v>
      </c>
      <c r="K5" s="626" t="s">
        <v>581</v>
      </c>
      <c r="L5" s="628">
        <v>179.40000000000003</v>
      </c>
      <c r="M5" s="628">
        <v>59.900000000000006</v>
      </c>
      <c r="N5" s="629">
        <v>10746.060000000003</v>
      </c>
    </row>
    <row r="6" spans="1:14" ht="14.4" customHeight="1" x14ac:dyDescent="0.3">
      <c r="A6" s="630" t="s">
        <v>556</v>
      </c>
      <c r="B6" s="631" t="s">
        <v>557</v>
      </c>
      <c r="C6" s="632" t="s">
        <v>563</v>
      </c>
      <c r="D6" s="633" t="s">
        <v>1455</v>
      </c>
      <c r="E6" s="632" t="s">
        <v>577</v>
      </c>
      <c r="F6" s="633" t="s">
        <v>1458</v>
      </c>
      <c r="G6" s="632" t="s">
        <v>578</v>
      </c>
      <c r="H6" s="632" t="s">
        <v>582</v>
      </c>
      <c r="I6" s="632" t="s">
        <v>582</v>
      </c>
      <c r="J6" s="632" t="s">
        <v>583</v>
      </c>
      <c r="K6" s="632" t="s">
        <v>584</v>
      </c>
      <c r="L6" s="634">
        <v>181.59</v>
      </c>
      <c r="M6" s="634">
        <v>3</v>
      </c>
      <c r="N6" s="635">
        <v>544.77</v>
      </c>
    </row>
    <row r="7" spans="1:14" ht="14.4" customHeight="1" x14ac:dyDescent="0.3">
      <c r="A7" s="630" t="s">
        <v>556</v>
      </c>
      <c r="B7" s="631" t="s">
        <v>557</v>
      </c>
      <c r="C7" s="632" t="s">
        <v>563</v>
      </c>
      <c r="D7" s="633" t="s">
        <v>1455</v>
      </c>
      <c r="E7" s="632" t="s">
        <v>577</v>
      </c>
      <c r="F7" s="633" t="s">
        <v>1458</v>
      </c>
      <c r="G7" s="632" t="s">
        <v>578</v>
      </c>
      <c r="H7" s="632" t="s">
        <v>585</v>
      </c>
      <c r="I7" s="632" t="s">
        <v>585</v>
      </c>
      <c r="J7" s="632" t="s">
        <v>586</v>
      </c>
      <c r="K7" s="632" t="s">
        <v>584</v>
      </c>
      <c r="L7" s="634">
        <v>149.5</v>
      </c>
      <c r="M7" s="634">
        <v>1</v>
      </c>
      <c r="N7" s="635">
        <v>149.5</v>
      </c>
    </row>
    <row r="8" spans="1:14" ht="14.4" customHeight="1" x14ac:dyDescent="0.3">
      <c r="A8" s="630" t="s">
        <v>556</v>
      </c>
      <c r="B8" s="631" t="s">
        <v>557</v>
      </c>
      <c r="C8" s="632" t="s">
        <v>563</v>
      </c>
      <c r="D8" s="633" t="s">
        <v>1455</v>
      </c>
      <c r="E8" s="632" t="s">
        <v>577</v>
      </c>
      <c r="F8" s="633" t="s">
        <v>1458</v>
      </c>
      <c r="G8" s="632" t="s">
        <v>578</v>
      </c>
      <c r="H8" s="632" t="s">
        <v>587</v>
      </c>
      <c r="I8" s="632" t="s">
        <v>587</v>
      </c>
      <c r="J8" s="632" t="s">
        <v>580</v>
      </c>
      <c r="K8" s="632" t="s">
        <v>588</v>
      </c>
      <c r="L8" s="634">
        <v>97.179940295720996</v>
      </c>
      <c r="M8" s="634">
        <v>22</v>
      </c>
      <c r="N8" s="635">
        <v>2137.9586865058618</v>
      </c>
    </row>
    <row r="9" spans="1:14" ht="14.4" customHeight="1" x14ac:dyDescent="0.3">
      <c r="A9" s="630" t="s">
        <v>556</v>
      </c>
      <c r="B9" s="631" t="s">
        <v>557</v>
      </c>
      <c r="C9" s="632" t="s">
        <v>563</v>
      </c>
      <c r="D9" s="633" t="s">
        <v>1455</v>
      </c>
      <c r="E9" s="632" t="s">
        <v>577</v>
      </c>
      <c r="F9" s="633" t="s">
        <v>1458</v>
      </c>
      <c r="G9" s="632" t="s">
        <v>578</v>
      </c>
      <c r="H9" s="632" t="s">
        <v>589</v>
      </c>
      <c r="I9" s="632" t="s">
        <v>589</v>
      </c>
      <c r="J9" s="632" t="s">
        <v>580</v>
      </c>
      <c r="K9" s="632" t="s">
        <v>590</v>
      </c>
      <c r="L9" s="634">
        <v>97.751636392294984</v>
      </c>
      <c r="M9" s="634">
        <v>4</v>
      </c>
      <c r="N9" s="635">
        <v>391.00654556917993</v>
      </c>
    </row>
    <row r="10" spans="1:14" ht="14.4" customHeight="1" x14ac:dyDescent="0.3">
      <c r="A10" s="630" t="s">
        <v>556</v>
      </c>
      <c r="B10" s="631" t="s">
        <v>557</v>
      </c>
      <c r="C10" s="632" t="s">
        <v>563</v>
      </c>
      <c r="D10" s="633" t="s">
        <v>1455</v>
      </c>
      <c r="E10" s="632" t="s">
        <v>577</v>
      </c>
      <c r="F10" s="633" t="s">
        <v>1458</v>
      </c>
      <c r="G10" s="632" t="s">
        <v>578</v>
      </c>
      <c r="H10" s="632" t="s">
        <v>591</v>
      </c>
      <c r="I10" s="632" t="s">
        <v>592</v>
      </c>
      <c r="J10" s="632" t="s">
        <v>593</v>
      </c>
      <c r="K10" s="632" t="s">
        <v>594</v>
      </c>
      <c r="L10" s="634">
        <v>84.569999999999951</v>
      </c>
      <c r="M10" s="634">
        <v>1</v>
      </c>
      <c r="N10" s="635">
        <v>84.569999999999951</v>
      </c>
    </row>
    <row r="11" spans="1:14" ht="14.4" customHeight="1" x14ac:dyDescent="0.3">
      <c r="A11" s="630" t="s">
        <v>556</v>
      </c>
      <c r="B11" s="631" t="s">
        <v>557</v>
      </c>
      <c r="C11" s="632" t="s">
        <v>563</v>
      </c>
      <c r="D11" s="633" t="s">
        <v>1455</v>
      </c>
      <c r="E11" s="632" t="s">
        <v>577</v>
      </c>
      <c r="F11" s="633" t="s">
        <v>1458</v>
      </c>
      <c r="G11" s="632" t="s">
        <v>578</v>
      </c>
      <c r="H11" s="632" t="s">
        <v>595</v>
      </c>
      <c r="I11" s="632" t="s">
        <v>596</v>
      </c>
      <c r="J11" s="632" t="s">
        <v>597</v>
      </c>
      <c r="K11" s="632" t="s">
        <v>598</v>
      </c>
      <c r="L11" s="634">
        <v>95.080033540770359</v>
      </c>
      <c r="M11" s="634">
        <v>5</v>
      </c>
      <c r="N11" s="635">
        <v>475.40016770385182</v>
      </c>
    </row>
    <row r="12" spans="1:14" ht="14.4" customHeight="1" x14ac:dyDescent="0.3">
      <c r="A12" s="630" t="s">
        <v>556</v>
      </c>
      <c r="B12" s="631" t="s">
        <v>557</v>
      </c>
      <c r="C12" s="632" t="s">
        <v>563</v>
      </c>
      <c r="D12" s="633" t="s">
        <v>1455</v>
      </c>
      <c r="E12" s="632" t="s">
        <v>577</v>
      </c>
      <c r="F12" s="633" t="s">
        <v>1458</v>
      </c>
      <c r="G12" s="632" t="s">
        <v>578</v>
      </c>
      <c r="H12" s="632" t="s">
        <v>599</v>
      </c>
      <c r="I12" s="632" t="s">
        <v>600</v>
      </c>
      <c r="J12" s="632" t="s">
        <v>601</v>
      </c>
      <c r="K12" s="632" t="s">
        <v>602</v>
      </c>
      <c r="L12" s="634">
        <v>170.45</v>
      </c>
      <c r="M12" s="634">
        <v>2</v>
      </c>
      <c r="N12" s="635">
        <v>340.9</v>
      </c>
    </row>
    <row r="13" spans="1:14" ht="14.4" customHeight="1" x14ac:dyDescent="0.3">
      <c r="A13" s="630" t="s">
        <v>556</v>
      </c>
      <c r="B13" s="631" t="s">
        <v>557</v>
      </c>
      <c r="C13" s="632" t="s">
        <v>563</v>
      </c>
      <c r="D13" s="633" t="s">
        <v>1455</v>
      </c>
      <c r="E13" s="632" t="s">
        <v>577</v>
      </c>
      <c r="F13" s="633" t="s">
        <v>1458</v>
      </c>
      <c r="G13" s="632" t="s">
        <v>578</v>
      </c>
      <c r="H13" s="632" t="s">
        <v>603</v>
      </c>
      <c r="I13" s="632" t="s">
        <v>604</v>
      </c>
      <c r="J13" s="632" t="s">
        <v>605</v>
      </c>
      <c r="K13" s="632" t="s">
        <v>606</v>
      </c>
      <c r="L13" s="634">
        <v>65.484999999999985</v>
      </c>
      <c r="M13" s="634">
        <v>4</v>
      </c>
      <c r="N13" s="635">
        <v>261.93999999999994</v>
      </c>
    </row>
    <row r="14" spans="1:14" ht="14.4" customHeight="1" x14ac:dyDescent="0.3">
      <c r="A14" s="630" t="s">
        <v>556</v>
      </c>
      <c r="B14" s="631" t="s">
        <v>557</v>
      </c>
      <c r="C14" s="632" t="s">
        <v>563</v>
      </c>
      <c r="D14" s="633" t="s">
        <v>1455</v>
      </c>
      <c r="E14" s="632" t="s">
        <v>577</v>
      </c>
      <c r="F14" s="633" t="s">
        <v>1458</v>
      </c>
      <c r="G14" s="632" t="s">
        <v>578</v>
      </c>
      <c r="H14" s="632" t="s">
        <v>607</v>
      </c>
      <c r="I14" s="632" t="s">
        <v>608</v>
      </c>
      <c r="J14" s="632" t="s">
        <v>609</v>
      </c>
      <c r="K14" s="632" t="s">
        <v>610</v>
      </c>
      <c r="L14" s="634">
        <v>77.3</v>
      </c>
      <c r="M14" s="634">
        <v>4</v>
      </c>
      <c r="N14" s="635">
        <v>309.2</v>
      </c>
    </row>
    <row r="15" spans="1:14" ht="14.4" customHeight="1" x14ac:dyDescent="0.3">
      <c r="A15" s="630" t="s">
        <v>556</v>
      </c>
      <c r="B15" s="631" t="s">
        <v>557</v>
      </c>
      <c r="C15" s="632" t="s">
        <v>563</v>
      </c>
      <c r="D15" s="633" t="s">
        <v>1455</v>
      </c>
      <c r="E15" s="632" t="s">
        <v>577</v>
      </c>
      <c r="F15" s="633" t="s">
        <v>1458</v>
      </c>
      <c r="G15" s="632" t="s">
        <v>578</v>
      </c>
      <c r="H15" s="632" t="s">
        <v>611</v>
      </c>
      <c r="I15" s="632" t="s">
        <v>612</v>
      </c>
      <c r="J15" s="632" t="s">
        <v>613</v>
      </c>
      <c r="K15" s="632" t="s">
        <v>614</v>
      </c>
      <c r="L15" s="634">
        <v>29.229999999999986</v>
      </c>
      <c r="M15" s="634">
        <v>2</v>
      </c>
      <c r="N15" s="635">
        <v>58.459999999999972</v>
      </c>
    </row>
    <row r="16" spans="1:14" ht="14.4" customHeight="1" x14ac:dyDescent="0.3">
      <c r="A16" s="630" t="s">
        <v>556</v>
      </c>
      <c r="B16" s="631" t="s">
        <v>557</v>
      </c>
      <c r="C16" s="632" t="s">
        <v>563</v>
      </c>
      <c r="D16" s="633" t="s">
        <v>1455</v>
      </c>
      <c r="E16" s="632" t="s">
        <v>577</v>
      </c>
      <c r="F16" s="633" t="s">
        <v>1458</v>
      </c>
      <c r="G16" s="632" t="s">
        <v>578</v>
      </c>
      <c r="H16" s="632" t="s">
        <v>615</v>
      </c>
      <c r="I16" s="632" t="s">
        <v>616</v>
      </c>
      <c r="J16" s="632" t="s">
        <v>617</v>
      </c>
      <c r="K16" s="632" t="s">
        <v>618</v>
      </c>
      <c r="L16" s="634">
        <v>81.151280342782215</v>
      </c>
      <c r="M16" s="634">
        <v>46</v>
      </c>
      <c r="N16" s="635">
        <v>3732.9588957679816</v>
      </c>
    </row>
    <row r="17" spans="1:14" ht="14.4" customHeight="1" x14ac:dyDescent="0.3">
      <c r="A17" s="630" t="s">
        <v>556</v>
      </c>
      <c r="B17" s="631" t="s">
        <v>557</v>
      </c>
      <c r="C17" s="632" t="s">
        <v>563</v>
      </c>
      <c r="D17" s="633" t="s">
        <v>1455</v>
      </c>
      <c r="E17" s="632" t="s">
        <v>577</v>
      </c>
      <c r="F17" s="633" t="s">
        <v>1458</v>
      </c>
      <c r="G17" s="632" t="s">
        <v>578</v>
      </c>
      <c r="H17" s="632" t="s">
        <v>619</v>
      </c>
      <c r="I17" s="632" t="s">
        <v>620</v>
      </c>
      <c r="J17" s="632" t="s">
        <v>621</v>
      </c>
      <c r="K17" s="632" t="s">
        <v>622</v>
      </c>
      <c r="L17" s="634">
        <v>42.089999999999989</v>
      </c>
      <c r="M17" s="634">
        <v>3</v>
      </c>
      <c r="N17" s="635">
        <v>126.26999999999997</v>
      </c>
    </row>
    <row r="18" spans="1:14" ht="14.4" customHeight="1" x14ac:dyDescent="0.3">
      <c r="A18" s="630" t="s">
        <v>556</v>
      </c>
      <c r="B18" s="631" t="s">
        <v>557</v>
      </c>
      <c r="C18" s="632" t="s">
        <v>563</v>
      </c>
      <c r="D18" s="633" t="s">
        <v>1455</v>
      </c>
      <c r="E18" s="632" t="s">
        <v>577</v>
      </c>
      <c r="F18" s="633" t="s">
        <v>1458</v>
      </c>
      <c r="G18" s="632" t="s">
        <v>578</v>
      </c>
      <c r="H18" s="632" t="s">
        <v>623</v>
      </c>
      <c r="I18" s="632" t="s">
        <v>624</v>
      </c>
      <c r="J18" s="632" t="s">
        <v>625</v>
      </c>
      <c r="K18" s="632" t="s">
        <v>626</v>
      </c>
      <c r="L18" s="634">
        <v>260</v>
      </c>
      <c r="M18" s="634">
        <v>11</v>
      </c>
      <c r="N18" s="635">
        <v>2860</v>
      </c>
    </row>
    <row r="19" spans="1:14" ht="14.4" customHeight="1" x14ac:dyDescent="0.3">
      <c r="A19" s="630" t="s">
        <v>556</v>
      </c>
      <c r="B19" s="631" t="s">
        <v>557</v>
      </c>
      <c r="C19" s="632" t="s">
        <v>563</v>
      </c>
      <c r="D19" s="633" t="s">
        <v>1455</v>
      </c>
      <c r="E19" s="632" t="s">
        <v>577</v>
      </c>
      <c r="F19" s="633" t="s">
        <v>1458</v>
      </c>
      <c r="G19" s="632" t="s">
        <v>578</v>
      </c>
      <c r="H19" s="632" t="s">
        <v>627</v>
      </c>
      <c r="I19" s="632" t="s">
        <v>628</v>
      </c>
      <c r="J19" s="632" t="s">
        <v>629</v>
      </c>
      <c r="K19" s="632" t="s">
        <v>630</v>
      </c>
      <c r="L19" s="634">
        <v>95.864000000000104</v>
      </c>
      <c r="M19" s="634">
        <v>1</v>
      </c>
      <c r="N19" s="635">
        <v>95.864000000000104</v>
      </c>
    </row>
    <row r="20" spans="1:14" ht="14.4" customHeight="1" x14ac:dyDescent="0.3">
      <c r="A20" s="630" t="s">
        <v>556</v>
      </c>
      <c r="B20" s="631" t="s">
        <v>557</v>
      </c>
      <c r="C20" s="632" t="s">
        <v>563</v>
      </c>
      <c r="D20" s="633" t="s">
        <v>1455</v>
      </c>
      <c r="E20" s="632" t="s">
        <v>577</v>
      </c>
      <c r="F20" s="633" t="s">
        <v>1458</v>
      </c>
      <c r="G20" s="632" t="s">
        <v>578</v>
      </c>
      <c r="H20" s="632" t="s">
        <v>631</v>
      </c>
      <c r="I20" s="632" t="s">
        <v>631</v>
      </c>
      <c r="J20" s="632" t="s">
        <v>632</v>
      </c>
      <c r="K20" s="632" t="s">
        <v>633</v>
      </c>
      <c r="L20" s="634">
        <v>38.189929464106733</v>
      </c>
      <c r="M20" s="634">
        <v>17</v>
      </c>
      <c r="N20" s="635">
        <v>649.22880088981447</v>
      </c>
    </row>
    <row r="21" spans="1:14" ht="14.4" customHeight="1" x14ac:dyDescent="0.3">
      <c r="A21" s="630" t="s">
        <v>556</v>
      </c>
      <c r="B21" s="631" t="s">
        <v>557</v>
      </c>
      <c r="C21" s="632" t="s">
        <v>563</v>
      </c>
      <c r="D21" s="633" t="s">
        <v>1455</v>
      </c>
      <c r="E21" s="632" t="s">
        <v>577</v>
      </c>
      <c r="F21" s="633" t="s">
        <v>1458</v>
      </c>
      <c r="G21" s="632" t="s">
        <v>578</v>
      </c>
      <c r="H21" s="632" t="s">
        <v>634</v>
      </c>
      <c r="I21" s="632" t="s">
        <v>635</v>
      </c>
      <c r="J21" s="632" t="s">
        <v>636</v>
      </c>
      <c r="K21" s="632" t="s">
        <v>637</v>
      </c>
      <c r="L21" s="634">
        <v>73.533244115005843</v>
      </c>
      <c r="M21" s="634">
        <v>24</v>
      </c>
      <c r="N21" s="635">
        <v>1764.7978587601401</v>
      </c>
    </row>
    <row r="22" spans="1:14" ht="14.4" customHeight="1" x14ac:dyDescent="0.3">
      <c r="A22" s="630" t="s">
        <v>556</v>
      </c>
      <c r="B22" s="631" t="s">
        <v>557</v>
      </c>
      <c r="C22" s="632" t="s">
        <v>563</v>
      </c>
      <c r="D22" s="633" t="s">
        <v>1455</v>
      </c>
      <c r="E22" s="632" t="s">
        <v>577</v>
      </c>
      <c r="F22" s="633" t="s">
        <v>1458</v>
      </c>
      <c r="G22" s="632" t="s">
        <v>578</v>
      </c>
      <c r="H22" s="632" t="s">
        <v>638</v>
      </c>
      <c r="I22" s="632" t="s">
        <v>639</v>
      </c>
      <c r="J22" s="632" t="s">
        <v>640</v>
      </c>
      <c r="K22" s="632" t="s">
        <v>641</v>
      </c>
      <c r="L22" s="634">
        <v>164.88000000000005</v>
      </c>
      <c r="M22" s="634">
        <v>1</v>
      </c>
      <c r="N22" s="635">
        <v>164.88000000000005</v>
      </c>
    </row>
    <row r="23" spans="1:14" ht="14.4" customHeight="1" x14ac:dyDescent="0.3">
      <c r="A23" s="630" t="s">
        <v>556</v>
      </c>
      <c r="B23" s="631" t="s">
        <v>557</v>
      </c>
      <c r="C23" s="632" t="s">
        <v>563</v>
      </c>
      <c r="D23" s="633" t="s">
        <v>1455</v>
      </c>
      <c r="E23" s="632" t="s">
        <v>577</v>
      </c>
      <c r="F23" s="633" t="s">
        <v>1458</v>
      </c>
      <c r="G23" s="632" t="s">
        <v>578</v>
      </c>
      <c r="H23" s="632" t="s">
        <v>642</v>
      </c>
      <c r="I23" s="632" t="s">
        <v>643</v>
      </c>
      <c r="J23" s="632" t="s">
        <v>644</v>
      </c>
      <c r="K23" s="632" t="s">
        <v>645</v>
      </c>
      <c r="L23" s="634">
        <v>339.61999999999995</v>
      </c>
      <c r="M23" s="634">
        <v>3</v>
      </c>
      <c r="N23" s="635">
        <v>1018.8599999999999</v>
      </c>
    </row>
    <row r="24" spans="1:14" ht="14.4" customHeight="1" x14ac:dyDescent="0.3">
      <c r="A24" s="630" t="s">
        <v>556</v>
      </c>
      <c r="B24" s="631" t="s">
        <v>557</v>
      </c>
      <c r="C24" s="632" t="s">
        <v>563</v>
      </c>
      <c r="D24" s="633" t="s">
        <v>1455</v>
      </c>
      <c r="E24" s="632" t="s">
        <v>577</v>
      </c>
      <c r="F24" s="633" t="s">
        <v>1458</v>
      </c>
      <c r="G24" s="632" t="s">
        <v>578</v>
      </c>
      <c r="H24" s="632" t="s">
        <v>646</v>
      </c>
      <c r="I24" s="632" t="s">
        <v>647</v>
      </c>
      <c r="J24" s="632" t="s">
        <v>648</v>
      </c>
      <c r="K24" s="632" t="s">
        <v>649</v>
      </c>
      <c r="L24" s="634">
        <v>22.556315789473683</v>
      </c>
      <c r="M24" s="634">
        <v>38</v>
      </c>
      <c r="N24" s="635">
        <v>857.14</v>
      </c>
    </row>
    <row r="25" spans="1:14" ht="14.4" customHeight="1" x14ac:dyDescent="0.3">
      <c r="A25" s="630" t="s">
        <v>556</v>
      </c>
      <c r="B25" s="631" t="s">
        <v>557</v>
      </c>
      <c r="C25" s="632" t="s">
        <v>563</v>
      </c>
      <c r="D25" s="633" t="s">
        <v>1455</v>
      </c>
      <c r="E25" s="632" t="s">
        <v>577</v>
      </c>
      <c r="F25" s="633" t="s">
        <v>1458</v>
      </c>
      <c r="G25" s="632" t="s">
        <v>578</v>
      </c>
      <c r="H25" s="632" t="s">
        <v>650</v>
      </c>
      <c r="I25" s="632" t="s">
        <v>651</v>
      </c>
      <c r="J25" s="632" t="s">
        <v>652</v>
      </c>
      <c r="K25" s="632" t="s">
        <v>653</v>
      </c>
      <c r="L25" s="634">
        <v>77</v>
      </c>
      <c r="M25" s="634">
        <v>1</v>
      </c>
      <c r="N25" s="635">
        <v>77</v>
      </c>
    </row>
    <row r="26" spans="1:14" ht="14.4" customHeight="1" x14ac:dyDescent="0.3">
      <c r="A26" s="630" t="s">
        <v>556</v>
      </c>
      <c r="B26" s="631" t="s">
        <v>557</v>
      </c>
      <c r="C26" s="632" t="s">
        <v>563</v>
      </c>
      <c r="D26" s="633" t="s">
        <v>1455</v>
      </c>
      <c r="E26" s="632" t="s">
        <v>577</v>
      </c>
      <c r="F26" s="633" t="s">
        <v>1458</v>
      </c>
      <c r="G26" s="632" t="s">
        <v>578</v>
      </c>
      <c r="H26" s="632" t="s">
        <v>654</v>
      </c>
      <c r="I26" s="632" t="s">
        <v>655</v>
      </c>
      <c r="J26" s="632" t="s">
        <v>656</v>
      </c>
      <c r="K26" s="632" t="s">
        <v>657</v>
      </c>
      <c r="L26" s="634">
        <v>134.22999999999993</v>
      </c>
      <c r="M26" s="634">
        <v>1</v>
      </c>
      <c r="N26" s="635">
        <v>134.22999999999993</v>
      </c>
    </row>
    <row r="27" spans="1:14" ht="14.4" customHeight="1" x14ac:dyDescent="0.3">
      <c r="A27" s="630" t="s">
        <v>556</v>
      </c>
      <c r="B27" s="631" t="s">
        <v>557</v>
      </c>
      <c r="C27" s="632" t="s">
        <v>563</v>
      </c>
      <c r="D27" s="633" t="s">
        <v>1455</v>
      </c>
      <c r="E27" s="632" t="s">
        <v>577</v>
      </c>
      <c r="F27" s="633" t="s">
        <v>1458</v>
      </c>
      <c r="G27" s="632" t="s">
        <v>578</v>
      </c>
      <c r="H27" s="632" t="s">
        <v>658</v>
      </c>
      <c r="I27" s="632" t="s">
        <v>659</v>
      </c>
      <c r="J27" s="632" t="s">
        <v>660</v>
      </c>
      <c r="K27" s="632" t="s">
        <v>661</v>
      </c>
      <c r="L27" s="634">
        <v>83.969999999999985</v>
      </c>
      <c r="M27" s="634">
        <v>3</v>
      </c>
      <c r="N27" s="635">
        <v>251.90999999999997</v>
      </c>
    </row>
    <row r="28" spans="1:14" ht="14.4" customHeight="1" x14ac:dyDescent="0.3">
      <c r="A28" s="630" t="s">
        <v>556</v>
      </c>
      <c r="B28" s="631" t="s">
        <v>557</v>
      </c>
      <c r="C28" s="632" t="s">
        <v>563</v>
      </c>
      <c r="D28" s="633" t="s">
        <v>1455</v>
      </c>
      <c r="E28" s="632" t="s">
        <v>577</v>
      </c>
      <c r="F28" s="633" t="s">
        <v>1458</v>
      </c>
      <c r="G28" s="632" t="s">
        <v>578</v>
      </c>
      <c r="H28" s="632" t="s">
        <v>662</v>
      </c>
      <c r="I28" s="632" t="s">
        <v>663</v>
      </c>
      <c r="J28" s="632" t="s">
        <v>664</v>
      </c>
      <c r="K28" s="632" t="s">
        <v>665</v>
      </c>
      <c r="L28" s="634">
        <v>75.239999999999995</v>
      </c>
      <c r="M28" s="634">
        <v>4</v>
      </c>
      <c r="N28" s="635">
        <v>300.95999999999998</v>
      </c>
    </row>
    <row r="29" spans="1:14" ht="14.4" customHeight="1" x14ac:dyDescent="0.3">
      <c r="A29" s="630" t="s">
        <v>556</v>
      </c>
      <c r="B29" s="631" t="s">
        <v>557</v>
      </c>
      <c r="C29" s="632" t="s">
        <v>563</v>
      </c>
      <c r="D29" s="633" t="s">
        <v>1455</v>
      </c>
      <c r="E29" s="632" t="s">
        <v>577</v>
      </c>
      <c r="F29" s="633" t="s">
        <v>1458</v>
      </c>
      <c r="G29" s="632" t="s">
        <v>578</v>
      </c>
      <c r="H29" s="632" t="s">
        <v>666</v>
      </c>
      <c r="I29" s="632" t="s">
        <v>667</v>
      </c>
      <c r="J29" s="632" t="s">
        <v>668</v>
      </c>
      <c r="K29" s="632" t="s">
        <v>669</v>
      </c>
      <c r="L29" s="634">
        <v>122.92250000000001</v>
      </c>
      <c r="M29" s="634">
        <v>4</v>
      </c>
      <c r="N29" s="635">
        <v>491.69000000000005</v>
      </c>
    </row>
    <row r="30" spans="1:14" ht="14.4" customHeight="1" x14ac:dyDescent="0.3">
      <c r="A30" s="630" t="s">
        <v>556</v>
      </c>
      <c r="B30" s="631" t="s">
        <v>557</v>
      </c>
      <c r="C30" s="632" t="s">
        <v>563</v>
      </c>
      <c r="D30" s="633" t="s">
        <v>1455</v>
      </c>
      <c r="E30" s="632" t="s">
        <v>577</v>
      </c>
      <c r="F30" s="633" t="s">
        <v>1458</v>
      </c>
      <c r="G30" s="632" t="s">
        <v>578</v>
      </c>
      <c r="H30" s="632" t="s">
        <v>670</v>
      </c>
      <c r="I30" s="632" t="s">
        <v>671</v>
      </c>
      <c r="J30" s="632" t="s">
        <v>672</v>
      </c>
      <c r="K30" s="632" t="s">
        <v>673</v>
      </c>
      <c r="L30" s="634">
        <v>150.70000000000002</v>
      </c>
      <c r="M30" s="634">
        <v>1</v>
      </c>
      <c r="N30" s="635">
        <v>150.70000000000002</v>
      </c>
    </row>
    <row r="31" spans="1:14" ht="14.4" customHeight="1" x14ac:dyDescent="0.3">
      <c r="A31" s="630" t="s">
        <v>556</v>
      </c>
      <c r="B31" s="631" t="s">
        <v>557</v>
      </c>
      <c r="C31" s="632" t="s">
        <v>563</v>
      </c>
      <c r="D31" s="633" t="s">
        <v>1455</v>
      </c>
      <c r="E31" s="632" t="s">
        <v>577</v>
      </c>
      <c r="F31" s="633" t="s">
        <v>1458</v>
      </c>
      <c r="G31" s="632" t="s">
        <v>578</v>
      </c>
      <c r="H31" s="632" t="s">
        <v>674</v>
      </c>
      <c r="I31" s="632" t="s">
        <v>675</v>
      </c>
      <c r="J31" s="632" t="s">
        <v>676</v>
      </c>
      <c r="K31" s="632" t="s">
        <v>677</v>
      </c>
      <c r="L31" s="634">
        <v>75.315442153079886</v>
      </c>
      <c r="M31" s="634">
        <v>4</v>
      </c>
      <c r="N31" s="635">
        <v>301.26176861231954</v>
      </c>
    </row>
    <row r="32" spans="1:14" ht="14.4" customHeight="1" x14ac:dyDescent="0.3">
      <c r="A32" s="630" t="s">
        <v>556</v>
      </c>
      <c r="B32" s="631" t="s">
        <v>557</v>
      </c>
      <c r="C32" s="632" t="s">
        <v>563</v>
      </c>
      <c r="D32" s="633" t="s">
        <v>1455</v>
      </c>
      <c r="E32" s="632" t="s">
        <v>577</v>
      </c>
      <c r="F32" s="633" t="s">
        <v>1458</v>
      </c>
      <c r="G32" s="632" t="s">
        <v>578</v>
      </c>
      <c r="H32" s="632" t="s">
        <v>678</v>
      </c>
      <c r="I32" s="632" t="s">
        <v>679</v>
      </c>
      <c r="J32" s="632" t="s">
        <v>680</v>
      </c>
      <c r="K32" s="632" t="s">
        <v>681</v>
      </c>
      <c r="L32" s="634">
        <v>65.56</v>
      </c>
      <c r="M32" s="634">
        <v>1</v>
      </c>
      <c r="N32" s="635">
        <v>65.56</v>
      </c>
    </row>
    <row r="33" spans="1:14" ht="14.4" customHeight="1" x14ac:dyDescent="0.3">
      <c r="A33" s="630" t="s">
        <v>556</v>
      </c>
      <c r="B33" s="631" t="s">
        <v>557</v>
      </c>
      <c r="C33" s="632" t="s">
        <v>563</v>
      </c>
      <c r="D33" s="633" t="s">
        <v>1455</v>
      </c>
      <c r="E33" s="632" t="s">
        <v>577</v>
      </c>
      <c r="F33" s="633" t="s">
        <v>1458</v>
      </c>
      <c r="G33" s="632" t="s">
        <v>578</v>
      </c>
      <c r="H33" s="632" t="s">
        <v>682</v>
      </c>
      <c r="I33" s="632" t="s">
        <v>683</v>
      </c>
      <c r="J33" s="632" t="s">
        <v>621</v>
      </c>
      <c r="K33" s="632" t="s">
        <v>684</v>
      </c>
      <c r="L33" s="634">
        <v>47.009800182553107</v>
      </c>
      <c r="M33" s="634">
        <v>3</v>
      </c>
      <c r="N33" s="635">
        <v>141.02940054765932</v>
      </c>
    </row>
    <row r="34" spans="1:14" ht="14.4" customHeight="1" x14ac:dyDescent="0.3">
      <c r="A34" s="630" t="s">
        <v>556</v>
      </c>
      <c r="B34" s="631" t="s">
        <v>557</v>
      </c>
      <c r="C34" s="632" t="s">
        <v>563</v>
      </c>
      <c r="D34" s="633" t="s">
        <v>1455</v>
      </c>
      <c r="E34" s="632" t="s">
        <v>577</v>
      </c>
      <c r="F34" s="633" t="s">
        <v>1458</v>
      </c>
      <c r="G34" s="632" t="s">
        <v>578</v>
      </c>
      <c r="H34" s="632" t="s">
        <v>685</v>
      </c>
      <c r="I34" s="632" t="s">
        <v>685</v>
      </c>
      <c r="J34" s="632" t="s">
        <v>686</v>
      </c>
      <c r="K34" s="632" t="s">
        <v>687</v>
      </c>
      <c r="L34" s="634">
        <v>106.65</v>
      </c>
      <c r="M34" s="634">
        <v>1</v>
      </c>
      <c r="N34" s="635">
        <v>106.65</v>
      </c>
    </row>
    <row r="35" spans="1:14" ht="14.4" customHeight="1" x14ac:dyDescent="0.3">
      <c r="A35" s="630" t="s">
        <v>556</v>
      </c>
      <c r="B35" s="631" t="s">
        <v>557</v>
      </c>
      <c r="C35" s="632" t="s">
        <v>563</v>
      </c>
      <c r="D35" s="633" t="s">
        <v>1455</v>
      </c>
      <c r="E35" s="632" t="s">
        <v>577</v>
      </c>
      <c r="F35" s="633" t="s">
        <v>1458</v>
      </c>
      <c r="G35" s="632" t="s">
        <v>578</v>
      </c>
      <c r="H35" s="632" t="s">
        <v>688</v>
      </c>
      <c r="I35" s="632" t="s">
        <v>689</v>
      </c>
      <c r="J35" s="632" t="s">
        <v>690</v>
      </c>
      <c r="K35" s="632" t="s">
        <v>691</v>
      </c>
      <c r="L35" s="634">
        <v>41.6196966285302</v>
      </c>
      <c r="M35" s="634">
        <v>2</v>
      </c>
      <c r="N35" s="635">
        <v>83.239393257060399</v>
      </c>
    </row>
    <row r="36" spans="1:14" ht="14.4" customHeight="1" x14ac:dyDescent="0.3">
      <c r="A36" s="630" t="s">
        <v>556</v>
      </c>
      <c r="B36" s="631" t="s">
        <v>557</v>
      </c>
      <c r="C36" s="632" t="s">
        <v>563</v>
      </c>
      <c r="D36" s="633" t="s">
        <v>1455</v>
      </c>
      <c r="E36" s="632" t="s">
        <v>577</v>
      </c>
      <c r="F36" s="633" t="s">
        <v>1458</v>
      </c>
      <c r="G36" s="632" t="s">
        <v>578</v>
      </c>
      <c r="H36" s="632" t="s">
        <v>692</v>
      </c>
      <c r="I36" s="632" t="s">
        <v>693</v>
      </c>
      <c r="J36" s="632" t="s">
        <v>694</v>
      </c>
      <c r="K36" s="632" t="s">
        <v>695</v>
      </c>
      <c r="L36" s="634">
        <v>49.65</v>
      </c>
      <c r="M36" s="634">
        <v>10</v>
      </c>
      <c r="N36" s="635">
        <v>496.5</v>
      </c>
    </row>
    <row r="37" spans="1:14" ht="14.4" customHeight="1" x14ac:dyDescent="0.3">
      <c r="A37" s="630" t="s">
        <v>556</v>
      </c>
      <c r="B37" s="631" t="s">
        <v>557</v>
      </c>
      <c r="C37" s="632" t="s">
        <v>563</v>
      </c>
      <c r="D37" s="633" t="s">
        <v>1455</v>
      </c>
      <c r="E37" s="632" t="s">
        <v>577</v>
      </c>
      <c r="F37" s="633" t="s">
        <v>1458</v>
      </c>
      <c r="G37" s="632" t="s">
        <v>578</v>
      </c>
      <c r="H37" s="632" t="s">
        <v>696</v>
      </c>
      <c r="I37" s="632" t="s">
        <v>697</v>
      </c>
      <c r="J37" s="632" t="s">
        <v>698</v>
      </c>
      <c r="K37" s="632" t="s">
        <v>699</v>
      </c>
      <c r="L37" s="634">
        <v>57.009999999999991</v>
      </c>
      <c r="M37" s="634">
        <v>1</v>
      </c>
      <c r="N37" s="635">
        <v>57.009999999999991</v>
      </c>
    </row>
    <row r="38" spans="1:14" ht="14.4" customHeight="1" x14ac:dyDescent="0.3">
      <c r="A38" s="630" t="s">
        <v>556</v>
      </c>
      <c r="B38" s="631" t="s">
        <v>557</v>
      </c>
      <c r="C38" s="632" t="s">
        <v>563</v>
      </c>
      <c r="D38" s="633" t="s">
        <v>1455</v>
      </c>
      <c r="E38" s="632" t="s">
        <v>577</v>
      </c>
      <c r="F38" s="633" t="s">
        <v>1458</v>
      </c>
      <c r="G38" s="632" t="s">
        <v>578</v>
      </c>
      <c r="H38" s="632" t="s">
        <v>700</v>
      </c>
      <c r="I38" s="632" t="s">
        <v>701</v>
      </c>
      <c r="J38" s="632" t="s">
        <v>702</v>
      </c>
      <c r="K38" s="632" t="s">
        <v>703</v>
      </c>
      <c r="L38" s="634">
        <v>27.47</v>
      </c>
      <c r="M38" s="634">
        <v>2</v>
      </c>
      <c r="N38" s="635">
        <v>54.94</v>
      </c>
    </row>
    <row r="39" spans="1:14" ht="14.4" customHeight="1" x14ac:dyDescent="0.3">
      <c r="A39" s="630" t="s">
        <v>556</v>
      </c>
      <c r="B39" s="631" t="s">
        <v>557</v>
      </c>
      <c r="C39" s="632" t="s">
        <v>563</v>
      </c>
      <c r="D39" s="633" t="s">
        <v>1455</v>
      </c>
      <c r="E39" s="632" t="s">
        <v>577</v>
      </c>
      <c r="F39" s="633" t="s">
        <v>1458</v>
      </c>
      <c r="G39" s="632" t="s">
        <v>578</v>
      </c>
      <c r="H39" s="632" t="s">
        <v>704</v>
      </c>
      <c r="I39" s="632" t="s">
        <v>238</v>
      </c>
      <c r="J39" s="632" t="s">
        <v>705</v>
      </c>
      <c r="K39" s="632"/>
      <c r="L39" s="634">
        <v>97.320305765005685</v>
      </c>
      <c r="M39" s="634">
        <v>18</v>
      </c>
      <c r="N39" s="635">
        <v>1751.7655037701024</v>
      </c>
    </row>
    <row r="40" spans="1:14" ht="14.4" customHeight="1" x14ac:dyDescent="0.3">
      <c r="A40" s="630" t="s">
        <v>556</v>
      </c>
      <c r="B40" s="631" t="s">
        <v>557</v>
      </c>
      <c r="C40" s="632" t="s">
        <v>563</v>
      </c>
      <c r="D40" s="633" t="s">
        <v>1455</v>
      </c>
      <c r="E40" s="632" t="s">
        <v>577</v>
      </c>
      <c r="F40" s="633" t="s">
        <v>1458</v>
      </c>
      <c r="G40" s="632" t="s">
        <v>578</v>
      </c>
      <c r="H40" s="632" t="s">
        <v>706</v>
      </c>
      <c r="I40" s="632" t="s">
        <v>238</v>
      </c>
      <c r="J40" s="632" t="s">
        <v>707</v>
      </c>
      <c r="K40" s="632"/>
      <c r="L40" s="634">
        <v>100.67997154326194</v>
      </c>
      <c r="M40" s="634">
        <v>22</v>
      </c>
      <c r="N40" s="635">
        <v>2214.9593739517627</v>
      </c>
    </row>
    <row r="41" spans="1:14" ht="14.4" customHeight="1" x14ac:dyDescent="0.3">
      <c r="A41" s="630" t="s">
        <v>556</v>
      </c>
      <c r="B41" s="631" t="s">
        <v>557</v>
      </c>
      <c r="C41" s="632" t="s">
        <v>563</v>
      </c>
      <c r="D41" s="633" t="s">
        <v>1455</v>
      </c>
      <c r="E41" s="632" t="s">
        <v>577</v>
      </c>
      <c r="F41" s="633" t="s">
        <v>1458</v>
      </c>
      <c r="G41" s="632" t="s">
        <v>578</v>
      </c>
      <c r="H41" s="632" t="s">
        <v>708</v>
      </c>
      <c r="I41" s="632" t="s">
        <v>238</v>
      </c>
      <c r="J41" s="632" t="s">
        <v>709</v>
      </c>
      <c r="K41" s="632"/>
      <c r="L41" s="634">
        <v>39.410000000000004</v>
      </c>
      <c r="M41" s="634">
        <v>3</v>
      </c>
      <c r="N41" s="635">
        <v>118.23</v>
      </c>
    </row>
    <row r="42" spans="1:14" ht="14.4" customHeight="1" x14ac:dyDescent="0.3">
      <c r="A42" s="630" t="s">
        <v>556</v>
      </c>
      <c r="B42" s="631" t="s">
        <v>557</v>
      </c>
      <c r="C42" s="632" t="s">
        <v>563</v>
      </c>
      <c r="D42" s="633" t="s">
        <v>1455</v>
      </c>
      <c r="E42" s="632" t="s">
        <v>577</v>
      </c>
      <c r="F42" s="633" t="s">
        <v>1458</v>
      </c>
      <c r="G42" s="632" t="s">
        <v>578</v>
      </c>
      <c r="H42" s="632" t="s">
        <v>710</v>
      </c>
      <c r="I42" s="632" t="s">
        <v>711</v>
      </c>
      <c r="J42" s="632" t="s">
        <v>712</v>
      </c>
      <c r="K42" s="632" t="s">
        <v>713</v>
      </c>
      <c r="L42" s="634">
        <v>28.41</v>
      </c>
      <c r="M42" s="634">
        <v>2</v>
      </c>
      <c r="N42" s="635">
        <v>56.82</v>
      </c>
    </row>
    <row r="43" spans="1:14" ht="14.4" customHeight="1" x14ac:dyDescent="0.3">
      <c r="A43" s="630" t="s">
        <v>556</v>
      </c>
      <c r="B43" s="631" t="s">
        <v>557</v>
      </c>
      <c r="C43" s="632" t="s">
        <v>563</v>
      </c>
      <c r="D43" s="633" t="s">
        <v>1455</v>
      </c>
      <c r="E43" s="632" t="s">
        <v>577</v>
      </c>
      <c r="F43" s="633" t="s">
        <v>1458</v>
      </c>
      <c r="G43" s="632" t="s">
        <v>578</v>
      </c>
      <c r="H43" s="632" t="s">
        <v>714</v>
      </c>
      <c r="I43" s="632" t="s">
        <v>715</v>
      </c>
      <c r="J43" s="632" t="s">
        <v>716</v>
      </c>
      <c r="K43" s="632" t="s">
        <v>717</v>
      </c>
      <c r="L43" s="634">
        <v>64.95313154260208</v>
      </c>
      <c r="M43" s="634">
        <v>50</v>
      </c>
      <c r="N43" s="635">
        <v>3247.6565771301039</v>
      </c>
    </row>
    <row r="44" spans="1:14" ht="14.4" customHeight="1" x14ac:dyDescent="0.3">
      <c r="A44" s="630" t="s">
        <v>556</v>
      </c>
      <c r="B44" s="631" t="s">
        <v>557</v>
      </c>
      <c r="C44" s="632" t="s">
        <v>563</v>
      </c>
      <c r="D44" s="633" t="s">
        <v>1455</v>
      </c>
      <c r="E44" s="632" t="s">
        <v>577</v>
      </c>
      <c r="F44" s="633" t="s">
        <v>1458</v>
      </c>
      <c r="G44" s="632" t="s">
        <v>578</v>
      </c>
      <c r="H44" s="632" t="s">
        <v>718</v>
      </c>
      <c r="I44" s="632" t="s">
        <v>719</v>
      </c>
      <c r="J44" s="632" t="s">
        <v>720</v>
      </c>
      <c r="K44" s="632" t="s">
        <v>721</v>
      </c>
      <c r="L44" s="634">
        <v>34.849861945748565</v>
      </c>
      <c r="M44" s="634">
        <v>2</v>
      </c>
      <c r="N44" s="635">
        <v>69.699723891497129</v>
      </c>
    </row>
    <row r="45" spans="1:14" ht="14.4" customHeight="1" x14ac:dyDescent="0.3">
      <c r="A45" s="630" t="s">
        <v>556</v>
      </c>
      <c r="B45" s="631" t="s">
        <v>557</v>
      </c>
      <c r="C45" s="632" t="s">
        <v>563</v>
      </c>
      <c r="D45" s="633" t="s">
        <v>1455</v>
      </c>
      <c r="E45" s="632" t="s">
        <v>577</v>
      </c>
      <c r="F45" s="633" t="s">
        <v>1458</v>
      </c>
      <c r="G45" s="632" t="s">
        <v>578</v>
      </c>
      <c r="H45" s="632" t="s">
        <v>722</v>
      </c>
      <c r="I45" s="632" t="s">
        <v>723</v>
      </c>
      <c r="J45" s="632" t="s">
        <v>724</v>
      </c>
      <c r="K45" s="632" t="s">
        <v>725</v>
      </c>
      <c r="L45" s="634">
        <v>59.21</v>
      </c>
      <c r="M45" s="634">
        <v>1</v>
      </c>
      <c r="N45" s="635">
        <v>59.21</v>
      </c>
    </row>
    <row r="46" spans="1:14" ht="14.4" customHeight="1" x14ac:dyDescent="0.3">
      <c r="A46" s="630" t="s">
        <v>556</v>
      </c>
      <c r="B46" s="631" t="s">
        <v>557</v>
      </c>
      <c r="C46" s="632" t="s">
        <v>563</v>
      </c>
      <c r="D46" s="633" t="s">
        <v>1455</v>
      </c>
      <c r="E46" s="632" t="s">
        <v>577</v>
      </c>
      <c r="F46" s="633" t="s">
        <v>1458</v>
      </c>
      <c r="G46" s="632" t="s">
        <v>578</v>
      </c>
      <c r="H46" s="632" t="s">
        <v>726</v>
      </c>
      <c r="I46" s="632" t="s">
        <v>727</v>
      </c>
      <c r="J46" s="632" t="s">
        <v>724</v>
      </c>
      <c r="K46" s="632" t="s">
        <v>728</v>
      </c>
      <c r="L46" s="634">
        <v>29.52</v>
      </c>
      <c r="M46" s="634">
        <v>3</v>
      </c>
      <c r="N46" s="635">
        <v>88.56</v>
      </c>
    </row>
    <row r="47" spans="1:14" ht="14.4" customHeight="1" x14ac:dyDescent="0.3">
      <c r="A47" s="630" t="s">
        <v>556</v>
      </c>
      <c r="B47" s="631" t="s">
        <v>557</v>
      </c>
      <c r="C47" s="632" t="s">
        <v>563</v>
      </c>
      <c r="D47" s="633" t="s">
        <v>1455</v>
      </c>
      <c r="E47" s="632" t="s">
        <v>577</v>
      </c>
      <c r="F47" s="633" t="s">
        <v>1458</v>
      </c>
      <c r="G47" s="632" t="s">
        <v>578</v>
      </c>
      <c r="H47" s="632" t="s">
        <v>729</v>
      </c>
      <c r="I47" s="632" t="s">
        <v>730</v>
      </c>
      <c r="J47" s="632" t="s">
        <v>731</v>
      </c>
      <c r="K47" s="632" t="s">
        <v>732</v>
      </c>
      <c r="L47" s="634">
        <v>180.14988436078283</v>
      </c>
      <c r="M47" s="634">
        <v>1</v>
      </c>
      <c r="N47" s="635">
        <v>180.14988436078283</v>
      </c>
    </row>
    <row r="48" spans="1:14" ht="14.4" customHeight="1" x14ac:dyDescent="0.3">
      <c r="A48" s="630" t="s">
        <v>556</v>
      </c>
      <c r="B48" s="631" t="s">
        <v>557</v>
      </c>
      <c r="C48" s="632" t="s">
        <v>563</v>
      </c>
      <c r="D48" s="633" t="s">
        <v>1455</v>
      </c>
      <c r="E48" s="632" t="s">
        <v>577</v>
      </c>
      <c r="F48" s="633" t="s">
        <v>1458</v>
      </c>
      <c r="G48" s="632" t="s">
        <v>578</v>
      </c>
      <c r="H48" s="632" t="s">
        <v>733</v>
      </c>
      <c r="I48" s="632" t="s">
        <v>734</v>
      </c>
      <c r="J48" s="632" t="s">
        <v>735</v>
      </c>
      <c r="K48" s="632" t="s">
        <v>736</v>
      </c>
      <c r="L48" s="634">
        <v>27.469915087588575</v>
      </c>
      <c r="M48" s="634">
        <v>3</v>
      </c>
      <c r="N48" s="635">
        <v>82.409745262765725</v>
      </c>
    </row>
    <row r="49" spans="1:14" ht="14.4" customHeight="1" x14ac:dyDescent="0.3">
      <c r="A49" s="630" t="s">
        <v>556</v>
      </c>
      <c r="B49" s="631" t="s">
        <v>557</v>
      </c>
      <c r="C49" s="632" t="s">
        <v>563</v>
      </c>
      <c r="D49" s="633" t="s">
        <v>1455</v>
      </c>
      <c r="E49" s="632" t="s">
        <v>577</v>
      </c>
      <c r="F49" s="633" t="s">
        <v>1458</v>
      </c>
      <c r="G49" s="632" t="s">
        <v>578</v>
      </c>
      <c r="H49" s="632" t="s">
        <v>737</v>
      </c>
      <c r="I49" s="632" t="s">
        <v>738</v>
      </c>
      <c r="J49" s="632" t="s">
        <v>739</v>
      </c>
      <c r="K49" s="632" t="s">
        <v>740</v>
      </c>
      <c r="L49" s="634">
        <v>198.43999999999994</v>
      </c>
      <c r="M49" s="634">
        <v>1</v>
      </c>
      <c r="N49" s="635">
        <v>198.43999999999994</v>
      </c>
    </row>
    <row r="50" spans="1:14" ht="14.4" customHeight="1" x14ac:dyDescent="0.3">
      <c r="A50" s="630" t="s">
        <v>556</v>
      </c>
      <c r="B50" s="631" t="s">
        <v>557</v>
      </c>
      <c r="C50" s="632" t="s">
        <v>563</v>
      </c>
      <c r="D50" s="633" t="s">
        <v>1455</v>
      </c>
      <c r="E50" s="632" t="s">
        <v>577</v>
      </c>
      <c r="F50" s="633" t="s">
        <v>1458</v>
      </c>
      <c r="G50" s="632" t="s">
        <v>578</v>
      </c>
      <c r="H50" s="632" t="s">
        <v>741</v>
      </c>
      <c r="I50" s="632" t="s">
        <v>742</v>
      </c>
      <c r="J50" s="632" t="s">
        <v>743</v>
      </c>
      <c r="K50" s="632" t="s">
        <v>744</v>
      </c>
      <c r="L50" s="634">
        <v>28.168561110404255</v>
      </c>
      <c r="M50" s="634">
        <v>7</v>
      </c>
      <c r="N50" s="635">
        <v>197.17992777282979</v>
      </c>
    </row>
    <row r="51" spans="1:14" ht="14.4" customHeight="1" x14ac:dyDescent="0.3">
      <c r="A51" s="630" t="s">
        <v>556</v>
      </c>
      <c r="B51" s="631" t="s">
        <v>557</v>
      </c>
      <c r="C51" s="632" t="s">
        <v>563</v>
      </c>
      <c r="D51" s="633" t="s">
        <v>1455</v>
      </c>
      <c r="E51" s="632" t="s">
        <v>577</v>
      </c>
      <c r="F51" s="633" t="s">
        <v>1458</v>
      </c>
      <c r="G51" s="632" t="s">
        <v>578</v>
      </c>
      <c r="H51" s="632" t="s">
        <v>745</v>
      </c>
      <c r="I51" s="632" t="s">
        <v>746</v>
      </c>
      <c r="J51" s="632" t="s">
        <v>747</v>
      </c>
      <c r="K51" s="632" t="s">
        <v>748</v>
      </c>
      <c r="L51" s="634">
        <v>218.178</v>
      </c>
      <c r="M51" s="634">
        <v>3</v>
      </c>
      <c r="N51" s="635">
        <v>654.53399999999999</v>
      </c>
    </row>
    <row r="52" spans="1:14" ht="14.4" customHeight="1" x14ac:dyDescent="0.3">
      <c r="A52" s="630" t="s">
        <v>556</v>
      </c>
      <c r="B52" s="631" t="s">
        <v>557</v>
      </c>
      <c r="C52" s="632" t="s">
        <v>563</v>
      </c>
      <c r="D52" s="633" t="s">
        <v>1455</v>
      </c>
      <c r="E52" s="632" t="s">
        <v>577</v>
      </c>
      <c r="F52" s="633" t="s">
        <v>1458</v>
      </c>
      <c r="G52" s="632" t="s">
        <v>578</v>
      </c>
      <c r="H52" s="632" t="s">
        <v>749</v>
      </c>
      <c r="I52" s="632" t="s">
        <v>238</v>
      </c>
      <c r="J52" s="632" t="s">
        <v>750</v>
      </c>
      <c r="K52" s="632"/>
      <c r="L52" s="634">
        <v>191.131</v>
      </c>
      <c r="M52" s="634">
        <v>6</v>
      </c>
      <c r="N52" s="635">
        <v>1146.7860000000001</v>
      </c>
    </row>
    <row r="53" spans="1:14" ht="14.4" customHeight="1" x14ac:dyDescent="0.3">
      <c r="A53" s="630" t="s">
        <v>556</v>
      </c>
      <c r="B53" s="631" t="s">
        <v>557</v>
      </c>
      <c r="C53" s="632" t="s">
        <v>563</v>
      </c>
      <c r="D53" s="633" t="s">
        <v>1455</v>
      </c>
      <c r="E53" s="632" t="s">
        <v>577</v>
      </c>
      <c r="F53" s="633" t="s">
        <v>1458</v>
      </c>
      <c r="G53" s="632" t="s">
        <v>578</v>
      </c>
      <c r="H53" s="632" t="s">
        <v>751</v>
      </c>
      <c r="I53" s="632" t="s">
        <v>238</v>
      </c>
      <c r="J53" s="632" t="s">
        <v>752</v>
      </c>
      <c r="K53" s="632"/>
      <c r="L53" s="634">
        <v>99.74</v>
      </c>
      <c r="M53" s="634">
        <v>5</v>
      </c>
      <c r="N53" s="635">
        <v>498.7</v>
      </c>
    </row>
    <row r="54" spans="1:14" ht="14.4" customHeight="1" x14ac:dyDescent="0.3">
      <c r="A54" s="630" t="s">
        <v>556</v>
      </c>
      <c r="B54" s="631" t="s">
        <v>557</v>
      </c>
      <c r="C54" s="632" t="s">
        <v>563</v>
      </c>
      <c r="D54" s="633" t="s">
        <v>1455</v>
      </c>
      <c r="E54" s="632" t="s">
        <v>577</v>
      </c>
      <c r="F54" s="633" t="s">
        <v>1458</v>
      </c>
      <c r="G54" s="632" t="s">
        <v>578</v>
      </c>
      <c r="H54" s="632" t="s">
        <v>753</v>
      </c>
      <c r="I54" s="632" t="s">
        <v>754</v>
      </c>
      <c r="J54" s="632" t="s">
        <v>755</v>
      </c>
      <c r="K54" s="632" t="s">
        <v>756</v>
      </c>
      <c r="L54" s="634">
        <v>59.95</v>
      </c>
      <c r="M54" s="634">
        <v>2</v>
      </c>
      <c r="N54" s="635">
        <v>119.9</v>
      </c>
    </row>
    <row r="55" spans="1:14" ht="14.4" customHeight="1" x14ac:dyDescent="0.3">
      <c r="A55" s="630" t="s">
        <v>556</v>
      </c>
      <c r="B55" s="631" t="s">
        <v>557</v>
      </c>
      <c r="C55" s="632" t="s">
        <v>563</v>
      </c>
      <c r="D55" s="633" t="s">
        <v>1455</v>
      </c>
      <c r="E55" s="632" t="s">
        <v>577</v>
      </c>
      <c r="F55" s="633" t="s">
        <v>1458</v>
      </c>
      <c r="G55" s="632" t="s">
        <v>578</v>
      </c>
      <c r="H55" s="632" t="s">
        <v>757</v>
      </c>
      <c r="I55" s="632" t="s">
        <v>758</v>
      </c>
      <c r="J55" s="632" t="s">
        <v>759</v>
      </c>
      <c r="K55" s="632" t="s">
        <v>760</v>
      </c>
      <c r="L55" s="634">
        <v>112.38</v>
      </c>
      <c r="M55" s="634">
        <v>4</v>
      </c>
      <c r="N55" s="635">
        <v>449.52</v>
      </c>
    </row>
    <row r="56" spans="1:14" ht="14.4" customHeight="1" x14ac:dyDescent="0.3">
      <c r="A56" s="630" t="s">
        <v>556</v>
      </c>
      <c r="B56" s="631" t="s">
        <v>557</v>
      </c>
      <c r="C56" s="632" t="s">
        <v>563</v>
      </c>
      <c r="D56" s="633" t="s">
        <v>1455</v>
      </c>
      <c r="E56" s="632" t="s">
        <v>577</v>
      </c>
      <c r="F56" s="633" t="s">
        <v>1458</v>
      </c>
      <c r="G56" s="632" t="s">
        <v>578</v>
      </c>
      <c r="H56" s="632" t="s">
        <v>761</v>
      </c>
      <c r="I56" s="632" t="s">
        <v>762</v>
      </c>
      <c r="J56" s="632" t="s">
        <v>763</v>
      </c>
      <c r="K56" s="632" t="s">
        <v>764</v>
      </c>
      <c r="L56" s="634">
        <v>119.74959895450968</v>
      </c>
      <c r="M56" s="634">
        <v>1</v>
      </c>
      <c r="N56" s="635">
        <v>119.74959895450968</v>
      </c>
    </row>
    <row r="57" spans="1:14" ht="14.4" customHeight="1" x14ac:dyDescent="0.3">
      <c r="A57" s="630" t="s">
        <v>556</v>
      </c>
      <c r="B57" s="631" t="s">
        <v>557</v>
      </c>
      <c r="C57" s="632" t="s">
        <v>563</v>
      </c>
      <c r="D57" s="633" t="s">
        <v>1455</v>
      </c>
      <c r="E57" s="632" t="s">
        <v>577</v>
      </c>
      <c r="F57" s="633" t="s">
        <v>1458</v>
      </c>
      <c r="G57" s="632" t="s">
        <v>578</v>
      </c>
      <c r="H57" s="632" t="s">
        <v>765</v>
      </c>
      <c r="I57" s="632" t="s">
        <v>766</v>
      </c>
      <c r="J57" s="632" t="s">
        <v>767</v>
      </c>
      <c r="K57" s="632" t="s">
        <v>768</v>
      </c>
      <c r="L57" s="634">
        <v>117.32971066699399</v>
      </c>
      <c r="M57" s="634">
        <v>2</v>
      </c>
      <c r="N57" s="635">
        <v>234.65942133398798</v>
      </c>
    </row>
    <row r="58" spans="1:14" ht="14.4" customHeight="1" x14ac:dyDescent="0.3">
      <c r="A58" s="630" t="s">
        <v>556</v>
      </c>
      <c r="B58" s="631" t="s">
        <v>557</v>
      </c>
      <c r="C58" s="632" t="s">
        <v>563</v>
      </c>
      <c r="D58" s="633" t="s">
        <v>1455</v>
      </c>
      <c r="E58" s="632" t="s">
        <v>577</v>
      </c>
      <c r="F58" s="633" t="s">
        <v>1458</v>
      </c>
      <c r="G58" s="632" t="s">
        <v>578</v>
      </c>
      <c r="H58" s="632" t="s">
        <v>769</v>
      </c>
      <c r="I58" s="632" t="s">
        <v>770</v>
      </c>
      <c r="J58" s="632" t="s">
        <v>771</v>
      </c>
      <c r="K58" s="632" t="s">
        <v>772</v>
      </c>
      <c r="L58" s="634">
        <v>67.099999999999994</v>
      </c>
      <c r="M58" s="634">
        <v>2</v>
      </c>
      <c r="N58" s="635">
        <v>134.19999999999999</v>
      </c>
    </row>
    <row r="59" spans="1:14" ht="14.4" customHeight="1" x14ac:dyDescent="0.3">
      <c r="A59" s="630" t="s">
        <v>556</v>
      </c>
      <c r="B59" s="631" t="s">
        <v>557</v>
      </c>
      <c r="C59" s="632" t="s">
        <v>563</v>
      </c>
      <c r="D59" s="633" t="s">
        <v>1455</v>
      </c>
      <c r="E59" s="632" t="s">
        <v>577</v>
      </c>
      <c r="F59" s="633" t="s">
        <v>1458</v>
      </c>
      <c r="G59" s="632" t="s">
        <v>578</v>
      </c>
      <c r="H59" s="632" t="s">
        <v>773</v>
      </c>
      <c r="I59" s="632" t="s">
        <v>774</v>
      </c>
      <c r="J59" s="632" t="s">
        <v>775</v>
      </c>
      <c r="K59" s="632" t="s">
        <v>776</v>
      </c>
      <c r="L59" s="634">
        <v>42.29</v>
      </c>
      <c r="M59" s="634">
        <v>1</v>
      </c>
      <c r="N59" s="635">
        <v>42.29</v>
      </c>
    </row>
    <row r="60" spans="1:14" ht="14.4" customHeight="1" x14ac:dyDescent="0.3">
      <c r="A60" s="630" t="s">
        <v>556</v>
      </c>
      <c r="B60" s="631" t="s">
        <v>557</v>
      </c>
      <c r="C60" s="632" t="s">
        <v>563</v>
      </c>
      <c r="D60" s="633" t="s">
        <v>1455</v>
      </c>
      <c r="E60" s="632" t="s">
        <v>577</v>
      </c>
      <c r="F60" s="633" t="s">
        <v>1458</v>
      </c>
      <c r="G60" s="632" t="s">
        <v>578</v>
      </c>
      <c r="H60" s="632" t="s">
        <v>777</v>
      </c>
      <c r="I60" s="632" t="s">
        <v>778</v>
      </c>
      <c r="J60" s="632" t="s">
        <v>779</v>
      </c>
      <c r="K60" s="632" t="s">
        <v>780</v>
      </c>
      <c r="L60" s="634">
        <v>138.81445063519112</v>
      </c>
      <c r="M60" s="634">
        <v>2</v>
      </c>
      <c r="N60" s="635">
        <v>277.62890127038224</v>
      </c>
    </row>
    <row r="61" spans="1:14" ht="14.4" customHeight="1" x14ac:dyDescent="0.3">
      <c r="A61" s="630" t="s">
        <v>556</v>
      </c>
      <c r="B61" s="631" t="s">
        <v>557</v>
      </c>
      <c r="C61" s="632" t="s">
        <v>563</v>
      </c>
      <c r="D61" s="633" t="s">
        <v>1455</v>
      </c>
      <c r="E61" s="632" t="s">
        <v>577</v>
      </c>
      <c r="F61" s="633" t="s">
        <v>1458</v>
      </c>
      <c r="G61" s="632" t="s">
        <v>578</v>
      </c>
      <c r="H61" s="632" t="s">
        <v>781</v>
      </c>
      <c r="I61" s="632" t="s">
        <v>782</v>
      </c>
      <c r="J61" s="632" t="s">
        <v>783</v>
      </c>
      <c r="K61" s="632" t="s">
        <v>784</v>
      </c>
      <c r="L61" s="634">
        <v>42.489830161807944</v>
      </c>
      <c r="M61" s="634">
        <v>6</v>
      </c>
      <c r="N61" s="635">
        <v>254.93898097084767</v>
      </c>
    </row>
    <row r="62" spans="1:14" ht="14.4" customHeight="1" x14ac:dyDescent="0.3">
      <c r="A62" s="630" t="s">
        <v>556</v>
      </c>
      <c r="B62" s="631" t="s">
        <v>557</v>
      </c>
      <c r="C62" s="632" t="s">
        <v>563</v>
      </c>
      <c r="D62" s="633" t="s">
        <v>1455</v>
      </c>
      <c r="E62" s="632" t="s">
        <v>577</v>
      </c>
      <c r="F62" s="633" t="s">
        <v>1458</v>
      </c>
      <c r="G62" s="632" t="s">
        <v>578</v>
      </c>
      <c r="H62" s="632" t="s">
        <v>785</v>
      </c>
      <c r="I62" s="632" t="s">
        <v>238</v>
      </c>
      <c r="J62" s="632" t="s">
        <v>786</v>
      </c>
      <c r="K62" s="632"/>
      <c r="L62" s="634">
        <v>29.30857142857143</v>
      </c>
      <c r="M62" s="634">
        <v>7</v>
      </c>
      <c r="N62" s="635">
        <v>205.16</v>
      </c>
    </row>
    <row r="63" spans="1:14" ht="14.4" customHeight="1" x14ac:dyDescent="0.3">
      <c r="A63" s="630" t="s">
        <v>556</v>
      </c>
      <c r="B63" s="631" t="s">
        <v>557</v>
      </c>
      <c r="C63" s="632" t="s">
        <v>563</v>
      </c>
      <c r="D63" s="633" t="s">
        <v>1455</v>
      </c>
      <c r="E63" s="632" t="s">
        <v>577</v>
      </c>
      <c r="F63" s="633" t="s">
        <v>1458</v>
      </c>
      <c r="G63" s="632" t="s">
        <v>578</v>
      </c>
      <c r="H63" s="632" t="s">
        <v>787</v>
      </c>
      <c r="I63" s="632" t="s">
        <v>788</v>
      </c>
      <c r="J63" s="632" t="s">
        <v>789</v>
      </c>
      <c r="K63" s="632" t="s">
        <v>790</v>
      </c>
      <c r="L63" s="634">
        <v>191.65</v>
      </c>
      <c r="M63" s="634">
        <v>1</v>
      </c>
      <c r="N63" s="635">
        <v>191.65</v>
      </c>
    </row>
    <row r="64" spans="1:14" ht="14.4" customHeight="1" x14ac:dyDescent="0.3">
      <c r="A64" s="630" t="s">
        <v>556</v>
      </c>
      <c r="B64" s="631" t="s">
        <v>557</v>
      </c>
      <c r="C64" s="632" t="s">
        <v>563</v>
      </c>
      <c r="D64" s="633" t="s">
        <v>1455</v>
      </c>
      <c r="E64" s="632" t="s">
        <v>577</v>
      </c>
      <c r="F64" s="633" t="s">
        <v>1458</v>
      </c>
      <c r="G64" s="632" t="s">
        <v>578</v>
      </c>
      <c r="H64" s="632" t="s">
        <v>791</v>
      </c>
      <c r="I64" s="632" t="s">
        <v>792</v>
      </c>
      <c r="J64" s="632" t="s">
        <v>793</v>
      </c>
      <c r="K64" s="632" t="s">
        <v>790</v>
      </c>
      <c r="L64" s="634">
        <v>237.64999902215499</v>
      </c>
      <c r="M64" s="634">
        <v>1</v>
      </c>
      <c r="N64" s="635">
        <v>237.64999902215499</v>
      </c>
    </row>
    <row r="65" spans="1:14" ht="14.4" customHeight="1" x14ac:dyDescent="0.3">
      <c r="A65" s="630" t="s">
        <v>556</v>
      </c>
      <c r="B65" s="631" t="s">
        <v>557</v>
      </c>
      <c r="C65" s="632" t="s">
        <v>563</v>
      </c>
      <c r="D65" s="633" t="s">
        <v>1455</v>
      </c>
      <c r="E65" s="632" t="s">
        <v>577</v>
      </c>
      <c r="F65" s="633" t="s">
        <v>1458</v>
      </c>
      <c r="G65" s="632" t="s">
        <v>578</v>
      </c>
      <c r="H65" s="632" t="s">
        <v>794</v>
      </c>
      <c r="I65" s="632" t="s">
        <v>795</v>
      </c>
      <c r="J65" s="632" t="s">
        <v>796</v>
      </c>
      <c r="K65" s="632" t="s">
        <v>797</v>
      </c>
      <c r="L65" s="634">
        <v>49.998329455941715</v>
      </c>
      <c r="M65" s="634">
        <v>25</v>
      </c>
      <c r="N65" s="635">
        <v>1249.9582363985428</v>
      </c>
    </row>
    <row r="66" spans="1:14" ht="14.4" customHeight="1" x14ac:dyDescent="0.3">
      <c r="A66" s="630" t="s">
        <v>556</v>
      </c>
      <c r="B66" s="631" t="s">
        <v>557</v>
      </c>
      <c r="C66" s="632" t="s">
        <v>563</v>
      </c>
      <c r="D66" s="633" t="s">
        <v>1455</v>
      </c>
      <c r="E66" s="632" t="s">
        <v>577</v>
      </c>
      <c r="F66" s="633" t="s">
        <v>1458</v>
      </c>
      <c r="G66" s="632" t="s">
        <v>578</v>
      </c>
      <c r="H66" s="632" t="s">
        <v>798</v>
      </c>
      <c r="I66" s="632" t="s">
        <v>238</v>
      </c>
      <c r="J66" s="632" t="s">
        <v>799</v>
      </c>
      <c r="K66" s="632"/>
      <c r="L66" s="634">
        <v>93.708023849673424</v>
      </c>
      <c r="M66" s="634">
        <v>1</v>
      </c>
      <c r="N66" s="635">
        <v>93.708023849673424</v>
      </c>
    </row>
    <row r="67" spans="1:14" ht="14.4" customHeight="1" x14ac:dyDescent="0.3">
      <c r="A67" s="630" t="s">
        <v>556</v>
      </c>
      <c r="B67" s="631" t="s">
        <v>557</v>
      </c>
      <c r="C67" s="632" t="s">
        <v>563</v>
      </c>
      <c r="D67" s="633" t="s">
        <v>1455</v>
      </c>
      <c r="E67" s="632" t="s">
        <v>577</v>
      </c>
      <c r="F67" s="633" t="s">
        <v>1458</v>
      </c>
      <c r="G67" s="632" t="s">
        <v>578</v>
      </c>
      <c r="H67" s="632" t="s">
        <v>800</v>
      </c>
      <c r="I67" s="632" t="s">
        <v>801</v>
      </c>
      <c r="J67" s="632" t="s">
        <v>802</v>
      </c>
      <c r="K67" s="632" t="s">
        <v>803</v>
      </c>
      <c r="L67" s="634">
        <v>109.47000000000003</v>
      </c>
      <c r="M67" s="634">
        <v>1</v>
      </c>
      <c r="N67" s="635">
        <v>109.47000000000003</v>
      </c>
    </row>
    <row r="68" spans="1:14" ht="14.4" customHeight="1" x14ac:dyDescent="0.3">
      <c r="A68" s="630" t="s">
        <v>556</v>
      </c>
      <c r="B68" s="631" t="s">
        <v>557</v>
      </c>
      <c r="C68" s="632" t="s">
        <v>563</v>
      </c>
      <c r="D68" s="633" t="s">
        <v>1455</v>
      </c>
      <c r="E68" s="632" t="s">
        <v>577</v>
      </c>
      <c r="F68" s="633" t="s">
        <v>1458</v>
      </c>
      <c r="G68" s="632" t="s">
        <v>578</v>
      </c>
      <c r="H68" s="632" t="s">
        <v>804</v>
      </c>
      <c r="I68" s="632" t="s">
        <v>805</v>
      </c>
      <c r="J68" s="632" t="s">
        <v>806</v>
      </c>
      <c r="K68" s="632" t="s">
        <v>807</v>
      </c>
      <c r="L68" s="634">
        <v>128.41</v>
      </c>
      <c r="M68" s="634">
        <v>1</v>
      </c>
      <c r="N68" s="635">
        <v>128.41</v>
      </c>
    </row>
    <row r="69" spans="1:14" ht="14.4" customHeight="1" x14ac:dyDescent="0.3">
      <c r="A69" s="630" t="s">
        <v>556</v>
      </c>
      <c r="B69" s="631" t="s">
        <v>557</v>
      </c>
      <c r="C69" s="632" t="s">
        <v>563</v>
      </c>
      <c r="D69" s="633" t="s">
        <v>1455</v>
      </c>
      <c r="E69" s="632" t="s">
        <v>577</v>
      </c>
      <c r="F69" s="633" t="s">
        <v>1458</v>
      </c>
      <c r="G69" s="632" t="s">
        <v>578</v>
      </c>
      <c r="H69" s="632" t="s">
        <v>808</v>
      </c>
      <c r="I69" s="632" t="s">
        <v>238</v>
      </c>
      <c r="J69" s="632" t="s">
        <v>809</v>
      </c>
      <c r="K69" s="632"/>
      <c r="L69" s="634">
        <v>209.98081819884504</v>
      </c>
      <c r="M69" s="634">
        <v>2</v>
      </c>
      <c r="N69" s="635">
        <v>419.96163639769009</v>
      </c>
    </row>
    <row r="70" spans="1:14" ht="14.4" customHeight="1" x14ac:dyDescent="0.3">
      <c r="A70" s="630" t="s">
        <v>556</v>
      </c>
      <c r="B70" s="631" t="s">
        <v>557</v>
      </c>
      <c r="C70" s="632" t="s">
        <v>563</v>
      </c>
      <c r="D70" s="633" t="s">
        <v>1455</v>
      </c>
      <c r="E70" s="632" t="s">
        <v>577</v>
      </c>
      <c r="F70" s="633" t="s">
        <v>1458</v>
      </c>
      <c r="G70" s="632" t="s">
        <v>578</v>
      </c>
      <c r="H70" s="632" t="s">
        <v>810</v>
      </c>
      <c r="I70" s="632" t="s">
        <v>811</v>
      </c>
      <c r="J70" s="632" t="s">
        <v>812</v>
      </c>
      <c r="K70" s="632" t="s">
        <v>813</v>
      </c>
      <c r="L70" s="634">
        <v>32.890000000000008</v>
      </c>
      <c r="M70" s="634">
        <v>3</v>
      </c>
      <c r="N70" s="635">
        <v>98.670000000000016</v>
      </c>
    </row>
    <row r="71" spans="1:14" ht="14.4" customHeight="1" x14ac:dyDescent="0.3">
      <c r="A71" s="630" t="s">
        <v>556</v>
      </c>
      <c r="B71" s="631" t="s">
        <v>557</v>
      </c>
      <c r="C71" s="632" t="s">
        <v>563</v>
      </c>
      <c r="D71" s="633" t="s">
        <v>1455</v>
      </c>
      <c r="E71" s="632" t="s">
        <v>577</v>
      </c>
      <c r="F71" s="633" t="s">
        <v>1458</v>
      </c>
      <c r="G71" s="632" t="s">
        <v>578</v>
      </c>
      <c r="H71" s="632" t="s">
        <v>814</v>
      </c>
      <c r="I71" s="632" t="s">
        <v>815</v>
      </c>
      <c r="J71" s="632" t="s">
        <v>816</v>
      </c>
      <c r="K71" s="632" t="s">
        <v>817</v>
      </c>
      <c r="L71" s="634">
        <v>128.16999999999999</v>
      </c>
      <c r="M71" s="634">
        <v>2</v>
      </c>
      <c r="N71" s="635">
        <v>256.33999999999997</v>
      </c>
    </row>
    <row r="72" spans="1:14" ht="14.4" customHeight="1" x14ac:dyDescent="0.3">
      <c r="A72" s="630" t="s">
        <v>556</v>
      </c>
      <c r="B72" s="631" t="s">
        <v>557</v>
      </c>
      <c r="C72" s="632" t="s">
        <v>563</v>
      </c>
      <c r="D72" s="633" t="s">
        <v>1455</v>
      </c>
      <c r="E72" s="632" t="s">
        <v>577</v>
      </c>
      <c r="F72" s="633" t="s">
        <v>1458</v>
      </c>
      <c r="G72" s="632" t="s">
        <v>578</v>
      </c>
      <c r="H72" s="632" t="s">
        <v>818</v>
      </c>
      <c r="I72" s="632" t="s">
        <v>819</v>
      </c>
      <c r="J72" s="632" t="s">
        <v>820</v>
      </c>
      <c r="K72" s="632" t="s">
        <v>821</v>
      </c>
      <c r="L72" s="634">
        <v>111.19</v>
      </c>
      <c r="M72" s="634">
        <v>3</v>
      </c>
      <c r="N72" s="635">
        <v>333.57</v>
      </c>
    </row>
    <row r="73" spans="1:14" ht="14.4" customHeight="1" x14ac:dyDescent="0.3">
      <c r="A73" s="630" t="s">
        <v>556</v>
      </c>
      <c r="B73" s="631" t="s">
        <v>557</v>
      </c>
      <c r="C73" s="632" t="s">
        <v>563</v>
      </c>
      <c r="D73" s="633" t="s">
        <v>1455</v>
      </c>
      <c r="E73" s="632" t="s">
        <v>577</v>
      </c>
      <c r="F73" s="633" t="s">
        <v>1458</v>
      </c>
      <c r="G73" s="632" t="s">
        <v>578</v>
      </c>
      <c r="H73" s="632" t="s">
        <v>822</v>
      </c>
      <c r="I73" s="632" t="s">
        <v>823</v>
      </c>
      <c r="J73" s="632" t="s">
        <v>824</v>
      </c>
      <c r="K73" s="632" t="s">
        <v>825</v>
      </c>
      <c r="L73" s="634">
        <v>49.679834865020098</v>
      </c>
      <c r="M73" s="634">
        <v>1</v>
      </c>
      <c r="N73" s="635">
        <v>49.679834865020098</v>
      </c>
    </row>
    <row r="74" spans="1:14" ht="14.4" customHeight="1" x14ac:dyDescent="0.3">
      <c r="A74" s="630" t="s">
        <v>556</v>
      </c>
      <c r="B74" s="631" t="s">
        <v>557</v>
      </c>
      <c r="C74" s="632" t="s">
        <v>563</v>
      </c>
      <c r="D74" s="633" t="s">
        <v>1455</v>
      </c>
      <c r="E74" s="632" t="s">
        <v>577</v>
      </c>
      <c r="F74" s="633" t="s">
        <v>1458</v>
      </c>
      <c r="G74" s="632" t="s">
        <v>578</v>
      </c>
      <c r="H74" s="632" t="s">
        <v>826</v>
      </c>
      <c r="I74" s="632" t="s">
        <v>827</v>
      </c>
      <c r="J74" s="632" t="s">
        <v>828</v>
      </c>
      <c r="K74" s="632" t="s">
        <v>829</v>
      </c>
      <c r="L74" s="634">
        <v>58.201110965395003</v>
      </c>
      <c r="M74" s="634">
        <v>81</v>
      </c>
      <c r="N74" s="635">
        <v>4714.2899881969952</v>
      </c>
    </row>
    <row r="75" spans="1:14" ht="14.4" customHeight="1" x14ac:dyDescent="0.3">
      <c r="A75" s="630" t="s">
        <v>556</v>
      </c>
      <c r="B75" s="631" t="s">
        <v>557</v>
      </c>
      <c r="C75" s="632" t="s">
        <v>563</v>
      </c>
      <c r="D75" s="633" t="s">
        <v>1455</v>
      </c>
      <c r="E75" s="632" t="s">
        <v>577</v>
      </c>
      <c r="F75" s="633" t="s">
        <v>1458</v>
      </c>
      <c r="G75" s="632" t="s">
        <v>578</v>
      </c>
      <c r="H75" s="632" t="s">
        <v>830</v>
      </c>
      <c r="I75" s="632" t="s">
        <v>831</v>
      </c>
      <c r="J75" s="632" t="s">
        <v>832</v>
      </c>
      <c r="K75" s="632" t="s">
        <v>833</v>
      </c>
      <c r="L75" s="634">
        <v>111.58452723850435</v>
      </c>
      <c r="M75" s="634">
        <v>24</v>
      </c>
      <c r="N75" s="635">
        <v>2678.0286537241045</v>
      </c>
    </row>
    <row r="76" spans="1:14" ht="14.4" customHeight="1" x14ac:dyDescent="0.3">
      <c r="A76" s="630" t="s">
        <v>556</v>
      </c>
      <c r="B76" s="631" t="s">
        <v>557</v>
      </c>
      <c r="C76" s="632" t="s">
        <v>563</v>
      </c>
      <c r="D76" s="633" t="s">
        <v>1455</v>
      </c>
      <c r="E76" s="632" t="s">
        <v>577</v>
      </c>
      <c r="F76" s="633" t="s">
        <v>1458</v>
      </c>
      <c r="G76" s="632" t="s">
        <v>578</v>
      </c>
      <c r="H76" s="632" t="s">
        <v>834</v>
      </c>
      <c r="I76" s="632" t="s">
        <v>238</v>
      </c>
      <c r="J76" s="632" t="s">
        <v>835</v>
      </c>
      <c r="K76" s="632"/>
      <c r="L76" s="634">
        <v>101.329999583063</v>
      </c>
      <c r="M76" s="634">
        <v>2</v>
      </c>
      <c r="N76" s="635">
        <v>202.659999166126</v>
      </c>
    </row>
    <row r="77" spans="1:14" ht="14.4" customHeight="1" x14ac:dyDescent="0.3">
      <c r="A77" s="630" t="s">
        <v>556</v>
      </c>
      <c r="B77" s="631" t="s">
        <v>557</v>
      </c>
      <c r="C77" s="632" t="s">
        <v>563</v>
      </c>
      <c r="D77" s="633" t="s">
        <v>1455</v>
      </c>
      <c r="E77" s="632" t="s">
        <v>577</v>
      </c>
      <c r="F77" s="633" t="s">
        <v>1458</v>
      </c>
      <c r="G77" s="632" t="s">
        <v>578</v>
      </c>
      <c r="H77" s="632" t="s">
        <v>836</v>
      </c>
      <c r="I77" s="632" t="s">
        <v>837</v>
      </c>
      <c r="J77" s="632" t="s">
        <v>838</v>
      </c>
      <c r="K77" s="632" t="s">
        <v>839</v>
      </c>
      <c r="L77" s="634">
        <v>31.949767113924576</v>
      </c>
      <c r="M77" s="634">
        <v>1</v>
      </c>
      <c r="N77" s="635">
        <v>31.949767113924576</v>
      </c>
    </row>
    <row r="78" spans="1:14" ht="14.4" customHeight="1" x14ac:dyDescent="0.3">
      <c r="A78" s="630" t="s">
        <v>556</v>
      </c>
      <c r="B78" s="631" t="s">
        <v>557</v>
      </c>
      <c r="C78" s="632" t="s">
        <v>563</v>
      </c>
      <c r="D78" s="633" t="s">
        <v>1455</v>
      </c>
      <c r="E78" s="632" t="s">
        <v>577</v>
      </c>
      <c r="F78" s="633" t="s">
        <v>1458</v>
      </c>
      <c r="G78" s="632" t="s">
        <v>578</v>
      </c>
      <c r="H78" s="632" t="s">
        <v>840</v>
      </c>
      <c r="I78" s="632" t="s">
        <v>841</v>
      </c>
      <c r="J78" s="632" t="s">
        <v>842</v>
      </c>
      <c r="K78" s="632" t="s">
        <v>665</v>
      </c>
      <c r="L78" s="634">
        <v>41.12</v>
      </c>
      <c r="M78" s="634">
        <v>1</v>
      </c>
      <c r="N78" s="635">
        <v>41.12</v>
      </c>
    </row>
    <row r="79" spans="1:14" ht="14.4" customHeight="1" x14ac:dyDescent="0.3">
      <c r="A79" s="630" t="s">
        <v>556</v>
      </c>
      <c r="B79" s="631" t="s">
        <v>557</v>
      </c>
      <c r="C79" s="632" t="s">
        <v>563</v>
      </c>
      <c r="D79" s="633" t="s">
        <v>1455</v>
      </c>
      <c r="E79" s="632" t="s">
        <v>577</v>
      </c>
      <c r="F79" s="633" t="s">
        <v>1458</v>
      </c>
      <c r="G79" s="632" t="s">
        <v>578</v>
      </c>
      <c r="H79" s="632" t="s">
        <v>843</v>
      </c>
      <c r="I79" s="632" t="s">
        <v>844</v>
      </c>
      <c r="J79" s="632" t="s">
        <v>845</v>
      </c>
      <c r="K79" s="632" t="s">
        <v>846</v>
      </c>
      <c r="L79" s="634">
        <v>117.7391519572483</v>
      </c>
      <c r="M79" s="634">
        <v>18</v>
      </c>
      <c r="N79" s="635">
        <v>2119.3047352304693</v>
      </c>
    </row>
    <row r="80" spans="1:14" ht="14.4" customHeight="1" x14ac:dyDescent="0.3">
      <c r="A80" s="630" t="s">
        <v>556</v>
      </c>
      <c r="B80" s="631" t="s">
        <v>557</v>
      </c>
      <c r="C80" s="632" t="s">
        <v>563</v>
      </c>
      <c r="D80" s="633" t="s">
        <v>1455</v>
      </c>
      <c r="E80" s="632" t="s">
        <v>577</v>
      </c>
      <c r="F80" s="633" t="s">
        <v>1458</v>
      </c>
      <c r="G80" s="632" t="s">
        <v>578</v>
      </c>
      <c r="H80" s="632" t="s">
        <v>847</v>
      </c>
      <c r="I80" s="632" t="s">
        <v>848</v>
      </c>
      <c r="J80" s="632" t="s">
        <v>849</v>
      </c>
      <c r="K80" s="632" t="s">
        <v>850</v>
      </c>
      <c r="L80" s="634">
        <v>131.50999999999996</v>
      </c>
      <c r="M80" s="634">
        <v>1</v>
      </c>
      <c r="N80" s="635">
        <v>131.50999999999996</v>
      </c>
    </row>
    <row r="81" spans="1:14" ht="14.4" customHeight="1" x14ac:dyDescent="0.3">
      <c r="A81" s="630" t="s">
        <v>556</v>
      </c>
      <c r="B81" s="631" t="s">
        <v>557</v>
      </c>
      <c r="C81" s="632" t="s">
        <v>563</v>
      </c>
      <c r="D81" s="633" t="s">
        <v>1455</v>
      </c>
      <c r="E81" s="632" t="s">
        <v>577</v>
      </c>
      <c r="F81" s="633" t="s">
        <v>1458</v>
      </c>
      <c r="G81" s="632" t="s">
        <v>578</v>
      </c>
      <c r="H81" s="632" t="s">
        <v>851</v>
      </c>
      <c r="I81" s="632" t="s">
        <v>852</v>
      </c>
      <c r="J81" s="632" t="s">
        <v>853</v>
      </c>
      <c r="K81" s="632" t="s">
        <v>854</v>
      </c>
      <c r="L81" s="634">
        <v>108.05164891079301</v>
      </c>
      <c r="M81" s="634">
        <v>2</v>
      </c>
      <c r="N81" s="635">
        <v>216.10329782158601</v>
      </c>
    </row>
    <row r="82" spans="1:14" ht="14.4" customHeight="1" x14ac:dyDescent="0.3">
      <c r="A82" s="630" t="s">
        <v>556</v>
      </c>
      <c r="B82" s="631" t="s">
        <v>557</v>
      </c>
      <c r="C82" s="632" t="s">
        <v>563</v>
      </c>
      <c r="D82" s="633" t="s">
        <v>1455</v>
      </c>
      <c r="E82" s="632" t="s">
        <v>577</v>
      </c>
      <c r="F82" s="633" t="s">
        <v>1458</v>
      </c>
      <c r="G82" s="632" t="s">
        <v>578</v>
      </c>
      <c r="H82" s="632" t="s">
        <v>855</v>
      </c>
      <c r="I82" s="632" t="s">
        <v>856</v>
      </c>
      <c r="J82" s="632" t="s">
        <v>857</v>
      </c>
      <c r="K82" s="632" t="s">
        <v>858</v>
      </c>
      <c r="L82" s="634">
        <v>25.06</v>
      </c>
      <c r="M82" s="634">
        <v>3</v>
      </c>
      <c r="N82" s="635">
        <v>75.179999999999993</v>
      </c>
    </row>
    <row r="83" spans="1:14" ht="14.4" customHeight="1" x14ac:dyDescent="0.3">
      <c r="A83" s="630" t="s">
        <v>556</v>
      </c>
      <c r="B83" s="631" t="s">
        <v>557</v>
      </c>
      <c r="C83" s="632" t="s">
        <v>563</v>
      </c>
      <c r="D83" s="633" t="s">
        <v>1455</v>
      </c>
      <c r="E83" s="632" t="s">
        <v>577</v>
      </c>
      <c r="F83" s="633" t="s">
        <v>1458</v>
      </c>
      <c r="G83" s="632" t="s">
        <v>578</v>
      </c>
      <c r="H83" s="632" t="s">
        <v>859</v>
      </c>
      <c r="I83" s="632" t="s">
        <v>860</v>
      </c>
      <c r="J83" s="632" t="s">
        <v>861</v>
      </c>
      <c r="K83" s="632"/>
      <c r="L83" s="634">
        <v>526.84324960761194</v>
      </c>
      <c r="M83" s="634">
        <v>1</v>
      </c>
      <c r="N83" s="635">
        <v>526.84324960761194</v>
      </c>
    </row>
    <row r="84" spans="1:14" ht="14.4" customHeight="1" x14ac:dyDescent="0.3">
      <c r="A84" s="630" t="s">
        <v>556</v>
      </c>
      <c r="B84" s="631" t="s">
        <v>557</v>
      </c>
      <c r="C84" s="632" t="s">
        <v>563</v>
      </c>
      <c r="D84" s="633" t="s">
        <v>1455</v>
      </c>
      <c r="E84" s="632" t="s">
        <v>577</v>
      </c>
      <c r="F84" s="633" t="s">
        <v>1458</v>
      </c>
      <c r="G84" s="632" t="s">
        <v>578</v>
      </c>
      <c r="H84" s="632" t="s">
        <v>862</v>
      </c>
      <c r="I84" s="632" t="s">
        <v>238</v>
      </c>
      <c r="J84" s="632" t="s">
        <v>863</v>
      </c>
      <c r="K84" s="632"/>
      <c r="L84" s="634">
        <v>153.18719837688323</v>
      </c>
      <c r="M84" s="634">
        <v>6</v>
      </c>
      <c r="N84" s="635">
        <v>919.12319026129933</v>
      </c>
    </row>
    <row r="85" spans="1:14" ht="14.4" customHeight="1" x14ac:dyDescent="0.3">
      <c r="A85" s="630" t="s">
        <v>556</v>
      </c>
      <c r="B85" s="631" t="s">
        <v>557</v>
      </c>
      <c r="C85" s="632" t="s">
        <v>563</v>
      </c>
      <c r="D85" s="633" t="s">
        <v>1455</v>
      </c>
      <c r="E85" s="632" t="s">
        <v>577</v>
      </c>
      <c r="F85" s="633" t="s">
        <v>1458</v>
      </c>
      <c r="G85" s="632" t="s">
        <v>578</v>
      </c>
      <c r="H85" s="632" t="s">
        <v>864</v>
      </c>
      <c r="I85" s="632" t="s">
        <v>865</v>
      </c>
      <c r="J85" s="632" t="s">
        <v>866</v>
      </c>
      <c r="K85" s="632" t="s">
        <v>867</v>
      </c>
      <c r="L85" s="634">
        <v>34.32</v>
      </c>
      <c r="M85" s="634">
        <v>1</v>
      </c>
      <c r="N85" s="635">
        <v>34.32</v>
      </c>
    </row>
    <row r="86" spans="1:14" ht="14.4" customHeight="1" x14ac:dyDescent="0.3">
      <c r="A86" s="630" t="s">
        <v>556</v>
      </c>
      <c r="B86" s="631" t="s">
        <v>557</v>
      </c>
      <c r="C86" s="632" t="s">
        <v>563</v>
      </c>
      <c r="D86" s="633" t="s">
        <v>1455</v>
      </c>
      <c r="E86" s="632" t="s">
        <v>577</v>
      </c>
      <c r="F86" s="633" t="s">
        <v>1458</v>
      </c>
      <c r="G86" s="632" t="s">
        <v>578</v>
      </c>
      <c r="H86" s="632" t="s">
        <v>868</v>
      </c>
      <c r="I86" s="632" t="s">
        <v>869</v>
      </c>
      <c r="J86" s="632" t="s">
        <v>870</v>
      </c>
      <c r="K86" s="632" t="s">
        <v>871</v>
      </c>
      <c r="L86" s="634">
        <v>88.420000000000016</v>
      </c>
      <c r="M86" s="634">
        <v>3</v>
      </c>
      <c r="N86" s="635">
        <v>265.26000000000005</v>
      </c>
    </row>
    <row r="87" spans="1:14" ht="14.4" customHeight="1" x14ac:dyDescent="0.3">
      <c r="A87" s="630" t="s">
        <v>556</v>
      </c>
      <c r="B87" s="631" t="s">
        <v>557</v>
      </c>
      <c r="C87" s="632" t="s">
        <v>563</v>
      </c>
      <c r="D87" s="633" t="s">
        <v>1455</v>
      </c>
      <c r="E87" s="632" t="s">
        <v>577</v>
      </c>
      <c r="F87" s="633" t="s">
        <v>1458</v>
      </c>
      <c r="G87" s="632" t="s">
        <v>578</v>
      </c>
      <c r="H87" s="632" t="s">
        <v>872</v>
      </c>
      <c r="I87" s="632" t="s">
        <v>873</v>
      </c>
      <c r="J87" s="632" t="s">
        <v>874</v>
      </c>
      <c r="K87" s="632" t="s">
        <v>875</v>
      </c>
      <c r="L87" s="634">
        <v>339.94002064404475</v>
      </c>
      <c r="M87" s="634">
        <v>17</v>
      </c>
      <c r="N87" s="635">
        <v>5778.980350948761</v>
      </c>
    </row>
    <row r="88" spans="1:14" ht="14.4" customHeight="1" x14ac:dyDescent="0.3">
      <c r="A88" s="630" t="s">
        <v>556</v>
      </c>
      <c r="B88" s="631" t="s">
        <v>557</v>
      </c>
      <c r="C88" s="632" t="s">
        <v>563</v>
      </c>
      <c r="D88" s="633" t="s">
        <v>1455</v>
      </c>
      <c r="E88" s="632" t="s">
        <v>577</v>
      </c>
      <c r="F88" s="633" t="s">
        <v>1458</v>
      </c>
      <c r="G88" s="632" t="s">
        <v>578</v>
      </c>
      <c r="H88" s="632" t="s">
        <v>876</v>
      </c>
      <c r="I88" s="632" t="s">
        <v>238</v>
      </c>
      <c r="J88" s="632" t="s">
        <v>877</v>
      </c>
      <c r="K88" s="632" t="s">
        <v>878</v>
      </c>
      <c r="L88" s="634">
        <v>23.559988485347631</v>
      </c>
      <c r="M88" s="634">
        <v>2</v>
      </c>
      <c r="N88" s="635">
        <v>47.119976970695262</v>
      </c>
    </row>
    <row r="89" spans="1:14" ht="14.4" customHeight="1" x14ac:dyDescent="0.3">
      <c r="A89" s="630" t="s">
        <v>556</v>
      </c>
      <c r="B89" s="631" t="s">
        <v>557</v>
      </c>
      <c r="C89" s="632" t="s">
        <v>563</v>
      </c>
      <c r="D89" s="633" t="s">
        <v>1455</v>
      </c>
      <c r="E89" s="632" t="s">
        <v>577</v>
      </c>
      <c r="F89" s="633" t="s">
        <v>1458</v>
      </c>
      <c r="G89" s="632" t="s">
        <v>578</v>
      </c>
      <c r="H89" s="632" t="s">
        <v>879</v>
      </c>
      <c r="I89" s="632" t="s">
        <v>238</v>
      </c>
      <c r="J89" s="632" t="s">
        <v>880</v>
      </c>
      <c r="K89" s="632"/>
      <c r="L89" s="634">
        <v>72.024441911665306</v>
      </c>
      <c r="M89" s="634">
        <v>9</v>
      </c>
      <c r="N89" s="635">
        <v>648.2199772049878</v>
      </c>
    </row>
    <row r="90" spans="1:14" ht="14.4" customHeight="1" x14ac:dyDescent="0.3">
      <c r="A90" s="630" t="s">
        <v>556</v>
      </c>
      <c r="B90" s="631" t="s">
        <v>557</v>
      </c>
      <c r="C90" s="632" t="s">
        <v>563</v>
      </c>
      <c r="D90" s="633" t="s">
        <v>1455</v>
      </c>
      <c r="E90" s="632" t="s">
        <v>577</v>
      </c>
      <c r="F90" s="633" t="s">
        <v>1458</v>
      </c>
      <c r="G90" s="632" t="s">
        <v>578</v>
      </c>
      <c r="H90" s="632" t="s">
        <v>881</v>
      </c>
      <c r="I90" s="632" t="s">
        <v>882</v>
      </c>
      <c r="J90" s="632" t="s">
        <v>883</v>
      </c>
      <c r="K90" s="632" t="s">
        <v>884</v>
      </c>
      <c r="L90" s="634">
        <v>50.43</v>
      </c>
      <c r="M90" s="634">
        <v>1</v>
      </c>
      <c r="N90" s="635">
        <v>50.43</v>
      </c>
    </row>
    <row r="91" spans="1:14" ht="14.4" customHeight="1" x14ac:dyDescent="0.3">
      <c r="A91" s="630" t="s">
        <v>556</v>
      </c>
      <c r="B91" s="631" t="s">
        <v>557</v>
      </c>
      <c r="C91" s="632" t="s">
        <v>563</v>
      </c>
      <c r="D91" s="633" t="s">
        <v>1455</v>
      </c>
      <c r="E91" s="632" t="s">
        <v>577</v>
      </c>
      <c r="F91" s="633" t="s">
        <v>1458</v>
      </c>
      <c r="G91" s="632" t="s">
        <v>578</v>
      </c>
      <c r="H91" s="632" t="s">
        <v>885</v>
      </c>
      <c r="I91" s="632" t="s">
        <v>886</v>
      </c>
      <c r="J91" s="632" t="s">
        <v>887</v>
      </c>
      <c r="K91" s="632" t="s">
        <v>888</v>
      </c>
      <c r="L91" s="634">
        <v>37.5</v>
      </c>
      <c r="M91" s="634">
        <v>4</v>
      </c>
      <c r="N91" s="635">
        <v>150</v>
      </c>
    </row>
    <row r="92" spans="1:14" ht="14.4" customHeight="1" x14ac:dyDescent="0.3">
      <c r="A92" s="630" t="s">
        <v>556</v>
      </c>
      <c r="B92" s="631" t="s">
        <v>557</v>
      </c>
      <c r="C92" s="632" t="s">
        <v>563</v>
      </c>
      <c r="D92" s="633" t="s">
        <v>1455</v>
      </c>
      <c r="E92" s="632" t="s">
        <v>577</v>
      </c>
      <c r="F92" s="633" t="s">
        <v>1458</v>
      </c>
      <c r="G92" s="632" t="s">
        <v>578</v>
      </c>
      <c r="H92" s="632" t="s">
        <v>889</v>
      </c>
      <c r="I92" s="632" t="s">
        <v>890</v>
      </c>
      <c r="J92" s="632" t="s">
        <v>891</v>
      </c>
      <c r="K92" s="632" t="s">
        <v>892</v>
      </c>
      <c r="L92" s="634">
        <v>19.214753485302701</v>
      </c>
      <c r="M92" s="634">
        <v>2</v>
      </c>
      <c r="N92" s="635">
        <v>38.429506970605402</v>
      </c>
    </row>
    <row r="93" spans="1:14" ht="14.4" customHeight="1" x14ac:dyDescent="0.3">
      <c r="A93" s="630" t="s">
        <v>556</v>
      </c>
      <c r="B93" s="631" t="s">
        <v>557</v>
      </c>
      <c r="C93" s="632" t="s">
        <v>563</v>
      </c>
      <c r="D93" s="633" t="s">
        <v>1455</v>
      </c>
      <c r="E93" s="632" t="s">
        <v>577</v>
      </c>
      <c r="F93" s="633" t="s">
        <v>1458</v>
      </c>
      <c r="G93" s="632" t="s">
        <v>578</v>
      </c>
      <c r="H93" s="632" t="s">
        <v>893</v>
      </c>
      <c r="I93" s="632" t="s">
        <v>894</v>
      </c>
      <c r="J93" s="632" t="s">
        <v>895</v>
      </c>
      <c r="K93" s="632" t="s">
        <v>896</v>
      </c>
      <c r="L93" s="634">
        <v>43.449999999999982</v>
      </c>
      <c r="M93" s="634">
        <v>1</v>
      </c>
      <c r="N93" s="635">
        <v>43.449999999999982</v>
      </c>
    </row>
    <row r="94" spans="1:14" ht="14.4" customHeight="1" x14ac:dyDescent="0.3">
      <c r="A94" s="630" t="s">
        <v>556</v>
      </c>
      <c r="B94" s="631" t="s">
        <v>557</v>
      </c>
      <c r="C94" s="632" t="s">
        <v>563</v>
      </c>
      <c r="D94" s="633" t="s">
        <v>1455</v>
      </c>
      <c r="E94" s="632" t="s">
        <v>577</v>
      </c>
      <c r="F94" s="633" t="s">
        <v>1458</v>
      </c>
      <c r="G94" s="632" t="s">
        <v>578</v>
      </c>
      <c r="H94" s="632" t="s">
        <v>897</v>
      </c>
      <c r="I94" s="632" t="s">
        <v>898</v>
      </c>
      <c r="J94" s="632" t="s">
        <v>899</v>
      </c>
      <c r="K94" s="632"/>
      <c r="L94" s="634">
        <v>88.73</v>
      </c>
      <c r="M94" s="634">
        <v>2</v>
      </c>
      <c r="N94" s="635">
        <v>177.46</v>
      </c>
    </row>
    <row r="95" spans="1:14" ht="14.4" customHeight="1" x14ac:dyDescent="0.3">
      <c r="A95" s="630" t="s">
        <v>556</v>
      </c>
      <c r="B95" s="631" t="s">
        <v>557</v>
      </c>
      <c r="C95" s="632" t="s">
        <v>563</v>
      </c>
      <c r="D95" s="633" t="s">
        <v>1455</v>
      </c>
      <c r="E95" s="632" t="s">
        <v>577</v>
      </c>
      <c r="F95" s="633" t="s">
        <v>1458</v>
      </c>
      <c r="G95" s="632" t="s">
        <v>578</v>
      </c>
      <c r="H95" s="632" t="s">
        <v>900</v>
      </c>
      <c r="I95" s="632" t="s">
        <v>238</v>
      </c>
      <c r="J95" s="632" t="s">
        <v>901</v>
      </c>
      <c r="K95" s="632"/>
      <c r="L95" s="634">
        <v>67.066533100364467</v>
      </c>
      <c r="M95" s="634">
        <v>3</v>
      </c>
      <c r="N95" s="635">
        <v>201.1995993010934</v>
      </c>
    </row>
    <row r="96" spans="1:14" ht="14.4" customHeight="1" x14ac:dyDescent="0.3">
      <c r="A96" s="630" t="s">
        <v>556</v>
      </c>
      <c r="B96" s="631" t="s">
        <v>557</v>
      </c>
      <c r="C96" s="632" t="s">
        <v>563</v>
      </c>
      <c r="D96" s="633" t="s">
        <v>1455</v>
      </c>
      <c r="E96" s="632" t="s">
        <v>577</v>
      </c>
      <c r="F96" s="633" t="s">
        <v>1458</v>
      </c>
      <c r="G96" s="632" t="s">
        <v>578</v>
      </c>
      <c r="H96" s="632" t="s">
        <v>902</v>
      </c>
      <c r="I96" s="632" t="s">
        <v>903</v>
      </c>
      <c r="J96" s="632" t="s">
        <v>904</v>
      </c>
      <c r="K96" s="632" t="s">
        <v>905</v>
      </c>
      <c r="L96" s="634">
        <v>79.84</v>
      </c>
      <c r="M96" s="634">
        <v>2</v>
      </c>
      <c r="N96" s="635">
        <v>159.68</v>
      </c>
    </row>
    <row r="97" spans="1:14" ht="14.4" customHeight="1" x14ac:dyDescent="0.3">
      <c r="A97" s="630" t="s">
        <v>556</v>
      </c>
      <c r="B97" s="631" t="s">
        <v>557</v>
      </c>
      <c r="C97" s="632" t="s">
        <v>563</v>
      </c>
      <c r="D97" s="633" t="s">
        <v>1455</v>
      </c>
      <c r="E97" s="632" t="s">
        <v>577</v>
      </c>
      <c r="F97" s="633" t="s">
        <v>1458</v>
      </c>
      <c r="G97" s="632" t="s">
        <v>578</v>
      </c>
      <c r="H97" s="632" t="s">
        <v>906</v>
      </c>
      <c r="I97" s="632" t="s">
        <v>907</v>
      </c>
      <c r="J97" s="632" t="s">
        <v>904</v>
      </c>
      <c r="K97" s="632" t="s">
        <v>908</v>
      </c>
      <c r="L97" s="634">
        <v>268.78026516010698</v>
      </c>
      <c r="M97" s="634">
        <v>1</v>
      </c>
      <c r="N97" s="635">
        <v>268.78026516010698</v>
      </c>
    </row>
    <row r="98" spans="1:14" ht="14.4" customHeight="1" x14ac:dyDescent="0.3">
      <c r="A98" s="630" t="s">
        <v>556</v>
      </c>
      <c r="B98" s="631" t="s">
        <v>557</v>
      </c>
      <c r="C98" s="632" t="s">
        <v>563</v>
      </c>
      <c r="D98" s="633" t="s">
        <v>1455</v>
      </c>
      <c r="E98" s="632" t="s">
        <v>577</v>
      </c>
      <c r="F98" s="633" t="s">
        <v>1458</v>
      </c>
      <c r="G98" s="632" t="s">
        <v>578</v>
      </c>
      <c r="H98" s="632" t="s">
        <v>909</v>
      </c>
      <c r="I98" s="632" t="s">
        <v>909</v>
      </c>
      <c r="J98" s="632" t="s">
        <v>910</v>
      </c>
      <c r="K98" s="632" t="s">
        <v>911</v>
      </c>
      <c r="L98" s="634">
        <v>285.01679999999999</v>
      </c>
      <c r="M98" s="634">
        <v>1</v>
      </c>
      <c r="N98" s="635">
        <v>285.01679999999999</v>
      </c>
    </row>
    <row r="99" spans="1:14" ht="14.4" customHeight="1" x14ac:dyDescent="0.3">
      <c r="A99" s="630" t="s">
        <v>556</v>
      </c>
      <c r="B99" s="631" t="s">
        <v>557</v>
      </c>
      <c r="C99" s="632" t="s">
        <v>563</v>
      </c>
      <c r="D99" s="633" t="s">
        <v>1455</v>
      </c>
      <c r="E99" s="632" t="s">
        <v>577</v>
      </c>
      <c r="F99" s="633" t="s">
        <v>1458</v>
      </c>
      <c r="G99" s="632" t="s">
        <v>578</v>
      </c>
      <c r="H99" s="632" t="s">
        <v>912</v>
      </c>
      <c r="I99" s="632" t="s">
        <v>238</v>
      </c>
      <c r="J99" s="632" t="s">
        <v>913</v>
      </c>
      <c r="K99" s="632"/>
      <c r="L99" s="634">
        <v>265.74</v>
      </c>
      <c r="M99" s="634">
        <v>2</v>
      </c>
      <c r="N99" s="635">
        <v>531.48</v>
      </c>
    </row>
    <row r="100" spans="1:14" ht="14.4" customHeight="1" x14ac:dyDescent="0.3">
      <c r="A100" s="630" t="s">
        <v>556</v>
      </c>
      <c r="B100" s="631" t="s">
        <v>557</v>
      </c>
      <c r="C100" s="632" t="s">
        <v>563</v>
      </c>
      <c r="D100" s="633" t="s">
        <v>1455</v>
      </c>
      <c r="E100" s="632" t="s">
        <v>577</v>
      </c>
      <c r="F100" s="633" t="s">
        <v>1458</v>
      </c>
      <c r="G100" s="632" t="s">
        <v>914</v>
      </c>
      <c r="H100" s="632" t="s">
        <v>915</v>
      </c>
      <c r="I100" s="632" t="s">
        <v>916</v>
      </c>
      <c r="J100" s="632" t="s">
        <v>917</v>
      </c>
      <c r="K100" s="632" t="s">
        <v>918</v>
      </c>
      <c r="L100" s="634">
        <v>131.68193760771561</v>
      </c>
      <c r="M100" s="634">
        <v>103</v>
      </c>
      <c r="N100" s="635">
        <v>13563.239573594708</v>
      </c>
    </row>
    <row r="101" spans="1:14" ht="14.4" customHeight="1" x14ac:dyDescent="0.3">
      <c r="A101" s="630" t="s">
        <v>556</v>
      </c>
      <c r="B101" s="631" t="s">
        <v>557</v>
      </c>
      <c r="C101" s="632" t="s">
        <v>563</v>
      </c>
      <c r="D101" s="633" t="s">
        <v>1455</v>
      </c>
      <c r="E101" s="632" t="s">
        <v>577</v>
      </c>
      <c r="F101" s="633" t="s">
        <v>1458</v>
      </c>
      <c r="G101" s="632" t="s">
        <v>914</v>
      </c>
      <c r="H101" s="632" t="s">
        <v>919</v>
      </c>
      <c r="I101" s="632" t="s">
        <v>920</v>
      </c>
      <c r="J101" s="632" t="s">
        <v>921</v>
      </c>
      <c r="K101" s="632" t="s">
        <v>922</v>
      </c>
      <c r="L101" s="634">
        <v>100.70968869570605</v>
      </c>
      <c r="M101" s="634">
        <v>1</v>
      </c>
      <c r="N101" s="635">
        <v>100.70968869570605</v>
      </c>
    </row>
    <row r="102" spans="1:14" ht="14.4" customHeight="1" x14ac:dyDescent="0.3">
      <c r="A102" s="630" t="s">
        <v>556</v>
      </c>
      <c r="B102" s="631" t="s">
        <v>557</v>
      </c>
      <c r="C102" s="632" t="s">
        <v>563</v>
      </c>
      <c r="D102" s="633" t="s">
        <v>1455</v>
      </c>
      <c r="E102" s="632" t="s">
        <v>577</v>
      </c>
      <c r="F102" s="633" t="s">
        <v>1458</v>
      </c>
      <c r="G102" s="632" t="s">
        <v>914</v>
      </c>
      <c r="H102" s="632" t="s">
        <v>923</v>
      </c>
      <c r="I102" s="632" t="s">
        <v>924</v>
      </c>
      <c r="J102" s="632" t="s">
        <v>925</v>
      </c>
      <c r="K102" s="632" t="s">
        <v>926</v>
      </c>
      <c r="L102" s="634">
        <v>3449.9981327473315</v>
      </c>
      <c r="M102" s="634">
        <v>8</v>
      </c>
      <c r="N102" s="635">
        <v>27599.985061978652</v>
      </c>
    </row>
    <row r="103" spans="1:14" ht="14.4" customHeight="1" x14ac:dyDescent="0.3">
      <c r="A103" s="630" t="s">
        <v>556</v>
      </c>
      <c r="B103" s="631" t="s">
        <v>557</v>
      </c>
      <c r="C103" s="632" t="s">
        <v>563</v>
      </c>
      <c r="D103" s="633" t="s">
        <v>1455</v>
      </c>
      <c r="E103" s="632" t="s">
        <v>577</v>
      </c>
      <c r="F103" s="633" t="s">
        <v>1458</v>
      </c>
      <c r="G103" s="632" t="s">
        <v>914</v>
      </c>
      <c r="H103" s="632" t="s">
        <v>927</v>
      </c>
      <c r="I103" s="632" t="s">
        <v>928</v>
      </c>
      <c r="J103" s="632" t="s">
        <v>929</v>
      </c>
      <c r="K103" s="632" t="s">
        <v>930</v>
      </c>
      <c r="L103" s="634">
        <v>34.390073976046914</v>
      </c>
      <c r="M103" s="634">
        <v>12</v>
      </c>
      <c r="N103" s="635">
        <v>412.68088771256299</v>
      </c>
    </row>
    <row r="104" spans="1:14" ht="14.4" customHeight="1" x14ac:dyDescent="0.3">
      <c r="A104" s="630" t="s">
        <v>556</v>
      </c>
      <c r="B104" s="631" t="s">
        <v>557</v>
      </c>
      <c r="C104" s="632" t="s">
        <v>563</v>
      </c>
      <c r="D104" s="633" t="s">
        <v>1455</v>
      </c>
      <c r="E104" s="632" t="s">
        <v>577</v>
      </c>
      <c r="F104" s="633" t="s">
        <v>1458</v>
      </c>
      <c r="G104" s="632" t="s">
        <v>914</v>
      </c>
      <c r="H104" s="632" t="s">
        <v>931</v>
      </c>
      <c r="I104" s="632" t="s">
        <v>932</v>
      </c>
      <c r="J104" s="632" t="s">
        <v>933</v>
      </c>
      <c r="K104" s="632" t="s">
        <v>934</v>
      </c>
      <c r="L104" s="634">
        <v>98.45</v>
      </c>
      <c r="M104" s="634">
        <v>1</v>
      </c>
      <c r="N104" s="635">
        <v>98.45</v>
      </c>
    </row>
    <row r="105" spans="1:14" ht="14.4" customHeight="1" x14ac:dyDescent="0.3">
      <c r="A105" s="630" t="s">
        <v>556</v>
      </c>
      <c r="B105" s="631" t="s">
        <v>557</v>
      </c>
      <c r="C105" s="632" t="s">
        <v>563</v>
      </c>
      <c r="D105" s="633" t="s">
        <v>1455</v>
      </c>
      <c r="E105" s="632" t="s">
        <v>577</v>
      </c>
      <c r="F105" s="633" t="s">
        <v>1458</v>
      </c>
      <c r="G105" s="632" t="s">
        <v>914</v>
      </c>
      <c r="H105" s="632" t="s">
        <v>935</v>
      </c>
      <c r="I105" s="632" t="s">
        <v>936</v>
      </c>
      <c r="J105" s="632" t="s">
        <v>937</v>
      </c>
      <c r="K105" s="632" t="s">
        <v>938</v>
      </c>
      <c r="L105" s="634">
        <v>98.069999999999979</v>
      </c>
      <c r="M105" s="634">
        <v>4</v>
      </c>
      <c r="N105" s="635">
        <v>392.27999999999992</v>
      </c>
    </row>
    <row r="106" spans="1:14" ht="14.4" customHeight="1" x14ac:dyDescent="0.3">
      <c r="A106" s="630" t="s">
        <v>556</v>
      </c>
      <c r="B106" s="631" t="s">
        <v>557</v>
      </c>
      <c r="C106" s="632" t="s">
        <v>563</v>
      </c>
      <c r="D106" s="633" t="s">
        <v>1455</v>
      </c>
      <c r="E106" s="632" t="s">
        <v>577</v>
      </c>
      <c r="F106" s="633" t="s">
        <v>1458</v>
      </c>
      <c r="G106" s="632" t="s">
        <v>914</v>
      </c>
      <c r="H106" s="632" t="s">
        <v>939</v>
      </c>
      <c r="I106" s="632" t="s">
        <v>940</v>
      </c>
      <c r="J106" s="632" t="s">
        <v>941</v>
      </c>
      <c r="K106" s="632" t="s">
        <v>942</v>
      </c>
      <c r="L106" s="634">
        <v>102.549822335641</v>
      </c>
      <c r="M106" s="634">
        <v>2</v>
      </c>
      <c r="N106" s="635">
        <v>205.09964467128199</v>
      </c>
    </row>
    <row r="107" spans="1:14" ht="14.4" customHeight="1" x14ac:dyDescent="0.3">
      <c r="A107" s="630" t="s">
        <v>556</v>
      </c>
      <c r="B107" s="631" t="s">
        <v>557</v>
      </c>
      <c r="C107" s="632" t="s">
        <v>563</v>
      </c>
      <c r="D107" s="633" t="s">
        <v>1455</v>
      </c>
      <c r="E107" s="632" t="s">
        <v>577</v>
      </c>
      <c r="F107" s="633" t="s">
        <v>1458</v>
      </c>
      <c r="G107" s="632" t="s">
        <v>914</v>
      </c>
      <c r="H107" s="632" t="s">
        <v>943</v>
      </c>
      <c r="I107" s="632" t="s">
        <v>944</v>
      </c>
      <c r="J107" s="632" t="s">
        <v>917</v>
      </c>
      <c r="K107" s="632" t="s">
        <v>945</v>
      </c>
      <c r="L107" s="634">
        <v>74.109634492984313</v>
      </c>
      <c r="M107" s="634">
        <v>4</v>
      </c>
      <c r="N107" s="635">
        <v>296.43853797193725</v>
      </c>
    </row>
    <row r="108" spans="1:14" ht="14.4" customHeight="1" x14ac:dyDescent="0.3">
      <c r="A108" s="630" t="s">
        <v>556</v>
      </c>
      <c r="B108" s="631" t="s">
        <v>557</v>
      </c>
      <c r="C108" s="632" t="s">
        <v>563</v>
      </c>
      <c r="D108" s="633" t="s">
        <v>1455</v>
      </c>
      <c r="E108" s="632" t="s">
        <v>577</v>
      </c>
      <c r="F108" s="633" t="s">
        <v>1458</v>
      </c>
      <c r="G108" s="632" t="s">
        <v>914</v>
      </c>
      <c r="H108" s="632" t="s">
        <v>946</v>
      </c>
      <c r="I108" s="632" t="s">
        <v>947</v>
      </c>
      <c r="J108" s="632" t="s">
        <v>948</v>
      </c>
      <c r="K108" s="632" t="s">
        <v>949</v>
      </c>
      <c r="L108" s="634">
        <v>121.54</v>
      </c>
      <c r="M108" s="634">
        <v>1</v>
      </c>
      <c r="N108" s="635">
        <v>121.54</v>
      </c>
    </row>
    <row r="109" spans="1:14" ht="14.4" customHeight="1" x14ac:dyDescent="0.3">
      <c r="A109" s="630" t="s">
        <v>556</v>
      </c>
      <c r="B109" s="631" t="s">
        <v>557</v>
      </c>
      <c r="C109" s="632" t="s">
        <v>563</v>
      </c>
      <c r="D109" s="633" t="s">
        <v>1455</v>
      </c>
      <c r="E109" s="632" t="s">
        <v>577</v>
      </c>
      <c r="F109" s="633" t="s">
        <v>1458</v>
      </c>
      <c r="G109" s="632" t="s">
        <v>914</v>
      </c>
      <c r="H109" s="632" t="s">
        <v>950</v>
      </c>
      <c r="I109" s="632" t="s">
        <v>951</v>
      </c>
      <c r="J109" s="632" t="s">
        <v>952</v>
      </c>
      <c r="K109" s="632" t="s">
        <v>953</v>
      </c>
      <c r="L109" s="634">
        <v>71.049308824224823</v>
      </c>
      <c r="M109" s="634">
        <v>4</v>
      </c>
      <c r="N109" s="635">
        <v>284.19723529689929</v>
      </c>
    </row>
    <row r="110" spans="1:14" ht="14.4" customHeight="1" x14ac:dyDescent="0.3">
      <c r="A110" s="630" t="s">
        <v>556</v>
      </c>
      <c r="B110" s="631" t="s">
        <v>557</v>
      </c>
      <c r="C110" s="632" t="s">
        <v>563</v>
      </c>
      <c r="D110" s="633" t="s">
        <v>1455</v>
      </c>
      <c r="E110" s="632" t="s">
        <v>577</v>
      </c>
      <c r="F110" s="633" t="s">
        <v>1458</v>
      </c>
      <c r="G110" s="632" t="s">
        <v>914</v>
      </c>
      <c r="H110" s="632" t="s">
        <v>954</v>
      </c>
      <c r="I110" s="632" t="s">
        <v>955</v>
      </c>
      <c r="J110" s="632" t="s">
        <v>956</v>
      </c>
      <c r="K110" s="632" t="s">
        <v>957</v>
      </c>
      <c r="L110" s="634">
        <v>117.14</v>
      </c>
      <c r="M110" s="634">
        <v>1</v>
      </c>
      <c r="N110" s="635">
        <v>117.14</v>
      </c>
    </row>
    <row r="111" spans="1:14" ht="14.4" customHeight="1" x14ac:dyDescent="0.3">
      <c r="A111" s="630" t="s">
        <v>556</v>
      </c>
      <c r="B111" s="631" t="s">
        <v>557</v>
      </c>
      <c r="C111" s="632" t="s">
        <v>563</v>
      </c>
      <c r="D111" s="633" t="s">
        <v>1455</v>
      </c>
      <c r="E111" s="632" t="s">
        <v>577</v>
      </c>
      <c r="F111" s="633" t="s">
        <v>1458</v>
      </c>
      <c r="G111" s="632" t="s">
        <v>914</v>
      </c>
      <c r="H111" s="632" t="s">
        <v>958</v>
      </c>
      <c r="I111" s="632" t="s">
        <v>959</v>
      </c>
      <c r="J111" s="632" t="s">
        <v>960</v>
      </c>
      <c r="K111" s="632" t="s">
        <v>961</v>
      </c>
      <c r="L111" s="634">
        <v>103.35</v>
      </c>
      <c r="M111" s="634">
        <v>1</v>
      </c>
      <c r="N111" s="635">
        <v>103.35</v>
      </c>
    </row>
    <row r="112" spans="1:14" ht="14.4" customHeight="1" x14ac:dyDescent="0.3">
      <c r="A112" s="630" t="s">
        <v>556</v>
      </c>
      <c r="B112" s="631" t="s">
        <v>557</v>
      </c>
      <c r="C112" s="632" t="s">
        <v>563</v>
      </c>
      <c r="D112" s="633" t="s">
        <v>1455</v>
      </c>
      <c r="E112" s="632" t="s">
        <v>577</v>
      </c>
      <c r="F112" s="633" t="s">
        <v>1458</v>
      </c>
      <c r="G112" s="632" t="s">
        <v>914</v>
      </c>
      <c r="H112" s="632" t="s">
        <v>962</v>
      </c>
      <c r="I112" s="632" t="s">
        <v>963</v>
      </c>
      <c r="J112" s="632" t="s">
        <v>964</v>
      </c>
      <c r="K112" s="632" t="s">
        <v>965</v>
      </c>
      <c r="L112" s="634">
        <v>67.010000000000005</v>
      </c>
      <c r="M112" s="634">
        <v>3</v>
      </c>
      <c r="N112" s="635">
        <v>201.03000000000003</v>
      </c>
    </row>
    <row r="113" spans="1:14" ht="14.4" customHeight="1" x14ac:dyDescent="0.3">
      <c r="A113" s="630" t="s">
        <v>556</v>
      </c>
      <c r="B113" s="631" t="s">
        <v>557</v>
      </c>
      <c r="C113" s="632" t="s">
        <v>563</v>
      </c>
      <c r="D113" s="633" t="s">
        <v>1455</v>
      </c>
      <c r="E113" s="632" t="s">
        <v>577</v>
      </c>
      <c r="F113" s="633" t="s">
        <v>1458</v>
      </c>
      <c r="G113" s="632" t="s">
        <v>914</v>
      </c>
      <c r="H113" s="632" t="s">
        <v>966</v>
      </c>
      <c r="I113" s="632" t="s">
        <v>967</v>
      </c>
      <c r="J113" s="632" t="s">
        <v>968</v>
      </c>
      <c r="K113" s="632" t="s">
        <v>969</v>
      </c>
      <c r="L113" s="634">
        <v>550.61000000000013</v>
      </c>
      <c r="M113" s="634">
        <v>1</v>
      </c>
      <c r="N113" s="635">
        <v>550.61000000000013</v>
      </c>
    </row>
    <row r="114" spans="1:14" ht="14.4" customHeight="1" x14ac:dyDescent="0.3">
      <c r="A114" s="630" t="s">
        <v>556</v>
      </c>
      <c r="B114" s="631" t="s">
        <v>557</v>
      </c>
      <c r="C114" s="632" t="s">
        <v>563</v>
      </c>
      <c r="D114" s="633" t="s">
        <v>1455</v>
      </c>
      <c r="E114" s="632" t="s">
        <v>970</v>
      </c>
      <c r="F114" s="633" t="s">
        <v>1459</v>
      </c>
      <c r="G114" s="632" t="s">
        <v>578</v>
      </c>
      <c r="H114" s="632" t="s">
        <v>971</v>
      </c>
      <c r="I114" s="632" t="s">
        <v>972</v>
      </c>
      <c r="J114" s="632" t="s">
        <v>973</v>
      </c>
      <c r="K114" s="632" t="s">
        <v>974</v>
      </c>
      <c r="L114" s="634">
        <v>26.799999999999994</v>
      </c>
      <c r="M114" s="634">
        <v>2</v>
      </c>
      <c r="N114" s="635">
        <v>53.599999999999987</v>
      </c>
    </row>
    <row r="115" spans="1:14" ht="14.4" customHeight="1" x14ac:dyDescent="0.3">
      <c r="A115" s="630" t="s">
        <v>556</v>
      </c>
      <c r="B115" s="631" t="s">
        <v>557</v>
      </c>
      <c r="C115" s="632" t="s">
        <v>563</v>
      </c>
      <c r="D115" s="633" t="s">
        <v>1455</v>
      </c>
      <c r="E115" s="632" t="s">
        <v>970</v>
      </c>
      <c r="F115" s="633" t="s">
        <v>1459</v>
      </c>
      <c r="G115" s="632" t="s">
        <v>578</v>
      </c>
      <c r="H115" s="632" t="s">
        <v>975</v>
      </c>
      <c r="I115" s="632" t="s">
        <v>976</v>
      </c>
      <c r="J115" s="632" t="s">
        <v>977</v>
      </c>
      <c r="K115" s="632" t="s">
        <v>978</v>
      </c>
      <c r="L115" s="634">
        <v>34.090000000000003</v>
      </c>
      <c r="M115" s="634">
        <v>2</v>
      </c>
      <c r="N115" s="635">
        <v>68.180000000000007</v>
      </c>
    </row>
    <row r="116" spans="1:14" ht="14.4" customHeight="1" x14ac:dyDescent="0.3">
      <c r="A116" s="630" t="s">
        <v>556</v>
      </c>
      <c r="B116" s="631" t="s">
        <v>557</v>
      </c>
      <c r="C116" s="632" t="s">
        <v>563</v>
      </c>
      <c r="D116" s="633" t="s">
        <v>1455</v>
      </c>
      <c r="E116" s="632" t="s">
        <v>970</v>
      </c>
      <c r="F116" s="633" t="s">
        <v>1459</v>
      </c>
      <c r="G116" s="632" t="s">
        <v>578</v>
      </c>
      <c r="H116" s="632" t="s">
        <v>979</v>
      </c>
      <c r="I116" s="632" t="s">
        <v>980</v>
      </c>
      <c r="J116" s="632" t="s">
        <v>981</v>
      </c>
      <c r="K116" s="632" t="s">
        <v>982</v>
      </c>
      <c r="L116" s="634">
        <v>33.375</v>
      </c>
      <c r="M116" s="634">
        <v>8</v>
      </c>
      <c r="N116" s="635">
        <v>267</v>
      </c>
    </row>
    <row r="117" spans="1:14" ht="14.4" customHeight="1" x14ac:dyDescent="0.3">
      <c r="A117" s="630" t="s">
        <v>556</v>
      </c>
      <c r="B117" s="631" t="s">
        <v>557</v>
      </c>
      <c r="C117" s="632" t="s">
        <v>563</v>
      </c>
      <c r="D117" s="633" t="s">
        <v>1455</v>
      </c>
      <c r="E117" s="632" t="s">
        <v>970</v>
      </c>
      <c r="F117" s="633" t="s">
        <v>1459</v>
      </c>
      <c r="G117" s="632" t="s">
        <v>578</v>
      </c>
      <c r="H117" s="632" t="s">
        <v>983</v>
      </c>
      <c r="I117" s="632" t="s">
        <v>984</v>
      </c>
      <c r="J117" s="632" t="s">
        <v>985</v>
      </c>
      <c r="K117" s="632" t="s">
        <v>986</v>
      </c>
      <c r="L117" s="634">
        <v>434.64943519527031</v>
      </c>
      <c r="M117" s="634">
        <v>6.1</v>
      </c>
      <c r="N117" s="635">
        <v>2651.3615546911487</v>
      </c>
    </row>
    <row r="118" spans="1:14" ht="14.4" customHeight="1" x14ac:dyDescent="0.3">
      <c r="A118" s="630" t="s">
        <v>556</v>
      </c>
      <c r="B118" s="631" t="s">
        <v>557</v>
      </c>
      <c r="C118" s="632" t="s">
        <v>563</v>
      </c>
      <c r="D118" s="633" t="s">
        <v>1455</v>
      </c>
      <c r="E118" s="632" t="s">
        <v>970</v>
      </c>
      <c r="F118" s="633" t="s">
        <v>1459</v>
      </c>
      <c r="G118" s="632" t="s">
        <v>578</v>
      </c>
      <c r="H118" s="632" t="s">
        <v>987</v>
      </c>
      <c r="I118" s="632" t="s">
        <v>988</v>
      </c>
      <c r="J118" s="632" t="s">
        <v>989</v>
      </c>
      <c r="K118" s="632" t="s">
        <v>990</v>
      </c>
      <c r="L118" s="634">
        <v>181.83027871531641</v>
      </c>
      <c r="M118" s="634">
        <v>23</v>
      </c>
      <c r="N118" s="635">
        <v>4182.0964104522773</v>
      </c>
    </row>
    <row r="119" spans="1:14" ht="14.4" customHeight="1" x14ac:dyDescent="0.3">
      <c r="A119" s="630" t="s">
        <v>556</v>
      </c>
      <c r="B119" s="631" t="s">
        <v>557</v>
      </c>
      <c r="C119" s="632" t="s">
        <v>563</v>
      </c>
      <c r="D119" s="633" t="s">
        <v>1455</v>
      </c>
      <c r="E119" s="632" t="s">
        <v>970</v>
      </c>
      <c r="F119" s="633" t="s">
        <v>1459</v>
      </c>
      <c r="G119" s="632" t="s">
        <v>578</v>
      </c>
      <c r="H119" s="632" t="s">
        <v>991</v>
      </c>
      <c r="I119" s="632" t="s">
        <v>992</v>
      </c>
      <c r="J119" s="632" t="s">
        <v>993</v>
      </c>
      <c r="K119" s="632" t="s">
        <v>994</v>
      </c>
      <c r="L119" s="634">
        <v>1104.9234353854961</v>
      </c>
      <c r="M119" s="634">
        <v>1.2466666666666666</v>
      </c>
      <c r="N119" s="635">
        <v>1377.4712161139182</v>
      </c>
    </row>
    <row r="120" spans="1:14" ht="14.4" customHeight="1" x14ac:dyDescent="0.3">
      <c r="A120" s="630" t="s">
        <v>556</v>
      </c>
      <c r="B120" s="631" t="s">
        <v>557</v>
      </c>
      <c r="C120" s="632" t="s">
        <v>563</v>
      </c>
      <c r="D120" s="633" t="s">
        <v>1455</v>
      </c>
      <c r="E120" s="632" t="s">
        <v>970</v>
      </c>
      <c r="F120" s="633" t="s">
        <v>1459</v>
      </c>
      <c r="G120" s="632" t="s">
        <v>578</v>
      </c>
      <c r="H120" s="632" t="s">
        <v>995</v>
      </c>
      <c r="I120" s="632" t="s">
        <v>996</v>
      </c>
      <c r="J120" s="632" t="s">
        <v>997</v>
      </c>
      <c r="K120" s="632" t="s">
        <v>998</v>
      </c>
      <c r="L120" s="634">
        <v>2899.2102333260914</v>
      </c>
      <c r="M120" s="634">
        <v>2.0999999999999996</v>
      </c>
      <c r="N120" s="635">
        <v>6088.3414899847912</v>
      </c>
    </row>
    <row r="121" spans="1:14" ht="14.4" customHeight="1" x14ac:dyDescent="0.3">
      <c r="A121" s="630" t="s">
        <v>556</v>
      </c>
      <c r="B121" s="631" t="s">
        <v>557</v>
      </c>
      <c r="C121" s="632" t="s">
        <v>563</v>
      </c>
      <c r="D121" s="633" t="s">
        <v>1455</v>
      </c>
      <c r="E121" s="632" t="s">
        <v>970</v>
      </c>
      <c r="F121" s="633" t="s">
        <v>1459</v>
      </c>
      <c r="G121" s="632" t="s">
        <v>578</v>
      </c>
      <c r="H121" s="632" t="s">
        <v>999</v>
      </c>
      <c r="I121" s="632" t="s">
        <v>1000</v>
      </c>
      <c r="J121" s="632" t="s">
        <v>1001</v>
      </c>
      <c r="K121" s="632" t="s">
        <v>1002</v>
      </c>
      <c r="L121" s="634">
        <v>235.58360395649228</v>
      </c>
      <c r="M121" s="634">
        <v>66</v>
      </c>
      <c r="N121" s="635">
        <v>15548.51786112849</v>
      </c>
    </row>
    <row r="122" spans="1:14" ht="14.4" customHeight="1" x14ac:dyDescent="0.3">
      <c r="A122" s="630" t="s">
        <v>556</v>
      </c>
      <c r="B122" s="631" t="s">
        <v>557</v>
      </c>
      <c r="C122" s="632" t="s">
        <v>563</v>
      </c>
      <c r="D122" s="633" t="s">
        <v>1455</v>
      </c>
      <c r="E122" s="632" t="s">
        <v>970</v>
      </c>
      <c r="F122" s="633" t="s">
        <v>1459</v>
      </c>
      <c r="G122" s="632" t="s">
        <v>578</v>
      </c>
      <c r="H122" s="632" t="s">
        <v>1003</v>
      </c>
      <c r="I122" s="632" t="s">
        <v>1004</v>
      </c>
      <c r="J122" s="632" t="s">
        <v>1005</v>
      </c>
      <c r="K122" s="632" t="s">
        <v>1006</v>
      </c>
      <c r="L122" s="634">
        <v>37.619999999999997</v>
      </c>
      <c r="M122" s="634">
        <v>81</v>
      </c>
      <c r="N122" s="635">
        <v>3047.22</v>
      </c>
    </row>
    <row r="123" spans="1:14" ht="14.4" customHeight="1" x14ac:dyDescent="0.3">
      <c r="A123" s="630" t="s">
        <v>556</v>
      </c>
      <c r="B123" s="631" t="s">
        <v>557</v>
      </c>
      <c r="C123" s="632" t="s">
        <v>563</v>
      </c>
      <c r="D123" s="633" t="s">
        <v>1455</v>
      </c>
      <c r="E123" s="632" t="s">
        <v>970</v>
      </c>
      <c r="F123" s="633" t="s">
        <v>1459</v>
      </c>
      <c r="G123" s="632" t="s">
        <v>578</v>
      </c>
      <c r="H123" s="632" t="s">
        <v>1007</v>
      </c>
      <c r="I123" s="632" t="s">
        <v>1008</v>
      </c>
      <c r="J123" s="632" t="s">
        <v>1009</v>
      </c>
      <c r="K123" s="632" t="s">
        <v>1010</v>
      </c>
      <c r="L123" s="634">
        <v>517.5</v>
      </c>
      <c r="M123" s="634">
        <v>2.1</v>
      </c>
      <c r="N123" s="635">
        <v>1086.75</v>
      </c>
    </row>
    <row r="124" spans="1:14" ht="14.4" customHeight="1" x14ac:dyDescent="0.3">
      <c r="A124" s="630" t="s">
        <v>556</v>
      </c>
      <c r="B124" s="631" t="s">
        <v>557</v>
      </c>
      <c r="C124" s="632" t="s">
        <v>563</v>
      </c>
      <c r="D124" s="633" t="s">
        <v>1455</v>
      </c>
      <c r="E124" s="632" t="s">
        <v>970</v>
      </c>
      <c r="F124" s="633" t="s">
        <v>1459</v>
      </c>
      <c r="G124" s="632" t="s">
        <v>578</v>
      </c>
      <c r="H124" s="632" t="s">
        <v>1011</v>
      </c>
      <c r="I124" s="632" t="s">
        <v>1012</v>
      </c>
      <c r="J124" s="632" t="s">
        <v>1013</v>
      </c>
      <c r="K124" s="632" t="s">
        <v>1014</v>
      </c>
      <c r="L124" s="634">
        <v>11601.57</v>
      </c>
      <c r="M124" s="634">
        <v>2</v>
      </c>
      <c r="N124" s="635">
        <v>23203.14</v>
      </c>
    </row>
    <row r="125" spans="1:14" ht="14.4" customHeight="1" x14ac:dyDescent="0.3">
      <c r="A125" s="630" t="s">
        <v>556</v>
      </c>
      <c r="B125" s="631" t="s">
        <v>557</v>
      </c>
      <c r="C125" s="632" t="s">
        <v>563</v>
      </c>
      <c r="D125" s="633" t="s">
        <v>1455</v>
      </c>
      <c r="E125" s="632" t="s">
        <v>970</v>
      </c>
      <c r="F125" s="633" t="s">
        <v>1459</v>
      </c>
      <c r="G125" s="632" t="s">
        <v>578</v>
      </c>
      <c r="H125" s="632" t="s">
        <v>1015</v>
      </c>
      <c r="I125" s="632" t="s">
        <v>1015</v>
      </c>
      <c r="J125" s="632" t="s">
        <v>1016</v>
      </c>
      <c r="K125" s="632" t="s">
        <v>1017</v>
      </c>
      <c r="L125" s="634">
        <v>1077.900357142857</v>
      </c>
      <c r="M125" s="634">
        <v>14</v>
      </c>
      <c r="N125" s="635">
        <v>15090.605</v>
      </c>
    </row>
    <row r="126" spans="1:14" ht="14.4" customHeight="1" x14ac:dyDescent="0.3">
      <c r="A126" s="630" t="s">
        <v>556</v>
      </c>
      <c r="B126" s="631" t="s">
        <v>557</v>
      </c>
      <c r="C126" s="632" t="s">
        <v>563</v>
      </c>
      <c r="D126" s="633" t="s">
        <v>1455</v>
      </c>
      <c r="E126" s="632" t="s">
        <v>970</v>
      </c>
      <c r="F126" s="633" t="s">
        <v>1459</v>
      </c>
      <c r="G126" s="632" t="s">
        <v>914</v>
      </c>
      <c r="H126" s="632" t="s">
        <v>1018</v>
      </c>
      <c r="I126" s="632" t="s">
        <v>1019</v>
      </c>
      <c r="J126" s="632" t="s">
        <v>1020</v>
      </c>
      <c r="K126" s="632" t="s">
        <v>1021</v>
      </c>
      <c r="L126" s="634">
        <v>169.73666666666665</v>
      </c>
      <c r="M126" s="634">
        <v>6</v>
      </c>
      <c r="N126" s="635">
        <v>1018.4199999999998</v>
      </c>
    </row>
    <row r="127" spans="1:14" ht="14.4" customHeight="1" x14ac:dyDescent="0.3">
      <c r="A127" s="630" t="s">
        <v>556</v>
      </c>
      <c r="B127" s="631" t="s">
        <v>557</v>
      </c>
      <c r="C127" s="632" t="s">
        <v>563</v>
      </c>
      <c r="D127" s="633" t="s">
        <v>1455</v>
      </c>
      <c r="E127" s="632" t="s">
        <v>970</v>
      </c>
      <c r="F127" s="633" t="s">
        <v>1459</v>
      </c>
      <c r="G127" s="632" t="s">
        <v>914</v>
      </c>
      <c r="H127" s="632" t="s">
        <v>1022</v>
      </c>
      <c r="I127" s="632" t="s">
        <v>1023</v>
      </c>
      <c r="J127" s="632" t="s">
        <v>1024</v>
      </c>
      <c r="K127" s="632" t="s">
        <v>1025</v>
      </c>
      <c r="L127" s="634">
        <v>88.60000827108442</v>
      </c>
      <c r="M127" s="634">
        <v>227</v>
      </c>
      <c r="N127" s="635">
        <v>20112.201877536165</v>
      </c>
    </row>
    <row r="128" spans="1:14" ht="14.4" customHeight="1" x14ac:dyDescent="0.3">
      <c r="A128" s="630" t="s">
        <v>556</v>
      </c>
      <c r="B128" s="631" t="s">
        <v>557</v>
      </c>
      <c r="C128" s="632" t="s">
        <v>563</v>
      </c>
      <c r="D128" s="633" t="s">
        <v>1455</v>
      </c>
      <c r="E128" s="632" t="s">
        <v>970</v>
      </c>
      <c r="F128" s="633" t="s">
        <v>1459</v>
      </c>
      <c r="G128" s="632" t="s">
        <v>914</v>
      </c>
      <c r="H128" s="632" t="s">
        <v>1026</v>
      </c>
      <c r="I128" s="632" t="s">
        <v>1027</v>
      </c>
      <c r="J128" s="632" t="s">
        <v>989</v>
      </c>
      <c r="K128" s="632" t="s">
        <v>1028</v>
      </c>
      <c r="L128" s="634">
        <v>45.829394742041849</v>
      </c>
      <c r="M128" s="634">
        <v>309</v>
      </c>
      <c r="N128" s="635">
        <v>14161.282975290931</v>
      </c>
    </row>
    <row r="129" spans="1:14" ht="14.4" customHeight="1" x14ac:dyDescent="0.3">
      <c r="A129" s="630" t="s">
        <v>556</v>
      </c>
      <c r="B129" s="631" t="s">
        <v>557</v>
      </c>
      <c r="C129" s="632" t="s">
        <v>563</v>
      </c>
      <c r="D129" s="633" t="s">
        <v>1455</v>
      </c>
      <c r="E129" s="632" t="s">
        <v>970</v>
      </c>
      <c r="F129" s="633" t="s">
        <v>1459</v>
      </c>
      <c r="G129" s="632" t="s">
        <v>914</v>
      </c>
      <c r="H129" s="632" t="s">
        <v>1029</v>
      </c>
      <c r="I129" s="632" t="s">
        <v>1030</v>
      </c>
      <c r="J129" s="632" t="s">
        <v>1031</v>
      </c>
      <c r="K129" s="632" t="s">
        <v>1032</v>
      </c>
      <c r="L129" s="634">
        <v>57.369984288762844</v>
      </c>
      <c r="M129" s="634">
        <v>7</v>
      </c>
      <c r="N129" s="635">
        <v>401.5898900213399</v>
      </c>
    </row>
    <row r="130" spans="1:14" ht="14.4" customHeight="1" x14ac:dyDescent="0.3">
      <c r="A130" s="630" t="s">
        <v>556</v>
      </c>
      <c r="B130" s="631" t="s">
        <v>557</v>
      </c>
      <c r="C130" s="632" t="s">
        <v>563</v>
      </c>
      <c r="D130" s="633" t="s">
        <v>1455</v>
      </c>
      <c r="E130" s="632" t="s">
        <v>970</v>
      </c>
      <c r="F130" s="633" t="s">
        <v>1459</v>
      </c>
      <c r="G130" s="632" t="s">
        <v>914</v>
      </c>
      <c r="H130" s="632" t="s">
        <v>1033</v>
      </c>
      <c r="I130" s="632" t="s">
        <v>1034</v>
      </c>
      <c r="J130" s="632" t="s">
        <v>1035</v>
      </c>
      <c r="K130" s="632" t="s">
        <v>998</v>
      </c>
      <c r="L130" s="634">
        <v>224.3770360763603</v>
      </c>
      <c r="M130" s="634">
        <v>36.400000000000034</v>
      </c>
      <c r="N130" s="635">
        <v>8167.3241131795221</v>
      </c>
    </row>
    <row r="131" spans="1:14" ht="14.4" customHeight="1" x14ac:dyDescent="0.3">
      <c r="A131" s="630" t="s">
        <v>556</v>
      </c>
      <c r="B131" s="631" t="s">
        <v>557</v>
      </c>
      <c r="C131" s="632" t="s">
        <v>563</v>
      </c>
      <c r="D131" s="633" t="s">
        <v>1455</v>
      </c>
      <c r="E131" s="632" t="s">
        <v>970</v>
      </c>
      <c r="F131" s="633" t="s">
        <v>1459</v>
      </c>
      <c r="G131" s="632" t="s">
        <v>914</v>
      </c>
      <c r="H131" s="632" t="s">
        <v>1036</v>
      </c>
      <c r="I131" s="632" t="s">
        <v>1037</v>
      </c>
      <c r="J131" s="632" t="s">
        <v>1038</v>
      </c>
      <c r="K131" s="632" t="s">
        <v>1039</v>
      </c>
      <c r="L131" s="634">
        <v>118.10746725067847</v>
      </c>
      <c r="M131" s="634">
        <v>32.200000000000003</v>
      </c>
      <c r="N131" s="635">
        <v>3803.0604454718468</v>
      </c>
    </row>
    <row r="132" spans="1:14" ht="14.4" customHeight="1" x14ac:dyDescent="0.3">
      <c r="A132" s="630" t="s">
        <v>556</v>
      </c>
      <c r="B132" s="631" t="s">
        <v>557</v>
      </c>
      <c r="C132" s="632" t="s">
        <v>563</v>
      </c>
      <c r="D132" s="633" t="s">
        <v>1455</v>
      </c>
      <c r="E132" s="632" t="s">
        <v>970</v>
      </c>
      <c r="F132" s="633" t="s">
        <v>1459</v>
      </c>
      <c r="G132" s="632" t="s">
        <v>914</v>
      </c>
      <c r="H132" s="632" t="s">
        <v>1040</v>
      </c>
      <c r="I132" s="632" t="s">
        <v>1041</v>
      </c>
      <c r="J132" s="632" t="s">
        <v>1042</v>
      </c>
      <c r="K132" s="632" t="s">
        <v>1043</v>
      </c>
      <c r="L132" s="634">
        <v>120.1995486195341</v>
      </c>
      <c r="M132" s="634">
        <v>2</v>
      </c>
      <c r="N132" s="635">
        <v>240.3990972390682</v>
      </c>
    </row>
    <row r="133" spans="1:14" ht="14.4" customHeight="1" x14ac:dyDescent="0.3">
      <c r="A133" s="630" t="s">
        <v>556</v>
      </c>
      <c r="B133" s="631" t="s">
        <v>557</v>
      </c>
      <c r="C133" s="632" t="s">
        <v>563</v>
      </c>
      <c r="D133" s="633" t="s">
        <v>1455</v>
      </c>
      <c r="E133" s="632" t="s">
        <v>970</v>
      </c>
      <c r="F133" s="633" t="s">
        <v>1459</v>
      </c>
      <c r="G133" s="632" t="s">
        <v>914</v>
      </c>
      <c r="H133" s="632" t="s">
        <v>1044</v>
      </c>
      <c r="I133" s="632" t="s">
        <v>1045</v>
      </c>
      <c r="J133" s="632" t="s">
        <v>1046</v>
      </c>
      <c r="K133" s="632" t="s">
        <v>1047</v>
      </c>
      <c r="L133" s="634">
        <v>104.41994995654663</v>
      </c>
      <c r="M133" s="634">
        <v>6</v>
      </c>
      <c r="N133" s="635">
        <v>626.51969973927976</v>
      </c>
    </row>
    <row r="134" spans="1:14" ht="14.4" customHeight="1" x14ac:dyDescent="0.3">
      <c r="A134" s="630" t="s">
        <v>556</v>
      </c>
      <c r="B134" s="631" t="s">
        <v>557</v>
      </c>
      <c r="C134" s="632" t="s">
        <v>563</v>
      </c>
      <c r="D134" s="633" t="s">
        <v>1455</v>
      </c>
      <c r="E134" s="632" t="s">
        <v>1048</v>
      </c>
      <c r="F134" s="633" t="s">
        <v>1460</v>
      </c>
      <c r="G134" s="632" t="s">
        <v>578</v>
      </c>
      <c r="H134" s="632" t="s">
        <v>1049</v>
      </c>
      <c r="I134" s="632" t="s">
        <v>1050</v>
      </c>
      <c r="J134" s="632" t="s">
        <v>1051</v>
      </c>
      <c r="K134" s="632" t="s">
        <v>1052</v>
      </c>
      <c r="L134" s="634">
        <v>41.32</v>
      </c>
      <c r="M134" s="634">
        <v>1</v>
      </c>
      <c r="N134" s="635">
        <v>41.32</v>
      </c>
    </row>
    <row r="135" spans="1:14" ht="14.4" customHeight="1" x14ac:dyDescent="0.3">
      <c r="A135" s="630" t="s">
        <v>556</v>
      </c>
      <c r="B135" s="631" t="s">
        <v>557</v>
      </c>
      <c r="C135" s="632" t="s">
        <v>563</v>
      </c>
      <c r="D135" s="633" t="s">
        <v>1455</v>
      </c>
      <c r="E135" s="632" t="s">
        <v>1053</v>
      </c>
      <c r="F135" s="633" t="s">
        <v>1461</v>
      </c>
      <c r="G135" s="632"/>
      <c r="H135" s="632"/>
      <c r="I135" s="632" t="s">
        <v>1054</v>
      </c>
      <c r="J135" s="632" t="s">
        <v>1055</v>
      </c>
      <c r="K135" s="632"/>
      <c r="L135" s="634">
        <v>6817.2</v>
      </c>
      <c r="M135" s="634">
        <v>4</v>
      </c>
      <c r="N135" s="635">
        <v>27268.799999999999</v>
      </c>
    </row>
    <row r="136" spans="1:14" ht="14.4" customHeight="1" x14ac:dyDescent="0.3">
      <c r="A136" s="630" t="s">
        <v>556</v>
      </c>
      <c r="B136" s="631" t="s">
        <v>557</v>
      </c>
      <c r="C136" s="632" t="s">
        <v>568</v>
      </c>
      <c r="D136" s="633" t="s">
        <v>1456</v>
      </c>
      <c r="E136" s="632" t="s">
        <v>577</v>
      </c>
      <c r="F136" s="633" t="s">
        <v>1458</v>
      </c>
      <c r="G136" s="632" t="s">
        <v>578</v>
      </c>
      <c r="H136" s="632" t="s">
        <v>591</v>
      </c>
      <c r="I136" s="632" t="s">
        <v>592</v>
      </c>
      <c r="J136" s="632" t="s">
        <v>593</v>
      </c>
      <c r="K136" s="632" t="s">
        <v>594</v>
      </c>
      <c r="L136" s="634">
        <v>84.569999999999951</v>
      </c>
      <c r="M136" s="634">
        <v>1</v>
      </c>
      <c r="N136" s="635">
        <v>84.569999999999951</v>
      </c>
    </row>
    <row r="137" spans="1:14" ht="14.4" customHeight="1" x14ac:dyDescent="0.3">
      <c r="A137" s="630" t="s">
        <v>556</v>
      </c>
      <c r="B137" s="631" t="s">
        <v>557</v>
      </c>
      <c r="C137" s="632" t="s">
        <v>568</v>
      </c>
      <c r="D137" s="633" t="s">
        <v>1456</v>
      </c>
      <c r="E137" s="632" t="s">
        <v>577</v>
      </c>
      <c r="F137" s="633" t="s">
        <v>1458</v>
      </c>
      <c r="G137" s="632" t="s">
        <v>578</v>
      </c>
      <c r="H137" s="632" t="s">
        <v>599</v>
      </c>
      <c r="I137" s="632" t="s">
        <v>600</v>
      </c>
      <c r="J137" s="632" t="s">
        <v>601</v>
      </c>
      <c r="K137" s="632" t="s">
        <v>602</v>
      </c>
      <c r="L137" s="634">
        <v>170.30013673673812</v>
      </c>
      <c r="M137" s="634">
        <v>11</v>
      </c>
      <c r="N137" s="635">
        <v>1873.3015041041194</v>
      </c>
    </row>
    <row r="138" spans="1:14" ht="14.4" customHeight="1" x14ac:dyDescent="0.3">
      <c r="A138" s="630" t="s">
        <v>556</v>
      </c>
      <c r="B138" s="631" t="s">
        <v>557</v>
      </c>
      <c r="C138" s="632" t="s">
        <v>568</v>
      </c>
      <c r="D138" s="633" t="s">
        <v>1456</v>
      </c>
      <c r="E138" s="632" t="s">
        <v>577</v>
      </c>
      <c r="F138" s="633" t="s">
        <v>1458</v>
      </c>
      <c r="G138" s="632" t="s">
        <v>578</v>
      </c>
      <c r="H138" s="632" t="s">
        <v>662</v>
      </c>
      <c r="I138" s="632" t="s">
        <v>663</v>
      </c>
      <c r="J138" s="632" t="s">
        <v>664</v>
      </c>
      <c r="K138" s="632" t="s">
        <v>665</v>
      </c>
      <c r="L138" s="634">
        <v>75.239999999999995</v>
      </c>
      <c r="M138" s="634">
        <v>3</v>
      </c>
      <c r="N138" s="635">
        <v>225.71999999999997</v>
      </c>
    </row>
    <row r="139" spans="1:14" ht="14.4" customHeight="1" x14ac:dyDescent="0.3">
      <c r="A139" s="630" t="s">
        <v>556</v>
      </c>
      <c r="B139" s="631" t="s">
        <v>557</v>
      </c>
      <c r="C139" s="632" t="s">
        <v>568</v>
      </c>
      <c r="D139" s="633" t="s">
        <v>1456</v>
      </c>
      <c r="E139" s="632" t="s">
        <v>577</v>
      </c>
      <c r="F139" s="633" t="s">
        <v>1458</v>
      </c>
      <c r="G139" s="632" t="s">
        <v>578</v>
      </c>
      <c r="H139" s="632" t="s">
        <v>704</v>
      </c>
      <c r="I139" s="632" t="s">
        <v>238</v>
      </c>
      <c r="J139" s="632" t="s">
        <v>705</v>
      </c>
      <c r="K139" s="632"/>
      <c r="L139" s="634">
        <v>97.320311547696903</v>
      </c>
      <c r="M139" s="634">
        <v>3</v>
      </c>
      <c r="N139" s="635">
        <v>291.9609346430907</v>
      </c>
    </row>
    <row r="140" spans="1:14" ht="14.4" customHeight="1" x14ac:dyDescent="0.3">
      <c r="A140" s="630" t="s">
        <v>556</v>
      </c>
      <c r="B140" s="631" t="s">
        <v>557</v>
      </c>
      <c r="C140" s="632" t="s">
        <v>568</v>
      </c>
      <c r="D140" s="633" t="s">
        <v>1456</v>
      </c>
      <c r="E140" s="632" t="s">
        <v>577</v>
      </c>
      <c r="F140" s="633" t="s">
        <v>1458</v>
      </c>
      <c r="G140" s="632" t="s">
        <v>578</v>
      </c>
      <c r="H140" s="632" t="s">
        <v>749</v>
      </c>
      <c r="I140" s="632" t="s">
        <v>238</v>
      </c>
      <c r="J140" s="632" t="s">
        <v>750</v>
      </c>
      <c r="K140" s="632"/>
      <c r="L140" s="634">
        <v>191.13003455770638</v>
      </c>
      <c r="M140" s="634">
        <v>3</v>
      </c>
      <c r="N140" s="635">
        <v>573.39010367311914</v>
      </c>
    </row>
    <row r="141" spans="1:14" ht="14.4" customHeight="1" x14ac:dyDescent="0.3">
      <c r="A141" s="630" t="s">
        <v>556</v>
      </c>
      <c r="B141" s="631" t="s">
        <v>557</v>
      </c>
      <c r="C141" s="632" t="s">
        <v>568</v>
      </c>
      <c r="D141" s="633" t="s">
        <v>1456</v>
      </c>
      <c r="E141" s="632" t="s">
        <v>577</v>
      </c>
      <c r="F141" s="633" t="s">
        <v>1458</v>
      </c>
      <c r="G141" s="632" t="s">
        <v>578</v>
      </c>
      <c r="H141" s="632" t="s">
        <v>757</v>
      </c>
      <c r="I141" s="632" t="s">
        <v>758</v>
      </c>
      <c r="J141" s="632" t="s">
        <v>759</v>
      </c>
      <c r="K141" s="632" t="s">
        <v>760</v>
      </c>
      <c r="L141" s="634">
        <v>112.38</v>
      </c>
      <c r="M141" s="634">
        <v>1</v>
      </c>
      <c r="N141" s="635">
        <v>112.38</v>
      </c>
    </row>
    <row r="142" spans="1:14" ht="14.4" customHeight="1" x14ac:dyDescent="0.3">
      <c r="A142" s="630" t="s">
        <v>556</v>
      </c>
      <c r="B142" s="631" t="s">
        <v>557</v>
      </c>
      <c r="C142" s="632" t="s">
        <v>568</v>
      </c>
      <c r="D142" s="633" t="s">
        <v>1456</v>
      </c>
      <c r="E142" s="632" t="s">
        <v>577</v>
      </c>
      <c r="F142" s="633" t="s">
        <v>1458</v>
      </c>
      <c r="G142" s="632" t="s">
        <v>578</v>
      </c>
      <c r="H142" s="632" t="s">
        <v>1056</v>
      </c>
      <c r="I142" s="632" t="s">
        <v>1057</v>
      </c>
      <c r="J142" s="632" t="s">
        <v>648</v>
      </c>
      <c r="K142" s="632" t="s">
        <v>1058</v>
      </c>
      <c r="L142" s="634">
        <v>60.349999751681203</v>
      </c>
      <c r="M142" s="634">
        <v>1</v>
      </c>
      <c r="N142" s="635">
        <v>60.349999751681203</v>
      </c>
    </row>
    <row r="143" spans="1:14" ht="14.4" customHeight="1" x14ac:dyDescent="0.3">
      <c r="A143" s="630" t="s">
        <v>556</v>
      </c>
      <c r="B143" s="631" t="s">
        <v>557</v>
      </c>
      <c r="C143" s="632" t="s">
        <v>568</v>
      </c>
      <c r="D143" s="633" t="s">
        <v>1456</v>
      </c>
      <c r="E143" s="632" t="s">
        <v>577</v>
      </c>
      <c r="F143" s="633" t="s">
        <v>1458</v>
      </c>
      <c r="G143" s="632" t="s">
        <v>578</v>
      </c>
      <c r="H143" s="632" t="s">
        <v>1059</v>
      </c>
      <c r="I143" s="632" t="s">
        <v>1060</v>
      </c>
      <c r="J143" s="632" t="s">
        <v>1061</v>
      </c>
      <c r="K143" s="632" t="s">
        <v>1062</v>
      </c>
      <c r="L143" s="634">
        <v>67.390024133586678</v>
      </c>
      <c r="M143" s="634">
        <v>2</v>
      </c>
      <c r="N143" s="635">
        <v>134.78004826717336</v>
      </c>
    </row>
    <row r="144" spans="1:14" ht="14.4" customHeight="1" x14ac:dyDescent="0.3">
      <c r="A144" s="630" t="s">
        <v>556</v>
      </c>
      <c r="B144" s="631" t="s">
        <v>557</v>
      </c>
      <c r="C144" s="632" t="s">
        <v>568</v>
      </c>
      <c r="D144" s="633" t="s">
        <v>1456</v>
      </c>
      <c r="E144" s="632" t="s">
        <v>577</v>
      </c>
      <c r="F144" s="633" t="s">
        <v>1458</v>
      </c>
      <c r="G144" s="632" t="s">
        <v>578</v>
      </c>
      <c r="H144" s="632" t="s">
        <v>1063</v>
      </c>
      <c r="I144" s="632" t="s">
        <v>238</v>
      </c>
      <c r="J144" s="632" t="s">
        <v>1064</v>
      </c>
      <c r="K144" s="632" t="s">
        <v>1065</v>
      </c>
      <c r="L144" s="634">
        <v>47.15</v>
      </c>
      <c r="M144" s="634">
        <v>1</v>
      </c>
      <c r="N144" s="635">
        <v>47.15</v>
      </c>
    </row>
    <row r="145" spans="1:14" ht="14.4" customHeight="1" x14ac:dyDescent="0.3">
      <c r="A145" s="630" t="s">
        <v>556</v>
      </c>
      <c r="B145" s="631" t="s">
        <v>557</v>
      </c>
      <c r="C145" s="632" t="s">
        <v>568</v>
      </c>
      <c r="D145" s="633" t="s">
        <v>1456</v>
      </c>
      <c r="E145" s="632" t="s">
        <v>577</v>
      </c>
      <c r="F145" s="633" t="s">
        <v>1458</v>
      </c>
      <c r="G145" s="632" t="s">
        <v>578</v>
      </c>
      <c r="H145" s="632" t="s">
        <v>1066</v>
      </c>
      <c r="I145" s="632" t="s">
        <v>1067</v>
      </c>
      <c r="J145" s="632" t="s">
        <v>1068</v>
      </c>
      <c r="K145" s="632" t="s">
        <v>1069</v>
      </c>
      <c r="L145" s="634">
        <v>219.72373926429628</v>
      </c>
      <c r="M145" s="634">
        <v>5</v>
      </c>
      <c r="N145" s="635">
        <v>1098.6186963214814</v>
      </c>
    </row>
    <row r="146" spans="1:14" ht="14.4" customHeight="1" x14ac:dyDescent="0.3">
      <c r="A146" s="630" t="s">
        <v>556</v>
      </c>
      <c r="B146" s="631" t="s">
        <v>557</v>
      </c>
      <c r="C146" s="632" t="s">
        <v>568</v>
      </c>
      <c r="D146" s="633" t="s">
        <v>1456</v>
      </c>
      <c r="E146" s="632" t="s">
        <v>577</v>
      </c>
      <c r="F146" s="633" t="s">
        <v>1458</v>
      </c>
      <c r="G146" s="632" t="s">
        <v>578</v>
      </c>
      <c r="H146" s="632" t="s">
        <v>862</v>
      </c>
      <c r="I146" s="632" t="s">
        <v>238</v>
      </c>
      <c r="J146" s="632" t="s">
        <v>863</v>
      </c>
      <c r="K146" s="632"/>
      <c r="L146" s="634">
        <v>157.75306669664755</v>
      </c>
      <c r="M146" s="634">
        <v>9</v>
      </c>
      <c r="N146" s="635">
        <v>1419.7776002698279</v>
      </c>
    </row>
    <row r="147" spans="1:14" ht="14.4" customHeight="1" x14ac:dyDescent="0.3">
      <c r="A147" s="630" t="s">
        <v>556</v>
      </c>
      <c r="B147" s="631" t="s">
        <v>557</v>
      </c>
      <c r="C147" s="632" t="s">
        <v>568</v>
      </c>
      <c r="D147" s="633" t="s">
        <v>1456</v>
      </c>
      <c r="E147" s="632" t="s">
        <v>577</v>
      </c>
      <c r="F147" s="633" t="s">
        <v>1458</v>
      </c>
      <c r="G147" s="632" t="s">
        <v>578</v>
      </c>
      <c r="H147" s="632" t="s">
        <v>1070</v>
      </c>
      <c r="I147" s="632" t="s">
        <v>1071</v>
      </c>
      <c r="J147" s="632" t="s">
        <v>1072</v>
      </c>
      <c r="K147" s="632" t="s">
        <v>1073</v>
      </c>
      <c r="L147" s="634">
        <v>48.329529844824556</v>
      </c>
      <c r="M147" s="634">
        <v>3</v>
      </c>
      <c r="N147" s="635">
        <v>144.98858953447368</v>
      </c>
    </row>
    <row r="148" spans="1:14" ht="14.4" customHeight="1" x14ac:dyDescent="0.3">
      <c r="A148" s="630" t="s">
        <v>556</v>
      </c>
      <c r="B148" s="631" t="s">
        <v>557</v>
      </c>
      <c r="C148" s="632" t="s">
        <v>568</v>
      </c>
      <c r="D148" s="633" t="s">
        <v>1456</v>
      </c>
      <c r="E148" s="632" t="s">
        <v>577</v>
      </c>
      <c r="F148" s="633" t="s">
        <v>1458</v>
      </c>
      <c r="G148" s="632" t="s">
        <v>578</v>
      </c>
      <c r="H148" s="632" t="s">
        <v>1074</v>
      </c>
      <c r="I148" s="632" t="s">
        <v>238</v>
      </c>
      <c r="J148" s="632" t="s">
        <v>1075</v>
      </c>
      <c r="K148" s="632"/>
      <c r="L148" s="634">
        <v>300.92919999999998</v>
      </c>
      <c r="M148" s="634">
        <v>1</v>
      </c>
      <c r="N148" s="635">
        <v>300.92919999999998</v>
      </c>
    </row>
    <row r="149" spans="1:14" ht="14.4" customHeight="1" x14ac:dyDescent="0.3">
      <c r="A149" s="630" t="s">
        <v>556</v>
      </c>
      <c r="B149" s="631" t="s">
        <v>557</v>
      </c>
      <c r="C149" s="632" t="s">
        <v>568</v>
      </c>
      <c r="D149" s="633" t="s">
        <v>1456</v>
      </c>
      <c r="E149" s="632" t="s">
        <v>577</v>
      </c>
      <c r="F149" s="633" t="s">
        <v>1458</v>
      </c>
      <c r="G149" s="632" t="s">
        <v>578</v>
      </c>
      <c r="H149" s="632" t="s">
        <v>1076</v>
      </c>
      <c r="I149" s="632" t="s">
        <v>238</v>
      </c>
      <c r="J149" s="632" t="s">
        <v>1077</v>
      </c>
      <c r="K149" s="632"/>
      <c r="L149" s="634">
        <v>264.47704699412634</v>
      </c>
      <c r="M149" s="634">
        <v>3</v>
      </c>
      <c r="N149" s="635">
        <v>793.43114098237902</v>
      </c>
    </row>
    <row r="150" spans="1:14" ht="14.4" customHeight="1" x14ac:dyDescent="0.3">
      <c r="A150" s="630" t="s">
        <v>556</v>
      </c>
      <c r="B150" s="631" t="s">
        <v>557</v>
      </c>
      <c r="C150" s="632" t="s">
        <v>568</v>
      </c>
      <c r="D150" s="633" t="s">
        <v>1456</v>
      </c>
      <c r="E150" s="632" t="s">
        <v>577</v>
      </c>
      <c r="F150" s="633" t="s">
        <v>1458</v>
      </c>
      <c r="G150" s="632" t="s">
        <v>578</v>
      </c>
      <c r="H150" s="632" t="s">
        <v>1078</v>
      </c>
      <c r="I150" s="632" t="s">
        <v>1079</v>
      </c>
      <c r="J150" s="632" t="s">
        <v>1080</v>
      </c>
      <c r="K150" s="632" t="s">
        <v>1081</v>
      </c>
      <c r="L150" s="634">
        <v>292.08</v>
      </c>
      <c r="M150" s="634">
        <v>1</v>
      </c>
      <c r="N150" s="635">
        <v>292.08</v>
      </c>
    </row>
    <row r="151" spans="1:14" ht="14.4" customHeight="1" x14ac:dyDescent="0.3">
      <c r="A151" s="630" t="s">
        <v>556</v>
      </c>
      <c r="B151" s="631" t="s">
        <v>557</v>
      </c>
      <c r="C151" s="632" t="s">
        <v>568</v>
      </c>
      <c r="D151" s="633" t="s">
        <v>1456</v>
      </c>
      <c r="E151" s="632" t="s">
        <v>577</v>
      </c>
      <c r="F151" s="633" t="s">
        <v>1458</v>
      </c>
      <c r="G151" s="632" t="s">
        <v>578</v>
      </c>
      <c r="H151" s="632" t="s">
        <v>1082</v>
      </c>
      <c r="I151" s="632" t="s">
        <v>238</v>
      </c>
      <c r="J151" s="632" t="s">
        <v>1083</v>
      </c>
      <c r="K151" s="632"/>
      <c r="L151" s="634">
        <v>80.334203403114344</v>
      </c>
      <c r="M151" s="634">
        <v>1</v>
      </c>
      <c r="N151" s="635">
        <v>80.334203403114344</v>
      </c>
    </row>
    <row r="152" spans="1:14" ht="14.4" customHeight="1" x14ac:dyDescent="0.3">
      <c r="A152" s="630" t="s">
        <v>556</v>
      </c>
      <c r="B152" s="631" t="s">
        <v>557</v>
      </c>
      <c r="C152" s="632" t="s">
        <v>568</v>
      </c>
      <c r="D152" s="633" t="s">
        <v>1456</v>
      </c>
      <c r="E152" s="632" t="s">
        <v>577</v>
      </c>
      <c r="F152" s="633" t="s">
        <v>1458</v>
      </c>
      <c r="G152" s="632" t="s">
        <v>578</v>
      </c>
      <c r="H152" s="632" t="s">
        <v>1084</v>
      </c>
      <c r="I152" s="632" t="s">
        <v>238</v>
      </c>
      <c r="J152" s="632" t="s">
        <v>1085</v>
      </c>
      <c r="K152" s="632"/>
      <c r="L152" s="634">
        <v>49.685578077868392</v>
      </c>
      <c r="M152" s="634">
        <v>7</v>
      </c>
      <c r="N152" s="635">
        <v>347.79904654507874</v>
      </c>
    </row>
    <row r="153" spans="1:14" ht="14.4" customHeight="1" x14ac:dyDescent="0.3">
      <c r="A153" s="630" t="s">
        <v>556</v>
      </c>
      <c r="B153" s="631" t="s">
        <v>557</v>
      </c>
      <c r="C153" s="632" t="s">
        <v>571</v>
      </c>
      <c r="D153" s="633" t="s">
        <v>1457</v>
      </c>
      <c r="E153" s="632" t="s">
        <v>577</v>
      </c>
      <c r="F153" s="633" t="s">
        <v>1458</v>
      </c>
      <c r="G153" s="632" t="s">
        <v>578</v>
      </c>
      <c r="H153" s="632" t="s">
        <v>579</v>
      </c>
      <c r="I153" s="632" t="s">
        <v>579</v>
      </c>
      <c r="J153" s="632" t="s">
        <v>580</v>
      </c>
      <c r="K153" s="632" t="s">
        <v>581</v>
      </c>
      <c r="L153" s="634">
        <v>179.4</v>
      </c>
      <c r="M153" s="634">
        <v>79</v>
      </c>
      <c r="N153" s="635">
        <v>14172.6</v>
      </c>
    </row>
    <row r="154" spans="1:14" ht="14.4" customHeight="1" x14ac:dyDescent="0.3">
      <c r="A154" s="630" t="s">
        <v>556</v>
      </c>
      <c r="B154" s="631" t="s">
        <v>557</v>
      </c>
      <c r="C154" s="632" t="s">
        <v>571</v>
      </c>
      <c r="D154" s="633" t="s">
        <v>1457</v>
      </c>
      <c r="E154" s="632" t="s">
        <v>577</v>
      </c>
      <c r="F154" s="633" t="s">
        <v>1458</v>
      </c>
      <c r="G154" s="632" t="s">
        <v>578</v>
      </c>
      <c r="H154" s="632" t="s">
        <v>582</v>
      </c>
      <c r="I154" s="632" t="s">
        <v>582</v>
      </c>
      <c r="J154" s="632" t="s">
        <v>583</v>
      </c>
      <c r="K154" s="632" t="s">
        <v>584</v>
      </c>
      <c r="L154" s="634">
        <v>181.59000000000003</v>
      </c>
      <c r="M154" s="634">
        <v>9</v>
      </c>
      <c r="N154" s="635">
        <v>1634.3100000000002</v>
      </c>
    </row>
    <row r="155" spans="1:14" ht="14.4" customHeight="1" x14ac:dyDescent="0.3">
      <c r="A155" s="630" t="s">
        <v>556</v>
      </c>
      <c r="B155" s="631" t="s">
        <v>557</v>
      </c>
      <c r="C155" s="632" t="s">
        <v>571</v>
      </c>
      <c r="D155" s="633" t="s">
        <v>1457</v>
      </c>
      <c r="E155" s="632" t="s">
        <v>577</v>
      </c>
      <c r="F155" s="633" t="s">
        <v>1458</v>
      </c>
      <c r="G155" s="632" t="s">
        <v>578</v>
      </c>
      <c r="H155" s="632" t="s">
        <v>589</v>
      </c>
      <c r="I155" s="632" t="s">
        <v>589</v>
      </c>
      <c r="J155" s="632" t="s">
        <v>580</v>
      </c>
      <c r="K155" s="632" t="s">
        <v>590</v>
      </c>
      <c r="L155" s="634">
        <v>97.751309113835987</v>
      </c>
      <c r="M155" s="634">
        <v>5</v>
      </c>
      <c r="N155" s="635">
        <v>488.75654556917993</v>
      </c>
    </row>
    <row r="156" spans="1:14" ht="14.4" customHeight="1" x14ac:dyDescent="0.3">
      <c r="A156" s="630" t="s">
        <v>556</v>
      </c>
      <c r="B156" s="631" t="s">
        <v>557</v>
      </c>
      <c r="C156" s="632" t="s">
        <v>571</v>
      </c>
      <c r="D156" s="633" t="s">
        <v>1457</v>
      </c>
      <c r="E156" s="632" t="s">
        <v>577</v>
      </c>
      <c r="F156" s="633" t="s">
        <v>1458</v>
      </c>
      <c r="G156" s="632" t="s">
        <v>578</v>
      </c>
      <c r="H156" s="632" t="s">
        <v>591</v>
      </c>
      <c r="I156" s="632" t="s">
        <v>592</v>
      </c>
      <c r="J156" s="632" t="s">
        <v>593</v>
      </c>
      <c r="K156" s="632" t="s">
        <v>594</v>
      </c>
      <c r="L156" s="634">
        <v>84.57</v>
      </c>
      <c r="M156" s="634">
        <v>2</v>
      </c>
      <c r="N156" s="635">
        <v>169.14</v>
      </c>
    </row>
    <row r="157" spans="1:14" ht="14.4" customHeight="1" x14ac:dyDescent="0.3">
      <c r="A157" s="630" t="s">
        <v>556</v>
      </c>
      <c r="B157" s="631" t="s">
        <v>557</v>
      </c>
      <c r="C157" s="632" t="s">
        <v>571</v>
      </c>
      <c r="D157" s="633" t="s">
        <v>1457</v>
      </c>
      <c r="E157" s="632" t="s">
        <v>577</v>
      </c>
      <c r="F157" s="633" t="s">
        <v>1458</v>
      </c>
      <c r="G157" s="632" t="s">
        <v>578</v>
      </c>
      <c r="H157" s="632" t="s">
        <v>595</v>
      </c>
      <c r="I157" s="632" t="s">
        <v>596</v>
      </c>
      <c r="J157" s="632" t="s">
        <v>597</v>
      </c>
      <c r="K157" s="632" t="s">
        <v>598</v>
      </c>
      <c r="L157" s="634">
        <v>99.147425541315982</v>
      </c>
      <c r="M157" s="634">
        <v>8</v>
      </c>
      <c r="N157" s="635">
        <v>793.17940433052786</v>
      </c>
    </row>
    <row r="158" spans="1:14" ht="14.4" customHeight="1" x14ac:dyDescent="0.3">
      <c r="A158" s="630" t="s">
        <v>556</v>
      </c>
      <c r="B158" s="631" t="s">
        <v>557</v>
      </c>
      <c r="C158" s="632" t="s">
        <v>571</v>
      </c>
      <c r="D158" s="633" t="s">
        <v>1457</v>
      </c>
      <c r="E158" s="632" t="s">
        <v>577</v>
      </c>
      <c r="F158" s="633" t="s">
        <v>1458</v>
      </c>
      <c r="G158" s="632" t="s">
        <v>578</v>
      </c>
      <c r="H158" s="632" t="s">
        <v>599</v>
      </c>
      <c r="I158" s="632" t="s">
        <v>600</v>
      </c>
      <c r="J158" s="632" t="s">
        <v>601</v>
      </c>
      <c r="K158" s="632" t="s">
        <v>602</v>
      </c>
      <c r="L158" s="634">
        <v>170.11875963517551</v>
      </c>
      <c r="M158" s="634">
        <v>2</v>
      </c>
      <c r="N158" s="635">
        <v>340.23751927035102</v>
      </c>
    </row>
    <row r="159" spans="1:14" ht="14.4" customHeight="1" x14ac:dyDescent="0.3">
      <c r="A159" s="630" t="s">
        <v>556</v>
      </c>
      <c r="B159" s="631" t="s">
        <v>557</v>
      </c>
      <c r="C159" s="632" t="s">
        <v>571</v>
      </c>
      <c r="D159" s="633" t="s">
        <v>1457</v>
      </c>
      <c r="E159" s="632" t="s">
        <v>577</v>
      </c>
      <c r="F159" s="633" t="s">
        <v>1458</v>
      </c>
      <c r="G159" s="632" t="s">
        <v>578</v>
      </c>
      <c r="H159" s="632" t="s">
        <v>603</v>
      </c>
      <c r="I159" s="632" t="s">
        <v>604</v>
      </c>
      <c r="J159" s="632" t="s">
        <v>605</v>
      </c>
      <c r="K159" s="632" t="s">
        <v>606</v>
      </c>
      <c r="L159" s="634">
        <v>66.732653169001125</v>
      </c>
      <c r="M159" s="634">
        <v>19</v>
      </c>
      <c r="N159" s="635">
        <v>1267.9204102110214</v>
      </c>
    </row>
    <row r="160" spans="1:14" ht="14.4" customHeight="1" x14ac:dyDescent="0.3">
      <c r="A160" s="630" t="s">
        <v>556</v>
      </c>
      <c r="B160" s="631" t="s">
        <v>557</v>
      </c>
      <c r="C160" s="632" t="s">
        <v>571</v>
      </c>
      <c r="D160" s="633" t="s">
        <v>1457</v>
      </c>
      <c r="E160" s="632" t="s">
        <v>577</v>
      </c>
      <c r="F160" s="633" t="s">
        <v>1458</v>
      </c>
      <c r="G160" s="632" t="s">
        <v>578</v>
      </c>
      <c r="H160" s="632" t="s">
        <v>607</v>
      </c>
      <c r="I160" s="632" t="s">
        <v>608</v>
      </c>
      <c r="J160" s="632" t="s">
        <v>609</v>
      </c>
      <c r="K160" s="632" t="s">
        <v>610</v>
      </c>
      <c r="L160" s="634">
        <v>77.299880529133546</v>
      </c>
      <c r="M160" s="634">
        <v>4</v>
      </c>
      <c r="N160" s="635">
        <v>309.19952211653418</v>
      </c>
    </row>
    <row r="161" spans="1:14" ht="14.4" customHeight="1" x14ac:dyDescent="0.3">
      <c r="A161" s="630" t="s">
        <v>556</v>
      </c>
      <c r="B161" s="631" t="s">
        <v>557</v>
      </c>
      <c r="C161" s="632" t="s">
        <v>571</v>
      </c>
      <c r="D161" s="633" t="s">
        <v>1457</v>
      </c>
      <c r="E161" s="632" t="s">
        <v>577</v>
      </c>
      <c r="F161" s="633" t="s">
        <v>1458</v>
      </c>
      <c r="G161" s="632" t="s">
        <v>578</v>
      </c>
      <c r="H161" s="632" t="s">
        <v>1086</v>
      </c>
      <c r="I161" s="632" t="s">
        <v>1087</v>
      </c>
      <c r="J161" s="632" t="s">
        <v>1088</v>
      </c>
      <c r="K161" s="632" t="s">
        <v>1089</v>
      </c>
      <c r="L161" s="634">
        <v>58.969999999999985</v>
      </c>
      <c r="M161" s="634">
        <v>1</v>
      </c>
      <c r="N161" s="635">
        <v>58.969999999999985</v>
      </c>
    </row>
    <row r="162" spans="1:14" ht="14.4" customHeight="1" x14ac:dyDescent="0.3">
      <c r="A162" s="630" t="s">
        <v>556</v>
      </c>
      <c r="B162" s="631" t="s">
        <v>557</v>
      </c>
      <c r="C162" s="632" t="s">
        <v>571</v>
      </c>
      <c r="D162" s="633" t="s">
        <v>1457</v>
      </c>
      <c r="E162" s="632" t="s">
        <v>577</v>
      </c>
      <c r="F162" s="633" t="s">
        <v>1458</v>
      </c>
      <c r="G162" s="632" t="s">
        <v>578</v>
      </c>
      <c r="H162" s="632" t="s">
        <v>1090</v>
      </c>
      <c r="I162" s="632" t="s">
        <v>1091</v>
      </c>
      <c r="J162" s="632" t="s">
        <v>1092</v>
      </c>
      <c r="K162" s="632" t="s">
        <v>1093</v>
      </c>
      <c r="L162" s="634">
        <v>56.179374999999993</v>
      </c>
      <c r="M162" s="634">
        <v>16</v>
      </c>
      <c r="N162" s="635">
        <v>898.86999999999989</v>
      </c>
    </row>
    <row r="163" spans="1:14" ht="14.4" customHeight="1" x14ac:dyDescent="0.3">
      <c r="A163" s="630" t="s">
        <v>556</v>
      </c>
      <c r="B163" s="631" t="s">
        <v>557</v>
      </c>
      <c r="C163" s="632" t="s">
        <v>571</v>
      </c>
      <c r="D163" s="633" t="s">
        <v>1457</v>
      </c>
      <c r="E163" s="632" t="s">
        <v>577</v>
      </c>
      <c r="F163" s="633" t="s">
        <v>1458</v>
      </c>
      <c r="G163" s="632" t="s">
        <v>578</v>
      </c>
      <c r="H163" s="632" t="s">
        <v>1094</v>
      </c>
      <c r="I163" s="632" t="s">
        <v>1095</v>
      </c>
      <c r="J163" s="632" t="s">
        <v>1096</v>
      </c>
      <c r="K163" s="632" t="s">
        <v>1097</v>
      </c>
      <c r="L163" s="634">
        <v>84.89</v>
      </c>
      <c r="M163" s="634">
        <v>2</v>
      </c>
      <c r="N163" s="635">
        <v>169.78</v>
      </c>
    </row>
    <row r="164" spans="1:14" ht="14.4" customHeight="1" x14ac:dyDescent="0.3">
      <c r="A164" s="630" t="s">
        <v>556</v>
      </c>
      <c r="B164" s="631" t="s">
        <v>557</v>
      </c>
      <c r="C164" s="632" t="s">
        <v>571</v>
      </c>
      <c r="D164" s="633" t="s">
        <v>1457</v>
      </c>
      <c r="E164" s="632" t="s">
        <v>577</v>
      </c>
      <c r="F164" s="633" t="s">
        <v>1458</v>
      </c>
      <c r="G164" s="632" t="s">
        <v>578</v>
      </c>
      <c r="H164" s="632" t="s">
        <v>611</v>
      </c>
      <c r="I164" s="632" t="s">
        <v>612</v>
      </c>
      <c r="J164" s="632" t="s">
        <v>613</v>
      </c>
      <c r="K164" s="632" t="s">
        <v>614</v>
      </c>
      <c r="L164" s="634">
        <v>28.577068807178883</v>
      </c>
      <c r="M164" s="634">
        <v>52</v>
      </c>
      <c r="N164" s="635">
        <v>1486.007577973302</v>
      </c>
    </row>
    <row r="165" spans="1:14" ht="14.4" customHeight="1" x14ac:dyDescent="0.3">
      <c r="A165" s="630" t="s">
        <v>556</v>
      </c>
      <c r="B165" s="631" t="s">
        <v>557</v>
      </c>
      <c r="C165" s="632" t="s">
        <v>571</v>
      </c>
      <c r="D165" s="633" t="s">
        <v>1457</v>
      </c>
      <c r="E165" s="632" t="s">
        <v>577</v>
      </c>
      <c r="F165" s="633" t="s">
        <v>1458</v>
      </c>
      <c r="G165" s="632" t="s">
        <v>578</v>
      </c>
      <c r="H165" s="632" t="s">
        <v>1098</v>
      </c>
      <c r="I165" s="632" t="s">
        <v>1099</v>
      </c>
      <c r="J165" s="632" t="s">
        <v>617</v>
      </c>
      <c r="K165" s="632" t="s">
        <v>1100</v>
      </c>
      <c r="L165" s="634">
        <v>42.07997298863026</v>
      </c>
      <c r="M165" s="634">
        <v>1</v>
      </c>
      <c r="N165" s="635">
        <v>42.07997298863026</v>
      </c>
    </row>
    <row r="166" spans="1:14" ht="14.4" customHeight="1" x14ac:dyDescent="0.3">
      <c r="A166" s="630" t="s">
        <v>556</v>
      </c>
      <c r="B166" s="631" t="s">
        <v>557</v>
      </c>
      <c r="C166" s="632" t="s">
        <v>571</v>
      </c>
      <c r="D166" s="633" t="s">
        <v>1457</v>
      </c>
      <c r="E166" s="632" t="s">
        <v>577</v>
      </c>
      <c r="F166" s="633" t="s">
        <v>1458</v>
      </c>
      <c r="G166" s="632" t="s">
        <v>578</v>
      </c>
      <c r="H166" s="632" t="s">
        <v>615</v>
      </c>
      <c r="I166" s="632" t="s">
        <v>616</v>
      </c>
      <c r="J166" s="632" t="s">
        <v>617</v>
      </c>
      <c r="K166" s="632" t="s">
        <v>618</v>
      </c>
      <c r="L166" s="634">
        <v>81.13000000000001</v>
      </c>
      <c r="M166" s="634">
        <v>1</v>
      </c>
      <c r="N166" s="635">
        <v>81.13000000000001</v>
      </c>
    </row>
    <row r="167" spans="1:14" ht="14.4" customHeight="1" x14ac:dyDescent="0.3">
      <c r="A167" s="630" t="s">
        <v>556</v>
      </c>
      <c r="B167" s="631" t="s">
        <v>557</v>
      </c>
      <c r="C167" s="632" t="s">
        <v>571</v>
      </c>
      <c r="D167" s="633" t="s">
        <v>1457</v>
      </c>
      <c r="E167" s="632" t="s">
        <v>577</v>
      </c>
      <c r="F167" s="633" t="s">
        <v>1458</v>
      </c>
      <c r="G167" s="632" t="s">
        <v>578</v>
      </c>
      <c r="H167" s="632" t="s">
        <v>1101</v>
      </c>
      <c r="I167" s="632" t="s">
        <v>1102</v>
      </c>
      <c r="J167" s="632" t="s">
        <v>1103</v>
      </c>
      <c r="K167" s="632" t="s">
        <v>1104</v>
      </c>
      <c r="L167" s="634">
        <v>55.404593720208062</v>
      </c>
      <c r="M167" s="634">
        <v>9</v>
      </c>
      <c r="N167" s="635">
        <v>498.64134348187258</v>
      </c>
    </row>
    <row r="168" spans="1:14" ht="14.4" customHeight="1" x14ac:dyDescent="0.3">
      <c r="A168" s="630" t="s">
        <v>556</v>
      </c>
      <c r="B168" s="631" t="s">
        <v>557</v>
      </c>
      <c r="C168" s="632" t="s">
        <v>571</v>
      </c>
      <c r="D168" s="633" t="s">
        <v>1457</v>
      </c>
      <c r="E168" s="632" t="s">
        <v>577</v>
      </c>
      <c r="F168" s="633" t="s">
        <v>1458</v>
      </c>
      <c r="G168" s="632" t="s">
        <v>578</v>
      </c>
      <c r="H168" s="632" t="s">
        <v>1105</v>
      </c>
      <c r="I168" s="632" t="s">
        <v>1106</v>
      </c>
      <c r="J168" s="632" t="s">
        <v>1107</v>
      </c>
      <c r="K168" s="632" t="s">
        <v>1093</v>
      </c>
      <c r="L168" s="634">
        <v>67.279999999999987</v>
      </c>
      <c r="M168" s="634">
        <v>2</v>
      </c>
      <c r="N168" s="635">
        <v>134.55999999999997</v>
      </c>
    </row>
    <row r="169" spans="1:14" ht="14.4" customHeight="1" x14ac:dyDescent="0.3">
      <c r="A169" s="630" t="s">
        <v>556</v>
      </c>
      <c r="B169" s="631" t="s">
        <v>557</v>
      </c>
      <c r="C169" s="632" t="s">
        <v>571</v>
      </c>
      <c r="D169" s="633" t="s">
        <v>1457</v>
      </c>
      <c r="E169" s="632" t="s">
        <v>577</v>
      </c>
      <c r="F169" s="633" t="s">
        <v>1458</v>
      </c>
      <c r="G169" s="632" t="s">
        <v>578</v>
      </c>
      <c r="H169" s="632" t="s">
        <v>1108</v>
      </c>
      <c r="I169" s="632" t="s">
        <v>1109</v>
      </c>
      <c r="J169" s="632" t="s">
        <v>1110</v>
      </c>
      <c r="K169" s="632" t="s">
        <v>1111</v>
      </c>
      <c r="L169" s="634">
        <v>59.20000000000001</v>
      </c>
      <c r="M169" s="634">
        <v>3</v>
      </c>
      <c r="N169" s="635">
        <v>177.60000000000002</v>
      </c>
    </row>
    <row r="170" spans="1:14" ht="14.4" customHeight="1" x14ac:dyDescent="0.3">
      <c r="A170" s="630" t="s">
        <v>556</v>
      </c>
      <c r="B170" s="631" t="s">
        <v>557</v>
      </c>
      <c r="C170" s="632" t="s">
        <v>571</v>
      </c>
      <c r="D170" s="633" t="s">
        <v>1457</v>
      </c>
      <c r="E170" s="632" t="s">
        <v>577</v>
      </c>
      <c r="F170" s="633" t="s">
        <v>1458</v>
      </c>
      <c r="G170" s="632" t="s">
        <v>578</v>
      </c>
      <c r="H170" s="632" t="s">
        <v>1112</v>
      </c>
      <c r="I170" s="632" t="s">
        <v>1113</v>
      </c>
      <c r="J170" s="632" t="s">
        <v>648</v>
      </c>
      <c r="K170" s="632" t="s">
        <v>1114</v>
      </c>
      <c r="L170" s="634">
        <v>60.35</v>
      </c>
      <c r="M170" s="634">
        <v>10</v>
      </c>
      <c r="N170" s="635">
        <v>603.5</v>
      </c>
    </row>
    <row r="171" spans="1:14" ht="14.4" customHeight="1" x14ac:dyDescent="0.3">
      <c r="A171" s="630" t="s">
        <v>556</v>
      </c>
      <c r="B171" s="631" t="s">
        <v>557</v>
      </c>
      <c r="C171" s="632" t="s">
        <v>571</v>
      </c>
      <c r="D171" s="633" t="s">
        <v>1457</v>
      </c>
      <c r="E171" s="632" t="s">
        <v>577</v>
      </c>
      <c r="F171" s="633" t="s">
        <v>1458</v>
      </c>
      <c r="G171" s="632" t="s">
        <v>578</v>
      </c>
      <c r="H171" s="632" t="s">
        <v>623</v>
      </c>
      <c r="I171" s="632" t="s">
        <v>624</v>
      </c>
      <c r="J171" s="632" t="s">
        <v>625</v>
      </c>
      <c r="K171" s="632" t="s">
        <v>626</v>
      </c>
      <c r="L171" s="634">
        <v>260</v>
      </c>
      <c r="M171" s="634">
        <v>43</v>
      </c>
      <c r="N171" s="635">
        <v>11180</v>
      </c>
    </row>
    <row r="172" spans="1:14" ht="14.4" customHeight="1" x14ac:dyDescent="0.3">
      <c r="A172" s="630" t="s">
        <v>556</v>
      </c>
      <c r="B172" s="631" t="s">
        <v>557</v>
      </c>
      <c r="C172" s="632" t="s">
        <v>571</v>
      </c>
      <c r="D172" s="633" t="s">
        <v>1457</v>
      </c>
      <c r="E172" s="632" t="s">
        <v>577</v>
      </c>
      <c r="F172" s="633" t="s">
        <v>1458</v>
      </c>
      <c r="G172" s="632" t="s">
        <v>578</v>
      </c>
      <c r="H172" s="632" t="s">
        <v>1115</v>
      </c>
      <c r="I172" s="632" t="s">
        <v>1116</v>
      </c>
      <c r="J172" s="632" t="s">
        <v>1117</v>
      </c>
      <c r="K172" s="632" t="s">
        <v>1118</v>
      </c>
      <c r="L172" s="634">
        <v>39.76</v>
      </c>
      <c r="M172" s="634">
        <v>1</v>
      </c>
      <c r="N172" s="635">
        <v>39.76</v>
      </c>
    </row>
    <row r="173" spans="1:14" ht="14.4" customHeight="1" x14ac:dyDescent="0.3">
      <c r="A173" s="630" t="s">
        <v>556</v>
      </c>
      <c r="B173" s="631" t="s">
        <v>557</v>
      </c>
      <c r="C173" s="632" t="s">
        <v>571</v>
      </c>
      <c r="D173" s="633" t="s">
        <v>1457</v>
      </c>
      <c r="E173" s="632" t="s">
        <v>577</v>
      </c>
      <c r="F173" s="633" t="s">
        <v>1458</v>
      </c>
      <c r="G173" s="632" t="s">
        <v>578</v>
      </c>
      <c r="H173" s="632" t="s">
        <v>631</v>
      </c>
      <c r="I173" s="632" t="s">
        <v>631</v>
      </c>
      <c r="J173" s="632" t="s">
        <v>632</v>
      </c>
      <c r="K173" s="632" t="s">
        <v>633</v>
      </c>
      <c r="L173" s="634">
        <v>38.258110950342036</v>
      </c>
      <c r="M173" s="634">
        <v>6</v>
      </c>
      <c r="N173" s="635">
        <v>229.54866570205223</v>
      </c>
    </row>
    <row r="174" spans="1:14" ht="14.4" customHeight="1" x14ac:dyDescent="0.3">
      <c r="A174" s="630" t="s">
        <v>556</v>
      </c>
      <c r="B174" s="631" t="s">
        <v>557</v>
      </c>
      <c r="C174" s="632" t="s">
        <v>571</v>
      </c>
      <c r="D174" s="633" t="s">
        <v>1457</v>
      </c>
      <c r="E174" s="632" t="s">
        <v>577</v>
      </c>
      <c r="F174" s="633" t="s">
        <v>1458</v>
      </c>
      <c r="G174" s="632" t="s">
        <v>578</v>
      </c>
      <c r="H174" s="632" t="s">
        <v>1119</v>
      </c>
      <c r="I174" s="632" t="s">
        <v>1120</v>
      </c>
      <c r="J174" s="632" t="s">
        <v>636</v>
      </c>
      <c r="K174" s="632" t="s">
        <v>1121</v>
      </c>
      <c r="L174" s="634">
        <v>236.9031594833119</v>
      </c>
      <c r="M174" s="634">
        <v>3</v>
      </c>
      <c r="N174" s="635">
        <v>710.70947844993566</v>
      </c>
    </row>
    <row r="175" spans="1:14" ht="14.4" customHeight="1" x14ac:dyDescent="0.3">
      <c r="A175" s="630" t="s">
        <v>556</v>
      </c>
      <c r="B175" s="631" t="s">
        <v>557</v>
      </c>
      <c r="C175" s="632" t="s">
        <v>571</v>
      </c>
      <c r="D175" s="633" t="s">
        <v>1457</v>
      </c>
      <c r="E175" s="632" t="s">
        <v>577</v>
      </c>
      <c r="F175" s="633" t="s">
        <v>1458</v>
      </c>
      <c r="G175" s="632" t="s">
        <v>578</v>
      </c>
      <c r="H175" s="632" t="s">
        <v>638</v>
      </c>
      <c r="I175" s="632" t="s">
        <v>639</v>
      </c>
      <c r="J175" s="632" t="s">
        <v>640</v>
      </c>
      <c r="K175" s="632" t="s">
        <v>641</v>
      </c>
      <c r="L175" s="634">
        <v>164.87763842116999</v>
      </c>
      <c r="M175" s="634">
        <v>1</v>
      </c>
      <c r="N175" s="635">
        <v>164.87763842116999</v>
      </c>
    </row>
    <row r="176" spans="1:14" ht="14.4" customHeight="1" x14ac:dyDescent="0.3">
      <c r="A176" s="630" t="s">
        <v>556</v>
      </c>
      <c r="B176" s="631" t="s">
        <v>557</v>
      </c>
      <c r="C176" s="632" t="s">
        <v>571</v>
      </c>
      <c r="D176" s="633" t="s">
        <v>1457</v>
      </c>
      <c r="E176" s="632" t="s">
        <v>577</v>
      </c>
      <c r="F176" s="633" t="s">
        <v>1458</v>
      </c>
      <c r="G176" s="632" t="s">
        <v>578</v>
      </c>
      <c r="H176" s="632" t="s">
        <v>1122</v>
      </c>
      <c r="I176" s="632" t="s">
        <v>1123</v>
      </c>
      <c r="J176" s="632" t="s">
        <v>1124</v>
      </c>
      <c r="K176" s="632" t="s">
        <v>1125</v>
      </c>
      <c r="L176" s="634">
        <v>117.69979608878501</v>
      </c>
      <c r="M176" s="634">
        <v>1</v>
      </c>
      <c r="N176" s="635">
        <v>117.69979608878501</v>
      </c>
    </row>
    <row r="177" spans="1:14" ht="14.4" customHeight="1" x14ac:dyDescent="0.3">
      <c r="A177" s="630" t="s">
        <v>556</v>
      </c>
      <c r="B177" s="631" t="s">
        <v>557</v>
      </c>
      <c r="C177" s="632" t="s">
        <v>571</v>
      </c>
      <c r="D177" s="633" t="s">
        <v>1457</v>
      </c>
      <c r="E177" s="632" t="s">
        <v>577</v>
      </c>
      <c r="F177" s="633" t="s">
        <v>1458</v>
      </c>
      <c r="G177" s="632" t="s">
        <v>578</v>
      </c>
      <c r="H177" s="632" t="s">
        <v>642</v>
      </c>
      <c r="I177" s="632" t="s">
        <v>643</v>
      </c>
      <c r="J177" s="632" t="s">
        <v>644</v>
      </c>
      <c r="K177" s="632" t="s">
        <v>645</v>
      </c>
      <c r="L177" s="634">
        <v>339.62</v>
      </c>
      <c r="M177" s="634">
        <v>2</v>
      </c>
      <c r="N177" s="635">
        <v>679.24</v>
      </c>
    </row>
    <row r="178" spans="1:14" ht="14.4" customHeight="1" x14ac:dyDescent="0.3">
      <c r="A178" s="630" t="s">
        <v>556</v>
      </c>
      <c r="B178" s="631" t="s">
        <v>557</v>
      </c>
      <c r="C178" s="632" t="s">
        <v>571</v>
      </c>
      <c r="D178" s="633" t="s">
        <v>1457</v>
      </c>
      <c r="E178" s="632" t="s">
        <v>577</v>
      </c>
      <c r="F178" s="633" t="s">
        <v>1458</v>
      </c>
      <c r="G178" s="632" t="s">
        <v>578</v>
      </c>
      <c r="H178" s="632" t="s">
        <v>1126</v>
      </c>
      <c r="I178" s="632" t="s">
        <v>1127</v>
      </c>
      <c r="J178" s="632" t="s">
        <v>1128</v>
      </c>
      <c r="K178" s="632" t="s">
        <v>1129</v>
      </c>
      <c r="L178" s="634">
        <v>76.919941306737144</v>
      </c>
      <c r="M178" s="634">
        <v>2</v>
      </c>
      <c r="N178" s="635">
        <v>153.83988261347429</v>
      </c>
    </row>
    <row r="179" spans="1:14" ht="14.4" customHeight="1" x14ac:dyDescent="0.3">
      <c r="A179" s="630" t="s">
        <v>556</v>
      </c>
      <c r="B179" s="631" t="s">
        <v>557</v>
      </c>
      <c r="C179" s="632" t="s">
        <v>571</v>
      </c>
      <c r="D179" s="633" t="s">
        <v>1457</v>
      </c>
      <c r="E179" s="632" t="s">
        <v>577</v>
      </c>
      <c r="F179" s="633" t="s">
        <v>1458</v>
      </c>
      <c r="G179" s="632" t="s">
        <v>578</v>
      </c>
      <c r="H179" s="632" t="s">
        <v>646</v>
      </c>
      <c r="I179" s="632" t="s">
        <v>647</v>
      </c>
      <c r="J179" s="632" t="s">
        <v>648</v>
      </c>
      <c r="K179" s="632" t="s">
        <v>649</v>
      </c>
      <c r="L179" s="634">
        <v>22.48</v>
      </c>
      <c r="M179" s="634">
        <v>8</v>
      </c>
      <c r="N179" s="635">
        <v>179.84</v>
      </c>
    </row>
    <row r="180" spans="1:14" ht="14.4" customHeight="1" x14ac:dyDescent="0.3">
      <c r="A180" s="630" t="s">
        <v>556</v>
      </c>
      <c r="B180" s="631" t="s">
        <v>557</v>
      </c>
      <c r="C180" s="632" t="s">
        <v>571</v>
      </c>
      <c r="D180" s="633" t="s">
        <v>1457</v>
      </c>
      <c r="E180" s="632" t="s">
        <v>577</v>
      </c>
      <c r="F180" s="633" t="s">
        <v>1458</v>
      </c>
      <c r="G180" s="632" t="s">
        <v>578</v>
      </c>
      <c r="H180" s="632" t="s">
        <v>1130</v>
      </c>
      <c r="I180" s="632" t="s">
        <v>1131</v>
      </c>
      <c r="J180" s="632" t="s">
        <v>1132</v>
      </c>
      <c r="K180" s="632" t="s">
        <v>1133</v>
      </c>
      <c r="L180" s="634">
        <v>100.12</v>
      </c>
      <c r="M180" s="634">
        <v>2</v>
      </c>
      <c r="N180" s="635">
        <v>200.24</v>
      </c>
    </row>
    <row r="181" spans="1:14" ht="14.4" customHeight="1" x14ac:dyDescent="0.3">
      <c r="A181" s="630" t="s">
        <v>556</v>
      </c>
      <c r="B181" s="631" t="s">
        <v>557</v>
      </c>
      <c r="C181" s="632" t="s">
        <v>571</v>
      </c>
      <c r="D181" s="633" t="s">
        <v>1457</v>
      </c>
      <c r="E181" s="632" t="s">
        <v>577</v>
      </c>
      <c r="F181" s="633" t="s">
        <v>1458</v>
      </c>
      <c r="G181" s="632" t="s">
        <v>578</v>
      </c>
      <c r="H181" s="632" t="s">
        <v>1134</v>
      </c>
      <c r="I181" s="632" t="s">
        <v>1135</v>
      </c>
      <c r="J181" s="632" t="s">
        <v>1136</v>
      </c>
      <c r="K181" s="632" t="s">
        <v>1137</v>
      </c>
      <c r="L181" s="634">
        <v>161.82</v>
      </c>
      <c r="M181" s="634">
        <v>1</v>
      </c>
      <c r="N181" s="635">
        <v>161.82</v>
      </c>
    </row>
    <row r="182" spans="1:14" ht="14.4" customHeight="1" x14ac:dyDescent="0.3">
      <c r="A182" s="630" t="s">
        <v>556</v>
      </c>
      <c r="B182" s="631" t="s">
        <v>557</v>
      </c>
      <c r="C182" s="632" t="s">
        <v>571</v>
      </c>
      <c r="D182" s="633" t="s">
        <v>1457</v>
      </c>
      <c r="E182" s="632" t="s">
        <v>577</v>
      </c>
      <c r="F182" s="633" t="s">
        <v>1458</v>
      </c>
      <c r="G182" s="632" t="s">
        <v>578</v>
      </c>
      <c r="H182" s="632" t="s">
        <v>1138</v>
      </c>
      <c r="I182" s="632" t="s">
        <v>1139</v>
      </c>
      <c r="J182" s="632" t="s">
        <v>1140</v>
      </c>
      <c r="K182" s="632" t="s">
        <v>1141</v>
      </c>
      <c r="L182" s="634">
        <v>69.700286955225593</v>
      </c>
      <c r="M182" s="634">
        <v>2</v>
      </c>
      <c r="N182" s="635">
        <v>139.40057391045119</v>
      </c>
    </row>
    <row r="183" spans="1:14" ht="14.4" customHeight="1" x14ac:dyDescent="0.3">
      <c r="A183" s="630" t="s">
        <v>556</v>
      </c>
      <c r="B183" s="631" t="s">
        <v>557</v>
      </c>
      <c r="C183" s="632" t="s">
        <v>571</v>
      </c>
      <c r="D183" s="633" t="s">
        <v>1457</v>
      </c>
      <c r="E183" s="632" t="s">
        <v>577</v>
      </c>
      <c r="F183" s="633" t="s">
        <v>1458</v>
      </c>
      <c r="G183" s="632" t="s">
        <v>578</v>
      </c>
      <c r="H183" s="632" t="s">
        <v>1142</v>
      </c>
      <c r="I183" s="632" t="s">
        <v>1143</v>
      </c>
      <c r="J183" s="632" t="s">
        <v>1144</v>
      </c>
      <c r="K183" s="632" t="s">
        <v>1145</v>
      </c>
      <c r="L183" s="634">
        <v>100.50991293493549</v>
      </c>
      <c r="M183" s="634">
        <v>4</v>
      </c>
      <c r="N183" s="635">
        <v>402.03965173974194</v>
      </c>
    </row>
    <row r="184" spans="1:14" ht="14.4" customHeight="1" x14ac:dyDescent="0.3">
      <c r="A184" s="630" t="s">
        <v>556</v>
      </c>
      <c r="B184" s="631" t="s">
        <v>557</v>
      </c>
      <c r="C184" s="632" t="s">
        <v>571</v>
      </c>
      <c r="D184" s="633" t="s">
        <v>1457</v>
      </c>
      <c r="E184" s="632" t="s">
        <v>577</v>
      </c>
      <c r="F184" s="633" t="s">
        <v>1458</v>
      </c>
      <c r="G184" s="632" t="s">
        <v>578</v>
      </c>
      <c r="H184" s="632" t="s">
        <v>1146</v>
      </c>
      <c r="I184" s="632" t="s">
        <v>1147</v>
      </c>
      <c r="J184" s="632" t="s">
        <v>1148</v>
      </c>
      <c r="K184" s="632" t="s">
        <v>1149</v>
      </c>
      <c r="L184" s="634">
        <v>167.82737172313696</v>
      </c>
      <c r="M184" s="634">
        <v>32</v>
      </c>
      <c r="N184" s="635">
        <v>5370.4758951403828</v>
      </c>
    </row>
    <row r="185" spans="1:14" ht="14.4" customHeight="1" x14ac:dyDescent="0.3">
      <c r="A185" s="630" t="s">
        <v>556</v>
      </c>
      <c r="B185" s="631" t="s">
        <v>557</v>
      </c>
      <c r="C185" s="632" t="s">
        <v>571</v>
      </c>
      <c r="D185" s="633" t="s">
        <v>1457</v>
      </c>
      <c r="E185" s="632" t="s">
        <v>577</v>
      </c>
      <c r="F185" s="633" t="s">
        <v>1458</v>
      </c>
      <c r="G185" s="632" t="s">
        <v>578</v>
      </c>
      <c r="H185" s="632" t="s">
        <v>1150</v>
      </c>
      <c r="I185" s="632" t="s">
        <v>1151</v>
      </c>
      <c r="J185" s="632" t="s">
        <v>1152</v>
      </c>
      <c r="K185" s="632" t="s">
        <v>1153</v>
      </c>
      <c r="L185" s="634">
        <v>22.25</v>
      </c>
      <c r="M185" s="634">
        <v>1</v>
      </c>
      <c r="N185" s="635">
        <v>22.25</v>
      </c>
    </row>
    <row r="186" spans="1:14" ht="14.4" customHeight="1" x14ac:dyDescent="0.3">
      <c r="A186" s="630" t="s">
        <v>556</v>
      </c>
      <c r="B186" s="631" t="s">
        <v>557</v>
      </c>
      <c r="C186" s="632" t="s">
        <v>571</v>
      </c>
      <c r="D186" s="633" t="s">
        <v>1457</v>
      </c>
      <c r="E186" s="632" t="s">
        <v>577</v>
      </c>
      <c r="F186" s="633" t="s">
        <v>1458</v>
      </c>
      <c r="G186" s="632" t="s">
        <v>578</v>
      </c>
      <c r="H186" s="632" t="s">
        <v>1154</v>
      </c>
      <c r="I186" s="632" t="s">
        <v>1155</v>
      </c>
      <c r="J186" s="632" t="s">
        <v>672</v>
      </c>
      <c r="K186" s="632" t="s">
        <v>1156</v>
      </c>
      <c r="L186" s="634">
        <v>122.35333299659067</v>
      </c>
      <c r="M186" s="634">
        <v>3</v>
      </c>
      <c r="N186" s="635">
        <v>367.059998989772</v>
      </c>
    </row>
    <row r="187" spans="1:14" ht="14.4" customHeight="1" x14ac:dyDescent="0.3">
      <c r="A187" s="630" t="s">
        <v>556</v>
      </c>
      <c r="B187" s="631" t="s">
        <v>557</v>
      </c>
      <c r="C187" s="632" t="s">
        <v>571</v>
      </c>
      <c r="D187" s="633" t="s">
        <v>1457</v>
      </c>
      <c r="E187" s="632" t="s">
        <v>577</v>
      </c>
      <c r="F187" s="633" t="s">
        <v>1458</v>
      </c>
      <c r="G187" s="632" t="s">
        <v>578</v>
      </c>
      <c r="H187" s="632" t="s">
        <v>670</v>
      </c>
      <c r="I187" s="632" t="s">
        <v>671</v>
      </c>
      <c r="J187" s="632" t="s">
        <v>672</v>
      </c>
      <c r="K187" s="632" t="s">
        <v>673</v>
      </c>
      <c r="L187" s="634">
        <v>136.114</v>
      </c>
      <c r="M187" s="634">
        <v>2</v>
      </c>
      <c r="N187" s="635">
        <v>272.22800000000001</v>
      </c>
    </row>
    <row r="188" spans="1:14" ht="14.4" customHeight="1" x14ac:dyDescent="0.3">
      <c r="A188" s="630" t="s">
        <v>556</v>
      </c>
      <c r="B188" s="631" t="s">
        <v>557</v>
      </c>
      <c r="C188" s="632" t="s">
        <v>571</v>
      </c>
      <c r="D188" s="633" t="s">
        <v>1457</v>
      </c>
      <c r="E188" s="632" t="s">
        <v>577</v>
      </c>
      <c r="F188" s="633" t="s">
        <v>1458</v>
      </c>
      <c r="G188" s="632" t="s">
        <v>578</v>
      </c>
      <c r="H188" s="632" t="s">
        <v>674</v>
      </c>
      <c r="I188" s="632" t="s">
        <v>675</v>
      </c>
      <c r="J188" s="632" t="s">
        <v>676</v>
      </c>
      <c r="K188" s="632" t="s">
        <v>677</v>
      </c>
      <c r="L188" s="634">
        <v>71.21999999999997</v>
      </c>
      <c r="M188" s="634">
        <v>1</v>
      </c>
      <c r="N188" s="635">
        <v>71.21999999999997</v>
      </c>
    </row>
    <row r="189" spans="1:14" ht="14.4" customHeight="1" x14ac:dyDescent="0.3">
      <c r="A189" s="630" t="s">
        <v>556</v>
      </c>
      <c r="B189" s="631" t="s">
        <v>557</v>
      </c>
      <c r="C189" s="632" t="s">
        <v>571</v>
      </c>
      <c r="D189" s="633" t="s">
        <v>1457</v>
      </c>
      <c r="E189" s="632" t="s">
        <v>577</v>
      </c>
      <c r="F189" s="633" t="s">
        <v>1458</v>
      </c>
      <c r="G189" s="632" t="s">
        <v>578</v>
      </c>
      <c r="H189" s="632" t="s">
        <v>682</v>
      </c>
      <c r="I189" s="632" t="s">
        <v>683</v>
      </c>
      <c r="J189" s="632" t="s">
        <v>621</v>
      </c>
      <c r="K189" s="632" t="s">
        <v>684</v>
      </c>
      <c r="L189" s="634">
        <v>46.671461462862631</v>
      </c>
      <c r="M189" s="634">
        <v>7</v>
      </c>
      <c r="N189" s="635">
        <v>326.70023024003842</v>
      </c>
    </row>
    <row r="190" spans="1:14" ht="14.4" customHeight="1" x14ac:dyDescent="0.3">
      <c r="A190" s="630" t="s">
        <v>556</v>
      </c>
      <c r="B190" s="631" t="s">
        <v>557</v>
      </c>
      <c r="C190" s="632" t="s">
        <v>571</v>
      </c>
      <c r="D190" s="633" t="s">
        <v>1457</v>
      </c>
      <c r="E190" s="632" t="s">
        <v>577</v>
      </c>
      <c r="F190" s="633" t="s">
        <v>1458</v>
      </c>
      <c r="G190" s="632" t="s">
        <v>578</v>
      </c>
      <c r="H190" s="632" t="s">
        <v>685</v>
      </c>
      <c r="I190" s="632" t="s">
        <v>685</v>
      </c>
      <c r="J190" s="632" t="s">
        <v>686</v>
      </c>
      <c r="K190" s="632" t="s">
        <v>687</v>
      </c>
      <c r="L190" s="634">
        <v>106.65016789082141</v>
      </c>
      <c r="M190" s="634">
        <v>1</v>
      </c>
      <c r="N190" s="635">
        <v>106.65016789082141</v>
      </c>
    </row>
    <row r="191" spans="1:14" ht="14.4" customHeight="1" x14ac:dyDescent="0.3">
      <c r="A191" s="630" t="s">
        <v>556</v>
      </c>
      <c r="B191" s="631" t="s">
        <v>557</v>
      </c>
      <c r="C191" s="632" t="s">
        <v>571</v>
      </c>
      <c r="D191" s="633" t="s">
        <v>1457</v>
      </c>
      <c r="E191" s="632" t="s">
        <v>577</v>
      </c>
      <c r="F191" s="633" t="s">
        <v>1458</v>
      </c>
      <c r="G191" s="632" t="s">
        <v>578</v>
      </c>
      <c r="H191" s="632" t="s">
        <v>1157</v>
      </c>
      <c r="I191" s="632" t="s">
        <v>1158</v>
      </c>
      <c r="J191" s="632" t="s">
        <v>690</v>
      </c>
      <c r="K191" s="632" t="s">
        <v>1159</v>
      </c>
      <c r="L191" s="634">
        <v>292.46977398677677</v>
      </c>
      <c r="M191" s="634">
        <v>4</v>
      </c>
      <c r="N191" s="635">
        <v>1169.8790959471071</v>
      </c>
    </row>
    <row r="192" spans="1:14" ht="14.4" customHeight="1" x14ac:dyDescent="0.3">
      <c r="A192" s="630" t="s">
        <v>556</v>
      </c>
      <c r="B192" s="631" t="s">
        <v>557</v>
      </c>
      <c r="C192" s="632" t="s">
        <v>571</v>
      </c>
      <c r="D192" s="633" t="s">
        <v>1457</v>
      </c>
      <c r="E192" s="632" t="s">
        <v>577</v>
      </c>
      <c r="F192" s="633" t="s">
        <v>1458</v>
      </c>
      <c r="G192" s="632" t="s">
        <v>578</v>
      </c>
      <c r="H192" s="632" t="s">
        <v>696</v>
      </c>
      <c r="I192" s="632" t="s">
        <v>697</v>
      </c>
      <c r="J192" s="632" t="s">
        <v>698</v>
      </c>
      <c r="K192" s="632" t="s">
        <v>699</v>
      </c>
      <c r="L192" s="634">
        <v>57.009856040508936</v>
      </c>
      <c r="M192" s="634">
        <v>2</v>
      </c>
      <c r="N192" s="635">
        <v>114.01971208101787</v>
      </c>
    </row>
    <row r="193" spans="1:14" ht="14.4" customHeight="1" x14ac:dyDescent="0.3">
      <c r="A193" s="630" t="s">
        <v>556</v>
      </c>
      <c r="B193" s="631" t="s">
        <v>557</v>
      </c>
      <c r="C193" s="632" t="s">
        <v>571</v>
      </c>
      <c r="D193" s="633" t="s">
        <v>1457</v>
      </c>
      <c r="E193" s="632" t="s">
        <v>577</v>
      </c>
      <c r="F193" s="633" t="s">
        <v>1458</v>
      </c>
      <c r="G193" s="632" t="s">
        <v>578</v>
      </c>
      <c r="H193" s="632" t="s">
        <v>1160</v>
      </c>
      <c r="I193" s="632" t="s">
        <v>1161</v>
      </c>
      <c r="J193" s="632" t="s">
        <v>1162</v>
      </c>
      <c r="K193" s="632" t="s">
        <v>1163</v>
      </c>
      <c r="L193" s="634">
        <v>231.44955344909897</v>
      </c>
      <c r="M193" s="634">
        <v>3</v>
      </c>
      <c r="N193" s="635">
        <v>694.34866034729691</v>
      </c>
    </row>
    <row r="194" spans="1:14" ht="14.4" customHeight="1" x14ac:dyDescent="0.3">
      <c r="A194" s="630" t="s">
        <v>556</v>
      </c>
      <c r="B194" s="631" t="s">
        <v>557</v>
      </c>
      <c r="C194" s="632" t="s">
        <v>571</v>
      </c>
      <c r="D194" s="633" t="s">
        <v>1457</v>
      </c>
      <c r="E194" s="632" t="s">
        <v>577</v>
      </c>
      <c r="F194" s="633" t="s">
        <v>1458</v>
      </c>
      <c r="G194" s="632" t="s">
        <v>578</v>
      </c>
      <c r="H194" s="632" t="s">
        <v>1164</v>
      </c>
      <c r="I194" s="632" t="s">
        <v>238</v>
      </c>
      <c r="J194" s="632" t="s">
        <v>1165</v>
      </c>
      <c r="K194" s="632"/>
      <c r="L194" s="634">
        <v>639.01</v>
      </c>
      <c r="M194" s="634">
        <v>2</v>
      </c>
      <c r="N194" s="635">
        <v>1278.02</v>
      </c>
    </row>
    <row r="195" spans="1:14" ht="14.4" customHeight="1" x14ac:dyDescent="0.3">
      <c r="A195" s="630" t="s">
        <v>556</v>
      </c>
      <c r="B195" s="631" t="s">
        <v>557</v>
      </c>
      <c r="C195" s="632" t="s">
        <v>571</v>
      </c>
      <c r="D195" s="633" t="s">
        <v>1457</v>
      </c>
      <c r="E195" s="632" t="s">
        <v>577</v>
      </c>
      <c r="F195" s="633" t="s">
        <v>1458</v>
      </c>
      <c r="G195" s="632" t="s">
        <v>578</v>
      </c>
      <c r="H195" s="632" t="s">
        <v>1166</v>
      </c>
      <c r="I195" s="632" t="s">
        <v>1167</v>
      </c>
      <c r="J195" s="632" t="s">
        <v>1168</v>
      </c>
      <c r="K195" s="632" t="s">
        <v>1169</v>
      </c>
      <c r="L195" s="634">
        <v>140.28</v>
      </c>
      <c r="M195" s="634">
        <v>2</v>
      </c>
      <c r="N195" s="635">
        <v>280.56</v>
      </c>
    </row>
    <row r="196" spans="1:14" ht="14.4" customHeight="1" x14ac:dyDescent="0.3">
      <c r="A196" s="630" t="s">
        <v>556</v>
      </c>
      <c r="B196" s="631" t="s">
        <v>557</v>
      </c>
      <c r="C196" s="632" t="s">
        <v>571</v>
      </c>
      <c r="D196" s="633" t="s">
        <v>1457</v>
      </c>
      <c r="E196" s="632" t="s">
        <v>577</v>
      </c>
      <c r="F196" s="633" t="s">
        <v>1458</v>
      </c>
      <c r="G196" s="632" t="s">
        <v>578</v>
      </c>
      <c r="H196" s="632" t="s">
        <v>704</v>
      </c>
      <c r="I196" s="632" t="s">
        <v>238</v>
      </c>
      <c r="J196" s="632" t="s">
        <v>705</v>
      </c>
      <c r="K196" s="632"/>
      <c r="L196" s="634">
        <v>97.320303978664171</v>
      </c>
      <c r="M196" s="634">
        <v>12</v>
      </c>
      <c r="N196" s="635">
        <v>1167.84364774397</v>
      </c>
    </row>
    <row r="197" spans="1:14" ht="14.4" customHeight="1" x14ac:dyDescent="0.3">
      <c r="A197" s="630" t="s">
        <v>556</v>
      </c>
      <c r="B197" s="631" t="s">
        <v>557</v>
      </c>
      <c r="C197" s="632" t="s">
        <v>571</v>
      </c>
      <c r="D197" s="633" t="s">
        <v>1457</v>
      </c>
      <c r="E197" s="632" t="s">
        <v>577</v>
      </c>
      <c r="F197" s="633" t="s">
        <v>1458</v>
      </c>
      <c r="G197" s="632" t="s">
        <v>578</v>
      </c>
      <c r="H197" s="632" t="s">
        <v>706</v>
      </c>
      <c r="I197" s="632" t="s">
        <v>238</v>
      </c>
      <c r="J197" s="632" t="s">
        <v>707</v>
      </c>
      <c r="K197" s="632"/>
      <c r="L197" s="634">
        <v>100.68000000000002</v>
      </c>
      <c r="M197" s="634">
        <v>10</v>
      </c>
      <c r="N197" s="635">
        <v>1006.8000000000002</v>
      </c>
    </row>
    <row r="198" spans="1:14" ht="14.4" customHeight="1" x14ac:dyDescent="0.3">
      <c r="A198" s="630" t="s">
        <v>556</v>
      </c>
      <c r="B198" s="631" t="s">
        <v>557</v>
      </c>
      <c r="C198" s="632" t="s">
        <v>571</v>
      </c>
      <c r="D198" s="633" t="s">
        <v>1457</v>
      </c>
      <c r="E198" s="632" t="s">
        <v>577</v>
      </c>
      <c r="F198" s="633" t="s">
        <v>1458</v>
      </c>
      <c r="G198" s="632" t="s">
        <v>578</v>
      </c>
      <c r="H198" s="632" t="s">
        <v>1170</v>
      </c>
      <c r="I198" s="632" t="s">
        <v>1171</v>
      </c>
      <c r="J198" s="632" t="s">
        <v>1172</v>
      </c>
      <c r="K198" s="632" t="s">
        <v>1173</v>
      </c>
      <c r="L198" s="634">
        <v>70.61999999999999</v>
      </c>
      <c r="M198" s="634">
        <v>1</v>
      </c>
      <c r="N198" s="635">
        <v>70.61999999999999</v>
      </c>
    </row>
    <row r="199" spans="1:14" ht="14.4" customHeight="1" x14ac:dyDescent="0.3">
      <c r="A199" s="630" t="s">
        <v>556</v>
      </c>
      <c r="B199" s="631" t="s">
        <v>557</v>
      </c>
      <c r="C199" s="632" t="s">
        <v>571</v>
      </c>
      <c r="D199" s="633" t="s">
        <v>1457</v>
      </c>
      <c r="E199" s="632" t="s">
        <v>577</v>
      </c>
      <c r="F199" s="633" t="s">
        <v>1458</v>
      </c>
      <c r="G199" s="632" t="s">
        <v>578</v>
      </c>
      <c r="H199" s="632" t="s">
        <v>1174</v>
      </c>
      <c r="I199" s="632" t="s">
        <v>1175</v>
      </c>
      <c r="J199" s="632" t="s">
        <v>1176</v>
      </c>
      <c r="K199" s="632" t="s">
        <v>1177</v>
      </c>
      <c r="L199" s="634">
        <v>95.7</v>
      </c>
      <c r="M199" s="634">
        <v>1</v>
      </c>
      <c r="N199" s="635">
        <v>95.7</v>
      </c>
    </row>
    <row r="200" spans="1:14" ht="14.4" customHeight="1" x14ac:dyDescent="0.3">
      <c r="A200" s="630" t="s">
        <v>556</v>
      </c>
      <c r="B200" s="631" t="s">
        <v>557</v>
      </c>
      <c r="C200" s="632" t="s">
        <v>571</v>
      </c>
      <c r="D200" s="633" t="s">
        <v>1457</v>
      </c>
      <c r="E200" s="632" t="s">
        <v>577</v>
      </c>
      <c r="F200" s="633" t="s">
        <v>1458</v>
      </c>
      <c r="G200" s="632" t="s">
        <v>578</v>
      </c>
      <c r="H200" s="632" t="s">
        <v>1178</v>
      </c>
      <c r="I200" s="632" t="s">
        <v>238</v>
      </c>
      <c r="J200" s="632" t="s">
        <v>1179</v>
      </c>
      <c r="K200" s="632" t="s">
        <v>1180</v>
      </c>
      <c r="L200" s="634">
        <v>1440.1200000000001</v>
      </c>
      <c r="M200" s="634">
        <v>1</v>
      </c>
      <c r="N200" s="635">
        <v>1440.1200000000001</v>
      </c>
    </row>
    <row r="201" spans="1:14" ht="14.4" customHeight="1" x14ac:dyDescent="0.3">
      <c r="A201" s="630" t="s">
        <v>556</v>
      </c>
      <c r="B201" s="631" t="s">
        <v>557</v>
      </c>
      <c r="C201" s="632" t="s">
        <v>571</v>
      </c>
      <c r="D201" s="633" t="s">
        <v>1457</v>
      </c>
      <c r="E201" s="632" t="s">
        <v>577</v>
      </c>
      <c r="F201" s="633" t="s">
        <v>1458</v>
      </c>
      <c r="G201" s="632" t="s">
        <v>578</v>
      </c>
      <c r="H201" s="632" t="s">
        <v>714</v>
      </c>
      <c r="I201" s="632" t="s">
        <v>715</v>
      </c>
      <c r="J201" s="632" t="s">
        <v>716</v>
      </c>
      <c r="K201" s="632" t="s">
        <v>717</v>
      </c>
      <c r="L201" s="634">
        <v>64.361249999999998</v>
      </c>
      <c r="M201" s="634">
        <v>8</v>
      </c>
      <c r="N201" s="635">
        <v>514.89</v>
      </c>
    </row>
    <row r="202" spans="1:14" ht="14.4" customHeight="1" x14ac:dyDescent="0.3">
      <c r="A202" s="630" t="s">
        <v>556</v>
      </c>
      <c r="B202" s="631" t="s">
        <v>557</v>
      </c>
      <c r="C202" s="632" t="s">
        <v>571</v>
      </c>
      <c r="D202" s="633" t="s">
        <v>1457</v>
      </c>
      <c r="E202" s="632" t="s">
        <v>577</v>
      </c>
      <c r="F202" s="633" t="s">
        <v>1458</v>
      </c>
      <c r="G202" s="632" t="s">
        <v>578</v>
      </c>
      <c r="H202" s="632" t="s">
        <v>1181</v>
      </c>
      <c r="I202" s="632" t="s">
        <v>1182</v>
      </c>
      <c r="J202" s="632" t="s">
        <v>1183</v>
      </c>
      <c r="K202" s="632" t="s">
        <v>1184</v>
      </c>
      <c r="L202" s="634">
        <v>42.42</v>
      </c>
      <c r="M202" s="634">
        <v>4</v>
      </c>
      <c r="N202" s="635">
        <v>169.68</v>
      </c>
    </row>
    <row r="203" spans="1:14" ht="14.4" customHeight="1" x14ac:dyDescent="0.3">
      <c r="A203" s="630" t="s">
        <v>556</v>
      </c>
      <c r="B203" s="631" t="s">
        <v>557</v>
      </c>
      <c r="C203" s="632" t="s">
        <v>571</v>
      </c>
      <c r="D203" s="633" t="s">
        <v>1457</v>
      </c>
      <c r="E203" s="632" t="s">
        <v>577</v>
      </c>
      <c r="F203" s="633" t="s">
        <v>1458</v>
      </c>
      <c r="G203" s="632" t="s">
        <v>578</v>
      </c>
      <c r="H203" s="632" t="s">
        <v>722</v>
      </c>
      <c r="I203" s="632" t="s">
        <v>723</v>
      </c>
      <c r="J203" s="632" t="s">
        <v>724</v>
      </c>
      <c r="K203" s="632" t="s">
        <v>725</v>
      </c>
      <c r="L203" s="634">
        <v>59.21</v>
      </c>
      <c r="M203" s="634">
        <v>1</v>
      </c>
      <c r="N203" s="635">
        <v>59.21</v>
      </c>
    </row>
    <row r="204" spans="1:14" ht="14.4" customHeight="1" x14ac:dyDescent="0.3">
      <c r="A204" s="630" t="s">
        <v>556</v>
      </c>
      <c r="B204" s="631" t="s">
        <v>557</v>
      </c>
      <c r="C204" s="632" t="s">
        <v>571</v>
      </c>
      <c r="D204" s="633" t="s">
        <v>1457</v>
      </c>
      <c r="E204" s="632" t="s">
        <v>577</v>
      </c>
      <c r="F204" s="633" t="s">
        <v>1458</v>
      </c>
      <c r="G204" s="632" t="s">
        <v>578</v>
      </c>
      <c r="H204" s="632" t="s">
        <v>1185</v>
      </c>
      <c r="I204" s="632" t="s">
        <v>1186</v>
      </c>
      <c r="J204" s="632" t="s">
        <v>1128</v>
      </c>
      <c r="K204" s="632" t="s">
        <v>1187</v>
      </c>
      <c r="L204" s="634">
        <v>61.379999999999974</v>
      </c>
      <c r="M204" s="634">
        <v>6</v>
      </c>
      <c r="N204" s="635">
        <v>368.27999999999986</v>
      </c>
    </row>
    <row r="205" spans="1:14" ht="14.4" customHeight="1" x14ac:dyDescent="0.3">
      <c r="A205" s="630" t="s">
        <v>556</v>
      </c>
      <c r="B205" s="631" t="s">
        <v>557</v>
      </c>
      <c r="C205" s="632" t="s">
        <v>571</v>
      </c>
      <c r="D205" s="633" t="s">
        <v>1457</v>
      </c>
      <c r="E205" s="632" t="s">
        <v>577</v>
      </c>
      <c r="F205" s="633" t="s">
        <v>1458</v>
      </c>
      <c r="G205" s="632" t="s">
        <v>578</v>
      </c>
      <c r="H205" s="632" t="s">
        <v>729</v>
      </c>
      <c r="I205" s="632" t="s">
        <v>730</v>
      </c>
      <c r="J205" s="632" t="s">
        <v>731</v>
      </c>
      <c r="K205" s="632" t="s">
        <v>732</v>
      </c>
      <c r="L205" s="634">
        <v>179.79999999999995</v>
      </c>
      <c r="M205" s="634">
        <v>1</v>
      </c>
      <c r="N205" s="635">
        <v>179.79999999999995</v>
      </c>
    </row>
    <row r="206" spans="1:14" ht="14.4" customHeight="1" x14ac:dyDescent="0.3">
      <c r="A206" s="630" t="s">
        <v>556</v>
      </c>
      <c r="B206" s="631" t="s">
        <v>557</v>
      </c>
      <c r="C206" s="632" t="s">
        <v>571</v>
      </c>
      <c r="D206" s="633" t="s">
        <v>1457</v>
      </c>
      <c r="E206" s="632" t="s">
        <v>577</v>
      </c>
      <c r="F206" s="633" t="s">
        <v>1458</v>
      </c>
      <c r="G206" s="632" t="s">
        <v>578</v>
      </c>
      <c r="H206" s="632" t="s">
        <v>741</v>
      </c>
      <c r="I206" s="632" t="s">
        <v>742</v>
      </c>
      <c r="J206" s="632" t="s">
        <v>743</v>
      </c>
      <c r="K206" s="632" t="s">
        <v>744</v>
      </c>
      <c r="L206" s="634">
        <v>28.2199511098176</v>
      </c>
      <c r="M206" s="634">
        <v>1</v>
      </c>
      <c r="N206" s="635">
        <v>28.2199511098176</v>
      </c>
    </row>
    <row r="207" spans="1:14" ht="14.4" customHeight="1" x14ac:dyDescent="0.3">
      <c r="A207" s="630" t="s">
        <v>556</v>
      </c>
      <c r="B207" s="631" t="s">
        <v>557</v>
      </c>
      <c r="C207" s="632" t="s">
        <v>571</v>
      </c>
      <c r="D207" s="633" t="s">
        <v>1457</v>
      </c>
      <c r="E207" s="632" t="s">
        <v>577</v>
      </c>
      <c r="F207" s="633" t="s">
        <v>1458</v>
      </c>
      <c r="G207" s="632" t="s">
        <v>578</v>
      </c>
      <c r="H207" s="632" t="s">
        <v>1188</v>
      </c>
      <c r="I207" s="632" t="s">
        <v>238</v>
      </c>
      <c r="J207" s="632" t="s">
        <v>1189</v>
      </c>
      <c r="K207" s="632"/>
      <c r="L207" s="634">
        <v>164.97</v>
      </c>
      <c r="M207" s="634">
        <v>2</v>
      </c>
      <c r="N207" s="635">
        <v>329.94</v>
      </c>
    </row>
    <row r="208" spans="1:14" ht="14.4" customHeight="1" x14ac:dyDescent="0.3">
      <c r="A208" s="630" t="s">
        <v>556</v>
      </c>
      <c r="B208" s="631" t="s">
        <v>557</v>
      </c>
      <c r="C208" s="632" t="s">
        <v>571</v>
      </c>
      <c r="D208" s="633" t="s">
        <v>1457</v>
      </c>
      <c r="E208" s="632" t="s">
        <v>577</v>
      </c>
      <c r="F208" s="633" t="s">
        <v>1458</v>
      </c>
      <c r="G208" s="632" t="s">
        <v>578</v>
      </c>
      <c r="H208" s="632" t="s">
        <v>751</v>
      </c>
      <c r="I208" s="632" t="s">
        <v>238</v>
      </c>
      <c r="J208" s="632" t="s">
        <v>752</v>
      </c>
      <c r="K208" s="632"/>
      <c r="L208" s="634">
        <v>98.021249999999995</v>
      </c>
      <c r="M208" s="634">
        <v>8</v>
      </c>
      <c r="N208" s="635">
        <v>784.17</v>
      </c>
    </row>
    <row r="209" spans="1:14" ht="14.4" customHeight="1" x14ac:dyDescent="0.3">
      <c r="A209" s="630" t="s">
        <v>556</v>
      </c>
      <c r="B209" s="631" t="s">
        <v>557</v>
      </c>
      <c r="C209" s="632" t="s">
        <v>571</v>
      </c>
      <c r="D209" s="633" t="s">
        <v>1457</v>
      </c>
      <c r="E209" s="632" t="s">
        <v>577</v>
      </c>
      <c r="F209" s="633" t="s">
        <v>1458</v>
      </c>
      <c r="G209" s="632" t="s">
        <v>578</v>
      </c>
      <c r="H209" s="632" t="s">
        <v>1190</v>
      </c>
      <c r="I209" s="632" t="s">
        <v>1190</v>
      </c>
      <c r="J209" s="632" t="s">
        <v>580</v>
      </c>
      <c r="K209" s="632" t="s">
        <v>1191</v>
      </c>
      <c r="L209" s="634">
        <v>201.25</v>
      </c>
      <c r="M209" s="634">
        <v>3</v>
      </c>
      <c r="N209" s="635">
        <v>603.75</v>
      </c>
    </row>
    <row r="210" spans="1:14" ht="14.4" customHeight="1" x14ac:dyDescent="0.3">
      <c r="A210" s="630" t="s">
        <v>556</v>
      </c>
      <c r="B210" s="631" t="s">
        <v>557</v>
      </c>
      <c r="C210" s="632" t="s">
        <v>571</v>
      </c>
      <c r="D210" s="633" t="s">
        <v>1457</v>
      </c>
      <c r="E210" s="632" t="s">
        <v>577</v>
      </c>
      <c r="F210" s="633" t="s">
        <v>1458</v>
      </c>
      <c r="G210" s="632" t="s">
        <v>578</v>
      </c>
      <c r="H210" s="632" t="s">
        <v>1192</v>
      </c>
      <c r="I210" s="632" t="s">
        <v>1193</v>
      </c>
      <c r="J210" s="632" t="s">
        <v>1194</v>
      </c>
      <c r="K210" s="632" t="s">
        <v>598</v>
      </c>
      <c r="L210" s="634">
        <v>60.880000000000024</v>
      </c>
      <c r="M210" s="634">
        <v>3</v>
      </c>
      <c r="N210" s="635">
        <v>182.64000000000007</v>
      </c>
    </row>
    <row r="211" spans="1:14" ht="14.4" customHeight="1" x14ac:dyDescent="0.3">
      <c r="A211" s="630" t="s">
        <v>556</v>
      </c>
      <c r="B211" s="631" t="s">
        <v>557</v>
      </c>
      <c r="C211" s="632" t="s">
        <v>571</v>
      </c>
      <c r="D211" s="633" t="s">
        <v>1457</v>
      </c>
      <c r="E211" s="632" t="s">
        <v>577</v>
      </c>
      <c r="F211" s="633" t="s">
        <v>1458</v>
      </c>
      <c r="G211" s="632" t="s">
        <v>578</v>
      </c>
      <c r="H211" s="632" t="s">
        <v>1195</v>
      </c>
      <c r="I211" s="632" t="s">
        <v>1196</v>
      </c>
      <c r="J211" s="632" t="s">
        <v>1197</v>
      </c>
      <c r="K211" s="632" t="s">
        <v>594</v>
      </c>
      <c r="L211" s="634">
        <v>121.78475945152209</v>
      </c>
      <c r="M211" s="634">
        <v>13</v>
      </c>
      <c r="N211" s="635">
        <v>1583.2018728697872</v>
      </c>
    </row>
    <row r="212" spans="1:14" ht="14.4" customHeight="1" x14ac:dyDescent="0.3">
      <c r="A212" s="630" t="s">
        <v>556</v>
      </c>
      <c r="B212" s="631" t="s">
        <v>557</v>
      </c>
      <c r="C212" s="632" t="s">
        <v>571</v>
      </c>
      <c r="D212" s="633" t="s">
        <v>1457</v>
      </c>
      <c r="E212" s="632" t="s">
        <v>577</v>
      </c>
      <c r="F212" s="633" t="s">
        <v>1458</v>
      </c>
      <c r="G212" s="632" t="s">
        <v>578</v>
      </c>
      <c r="H212" s="632" t="s">
        <v>1198</v>
      </c>
      <c r="I212" s="632" t="s">
        <v>1199</v>
      </c>
      <c r="J212" s="632" t="s">
        <v>1200</v>
      </c>
      <c r="K212" s="632" t="s">
        <v>1201</v>
      </c>
      <c r="L212" s="634">
        <v>61.564816286123161</v>
      </c>
      <c r="M212" s="634">
        <v>4</v>
      </c>
      <c r="N212" s="635">
        <v>246.25926514449264</v>
      </c>
    </row>
    <row r="213" spans="1:14" ht="14.4" customHeight="1" x14ac:dyDescent="0.3">
      <c r="A213" s="630" t="s">
        <v>556</v>
      </c>
      <c r="B213" s="631" t="s">
        <v>557</v>
      </c>
      <c r="C213" s="632" t="s">
        <v>571</v>
      </c>
      <c r="D213" s="633" t="s">
        <v>1457</v>
      </c>
      <c r="E213" s="632" t="s">
        <v>577</v>
      </c>
      <c r="F213" s="633" t="s">
        <v>1458</v>
      </c>
      <c r="G213" s="632" t="s">
        <v>578</v>
      </c>
      <c r="H213" s="632" t="s">
        <v>1202</v>
      </c>
      <c r="I213" s="632" t="s">
        <v>1203</v>
      </c>
      <c r="J213" s="632" t="s">
        <v>1204</v>
      </c>
      <c r="K213" s="632" t="s">
        <v>677</v>
      </c>
      <c r="L213" s="634">
        <v>198.189127183284</v>
      </c>
      <c r="M213" s="634">
        <v>1</v>
      </c>
      <c r="N213" s="635">
        <v>198.189127183284</v>
      </c>
    </row>
    <row r="214" spans="1:14" ht="14.4" customHeight="1" x14ac:dyDescent="0.3">
      <c r="A214" s="630" t="s">
        <v>556</v>
      </c>
      <c r="B214" s="631" t="s">
        <v>557</v>
      </c>
      <c r="C214" s="632" t="s">
        <v>571</v>
      </c>
      <c r="D214" s="633" t="s">
        <v>1457</v>
      </c>
      <c r="E214" s="632" t="s">
        <v>577</v>
      </c>
      <c r="F214" s="633" t="s">
        <v>1458</v>
      </c>
      <c r="G214" s="632" t="s">
        <v>578</v>
      </c>
      <c r="H214" s="632" t="s">
        <v>761</v>
      </c>
      <c r="I214" s="632" t="s">
        <v>762</v>
      </c>
      <c r="J214" s="632" t="s">
        <v>763</v>
      </c>
      <c r="K214" s="632" t="s">
        <v>764</v>
      </c>
      <c r="L214" s="634">
        <v>119.75</v>
      </c>
      <c r="M214" s="634">
        <v>1</v>
      </c>
      <c r="N214" s="635">
        <v>119.75</v>
      </c>
    </row>
    <row r="215" spans="1:14" ht="14.4" customHeight="1" x14ac:dyDescent="0.3">
      <c r="A215" s="630" t="s">
        <v>556</v>
      </c>
      <c r="B215" s="631" t="s">
        <v>557</v>
      </c>
      <c r="C215" s="632" t="s">
        <v>571</v>
      </c>
      <c r="D215" s="633" t="s">
        <v>1457</v>
      </c>
      <c r="E215" s="632" t="s">
        <v>577</v>
      </c>
      <c r="F215" s="633" t="s">
        <v>1458</v>
      </c>
      <c r="G215" s="632" t="s">
        <v>578</v>
      </c>
      <c r="H215" s="632" t="s">
        <v>1205</v>
      </c>
      <c r="I215" s="632" t="s">
        <v>1206</v>
      </c>
      <c r="J215" s="632" t="s">
        <v>1207</v>
      </c>
      <c r="K215" s="632" t="s">
        <v>1208</v>
      </c>
      <c r="L215" s="634">
        <v>78.669987396594337</v>
      </c>
      <c r="M215" s="634">
        <v>11</v>
      </c>
      <c r="N215" s="635">
        <v>865.36986136253768</v>
      </c>
    </row>
    <row r="216" spans="1:14" ht="14.4" customHeight="1" x14ac:dyDescent="0.3">
      <c r="A216" s="630" t="s">
        <v>556</v>
      </c>
      <c r="B216" s="631" t="s">
        <v>557</v>
      </c>
      <c r="C216" s="632" t="s">
        <v>571</v>
      </c>
      <c r="D216" s="633" t="s">
        <v>1457</v>
      </c>
      <c r="E216" s="632" t="s">
        <v>577</v>
      </c>
      <c r="F216" s="633" t="s">
        <v>1458</v>
      </c>
      <c r="G216" s="632" t="s">
        <v>578</v>
      </c>
      <c r="H216" s="632" t="s">
        <v>1056</v>
      </c>
      <c r="I216" s="632" t="s">
        <v>1057</v>
      </c>
      <c r="J216" s="632" t="s">
        <v>648</v>
      </c>
      <c r="K216" s="632" t="s">
        <v>1058</v>
      </c>
      <c r="L216" s="634">
        <v>60.349999953440225</v>
      </c>
      <c r="M216" s="634">
        <v>16</v>
      </c>
      <c r="N216" s="635">
        <v>965.5999992550436</v>
      </c>
    </row>
    <row r="217" spans="1:14" ht="14.4" customHeight="1" x14ac:dyDescent="0.3">
      <c r="A217" s="630" t="s">
        <v>556</v>
      </c>
      <c r="B217" s="631" t="s">
        <v>557</v>
      </c>
      <c r="C217" s="632" t="s">
        <v>571</v>
      </c>
      <c r="D217" s="633" t="s">
        <v>1457</v>
      </c>
      <c r="E217" s="632" t="s">
        <v>577</v>
      </c>
      <c r="F217" s="633" t="s">
        <v>1458</v>
      </c>
      <c r="G217" s="632" t="s">
        <v>578</v>
      </c>
      <c r="H217" s="632" t="s">
        <v>1209</v>
      </c>
      <c r="I217" s="632" t="s">
        <v>1210</v>
      </c>
      <c r="J217" s="632" t="s">
        <v>1211</v>
      </c>
      <c r="K217" s="632" t="s">
        <v>1212</v>
      </c>
      <c r="L217" s="634">
        <v>282.73</v>
      </c>
      <c r="M217" s="634">
        <v>1</v>
      </c>
      <c r="N217" s="635">
        <v>282.73</v>
      </c>
    </row>
    <row r="218" spans="1:14" ht="14.4" customHeight="1" x14ac:dyDescent="0.3">
      <c r="A218" s="630" t="s">
        <v>556</v>
      </c>
      <c r="B218" s="631" t="s">
        <v>557</v>
      </c>
      <c r="C218" s="632" t="s">
        <v>571</v>
      </c>
      <c r="D218" s="633" t="s">
        <v>1457</v>
      </c>
      <c r="E218" s="632" t="s">
        <v>577</v>
      </c>
      <c r="F218" s="633" t="s">
        <v>1458</v>
      </c>
      <c r="G218" s="632" t="s">
        <v>578</v>
      </c>
      <c r="H218" s="632" t="s">
        <v>1213</v>
      </c>
      <c r="I218" s="632" t="s">
        <v>1214</v>
      </c>
      <c r="J218" s="632" t="s">
        <v>1215</v>
      </c>
      <c r="K218" s="632" t="s">
        <v>1216</v>
      </c>
      <c r="L218" s="634">
        <v>343.14734750471035</v>
      </c>
      <c r="M218" s="634">
        <v>5</v>
      </c>
      <c r="N218" s="635">
        <v>1715.7367375235517</v>
      </c>
    </row>
    <row r="219" spans="1:14" ht="14.4" customHeight="1" x14ac:dyDescent="0.3">
      <c r="A219" s="630" t="s">
        <v>556</v>
      </c>
      <c r="B219" s="631" t="s">
        <v>557</v>
      </c>
      <c r="C219" s="632" t="s">
        <v>571</v>
      </c>
      <c r="D219" s="633" t="s">
        <v>1457</v>
      </c>
      <c r="E219" s="632" t="s">
        <v>577</v>
      </c>
      <c r="F219" s="633" t="s">
        <v>1458</v>
      </c>
      <c r="G219" s="632" t="s">
        <v>578</v>
      </c>
      <c r="H219" s="632" t="s">
        <v>1217</v>
      </c>
      <c r="I219" s="632" t="s">
        <v>1218</v>
      </c>
      <c r="J219" s="632" t="s">
        <v>1219</v>
      </c>
      <c r="K219" s="632" t="s">
        <v>1220</v>
      </c>
      <c r="L219" s="634">
        <v>593.35140192491508</v>
      </c>
      <c r="M219" s="634">
        <v>1</v>
      </c>
      <c r="N219" s="635">
        <v>593.35140192491508</v>
      </c>
    </row>
    <row r="220" spans="1:14" ht="14.4" customHeight="1" x14ac:dyDescent="0.3">
      <c r="A220" s="630" t="s">
        <v>556</v>
      </c>
      <c r="B220" s="631" t="s">
        <v>557</v>
      </c>
      <c r="C220" s="632" t="s">
        <v>571</v>
      </c>
      <c r="D220" s="633" t="s">
        <v>1457</v>
      </c>
      <c r="E220" s="632" t="s">
        <v>577</v>
      </c>
      <c r="F220" s="633" t="s">
        <v>1458</v>
      </c>
      <c r="G220" s="632" t="s">
        <v>578</v>
      </c>
      <c r="H220" s="632" t="s">
        <v>781</v>
      </c>
      <c r="I220" s="632" t="s">
        <v>782</v>
      </c>
      <c r="J220" s="632" t="s">
        <v>783</v>
      </c>
      <c r="K220" s="632" t="s">
        <v>784</v>
      </c>
      <c r="L220" s="634">
        <v>44.406416349393901</v>
      </c>
      <c r="M220" s="634">
        <v>3</v>
      </c>
      <c r="N220" s="635">
        <v>133.21924904818169</v>
      </c>
    </row>
    <row r="221" spans="1:14" ht="14.4" customHeight="1" x14ac:dyDescent="0.3">
      <c r="A221" s="630" t="s">
        <v>556</v>
      </c>
      <c r="B221" s="631" t="s">
        <v>557</v>
      </c>
      <c r="C221" s="632" t="s">
        <v>571</v>
      </c>
      <c r="D221" s="633" t="s">
        <v>1457</v>
      </c>
      <c r="E221" s="632" t="s">
        <v>577</v>
      </c>
      <c r="F221" s="633" t="s">
        <v>1458</v>
      </c>
      <c r="G221" s="632" t="s">
        <v>578</v>
      </c>
      <c r="H221" s="632" t="s">
        <v>1221</v>
      </c>
      <c r="I221" s="632" t="s">
        <v>1222</v>
      </c>
      <c r="J221" s="632" t="s">
        <v>1223</v>
      </c>
      <c r="K221" s="632" t="s">
        <v>854</v>
      </c>
      <c r="L221" s="634">
        <v>65.824414905255779</v>
      </c>
      <c r="M221" s="634">
        <v>4</v>
      </c>
      <c r="N221" s="635">
        <v>263.29765962102312</v>
      </c>
    </row>
    <row r="222" spans="1:14" ht="14.4" customHeight="1" x14ac:dyDescent="0.3">
      <c r="A222" s="630" t="s">
        <v>556</v>
      </c>
      <c r="B222" s="631" t="s">
        <v>557</v>
      </c>
      <c r="C222" s="632" t="s">
        <v>571</v>
      </c>
      <c r="D222" s="633" t="s">
        <v>1457</v>
      </c>
      <c r="E222" s="632" t="s">
        <v>577</v>
      </c>
      <c r="F222" s="633" t="s">
        <v>1458</v>
      </c>
      <c r="G222" s="632" t="s">
        <v>578</v>
      </c>
      <c r="H222" s="632" t="s">
        <v>794</v>
      </c>
      <c r="I222" s="632" t="s">
        <v>795</v>
      </c>
      <c r="J222" s="632" t="s">
        <v>796</v>
      </c>
      <c r="K222" s="632" t="s">
        <v>797</v>
      </c>
      <c r="L222" s="634">
        <v>50.010148529155117</v>
      </c>
      <c r="M222" s="634">
        <v>35</v>
      </c>
      <c r="N222" s="635">
        <v>1750.355198520429</v>
      </c>
    </row>
    <row r="223" spans="1:14" ht="14.4" customHeight="1" x14ac:dyDescent="0.3">
      <c r="A223" s="630" t="s">
        <v>556</v>
      </c>
      <c r="B223" s="631" t="s">
        <v>557</v>
      </c>
      <c r="C223" s="632" t="s">
        <v>571</v>
      </c>
      <c r="D223" s="633" t="s">
        <v>1457</v>
      </c>
      <c r="E223" s="632" t="s">
        <v>577</v>
      </c>
      <c r="F223" s="633" t="s">
        <v>1458</v>
      </c>
      <c r="G223" s="632" t="s">
        <v>578</v>
      </c>
      <c r="H223" s="632" t="s">
        <v>1224</v>
      </c>
      <c r="I223" s="632" t="s">
        <v>1225</v>
      </c>
      <c r="J223" s="632" t="s">
        <v>1061</v>
      </c>
      <c r="K223" s="632" t="s">
        <v>1226</v>
      </c>
      <c r="L223" s="634">
        <v>266.57</v>
      </c>
      <c r="M223" s="634">
        <v>4</v>
      </c>
      <c r="N223" s="635">
        <v>1066.28</v>
      </c>
    </row>
    <row r="224" spans="1:14" ht="14.4" customHeight="1" x14ac:dyDescent="0.3">
      <c r="A224" s="630" t="s">
        <v>556</v>
      </c>
      <c r="B224" s="631" t="s">
        <v>557</v>
      </c>
      <c r="C224" s="632" t="s">
        <v>571</v>
      </c>
      <c r="D224" s="633" t="s">
        <v>1457</v>
      </c>
      <c r="E224" s="632" t="s">
        <v>577</v>
      </c>
      <c r="F224" s="633" t="s">
        <v>1458</v>
      </c>
      <c r="G224" s="632" t="s">
        <v>578</v>
      </c>
      <c r="H224" s="632" t="s">
        <v>1227</v>
      </c>
      <c r="I224" s="632" t="s">
        <v>1228</v>
      </c>
      <c r="J224" s="632" t="s">
        <v>1229</v>
      </c>
      <c r="K224" s="632" t="s">
        <v>1230</v>
      </c>
      <c r="L224" s="634">
        <v>389.28948146677283</v>
      </c>
      <c r="M224" s="634">
        <v>8</v>
      </c>
      <c r="N224" s="635">
        <v>3114.3158517341826</v>
      </c>
    </row>
    <row r="225" spans="1:14" ht="14.4" customHeight="1" x14ac:dyDescent="0.3">
      <c r="A225" s="630" t="s">
        <v>556</v>
      </c>
      <c r="B225" s="631" t="s">
        <v>557</v>
      </c>
      <c r="C225" s="632" t="s">
        <v>571</v>
      </c>
      <c r="D225" s="633" t="s">
        <v>1457</v>
      </c>
      <c r="E225" s="632" t="s">
        <v>577</v>
      </c>
      <c r="F225" s="633" t="s">
        <v>1458</v>
      </c>
      <c r="G225" s="632" t="s">
        <v>578</v>
      </c>
      <c r="H225" s="632" t="s">
        <v>1231</v>
      </c>
      <c r="I225" s="632" t="s">
        <v>1232</v>
      </c>
      <c r="J225" s="632" t="s">
        <v>1233</v>
      </c>
      <c r="K225" s="632" t="s">
        <v>1234</v>
      </c>
      <c r="L225" s="634">
        <v>79.939999999999969</v>
      </c>
      <c r="M225" s="634">
        <v>1</v>
      </c>
      <c r="N225" s="635">
        <v>79.939999999999969</v>
      </c>
    </row>
    <row r="226" spans="1:14" ht="14.4" customHeight="1" x14ac:dyDescent="0.3">
      <c r="A226" s="630" t="s">
        <v>556</v>
      </c>
      <c r="B226" s="631" t="s">
        <v>557</v>
      </c>
      <c r="C226" s="632" t="s">
        <v>571</v>
      </c>
      <c r="D226" s="633" t="s">
        <v>1457</v>
      </c>
      <c r="E226" s="632" t="s">
        <v>577</v>
      </c>
      <c r="F226" s="633" t="s">
        <v>1458</v>
      </c>
      <c r="G226" s="632" t="s">
        <v>578</v>
      </c>
      <c r="H226" s="632" t="s">
        <v>1235</v>
      </c>
      <c r="I226" s="632" t="s">
        <v>1235</v>
      </c>
      <c r="J226" s="632" t="s">
        <v>1236</v>
      </c>
      <c r="K226" s="632" t="s">
        <v>633</v>
      </c>
      <c r="L226" s="634">
        <v>56.55</v>
      </c>
      <c r="M226" s="634">
        <v>2</v>
      </c>
      <c r="N226" s="635">
        <v>113.1</v>
      </c>
    </row>
    <row r="227" spans="1:14" ht="14.4" customHeight="1" x14ac:dyDescent="0.3">
      <c r="A227" s="630" t="s">
        <v>556</v>
      </c>
      <c r="B227" s="631" t="s">
        <v>557</v>
      </c>
      <c r="C227" s="632" t="s">
        <v>571</v>
      </c>
      <c r="D227" s="633" t="s">
        <v>1457</v>
      </c>
      <c r="E227" s="632" t="s">
        <v>577</v>
      </c>
      <c r="F227" s="633" t="s">
        <v>1458</v>
      </c>
      <c r="G227" s="632" t="s">
        <v>578</v>
      </c>
      <c r="H227" s="632" t="s">
        <v>1237</v>
      </c>
      <c r="I227" s="632" t="s">
        <v>1238</v>
      </c>
      <c r="J227" s="632" t="s">
        <v>1239</v>
      </c>
      <c r="K227" s="632" t="s">
        <v>1240</v>
      </c>
      <c r="L227" s="634">
        <v>1092.80604607552</v>
      </c>
      <c r="M227" s="634">
        <v>2</v>
      </c>
      <c r="N227" s="635">
        <v>2185.6120921510401</v>
      </c>
    </row>
    <row r="228" spans="1:14" ht="14.4" customHeight="1" x14ac:dyDescent="0.3">
      <c r="A228" s="630" t="s">
        <v>556</v>
      </c>
      <c r="B228" s="631" t="s">
        <v>557</v>
      </c>
      <c r="C228" s="632" t="s">
        <v>571</v>
      </c>
      <c r="D228" s="633" t="s">
        <v>1457</v>
      </c>
      <c r="E228" s="632" t="s">
        <v>577</v>
      </c>
      <c r="F228" s="633" t="s">
        <v>1458</v>
      </c>
      <c r="G228" s="632" t="s">
        <v>578</v>
      </c>
      <c r="H228" s="632" t="s">
        <v>1241</v>
      </c>
      <c r="I228" s="632" t="s">
        <v>1242</v>
      </c>
      <c r="J228" s="632" t="s">
        <v>783</v>
      </c>
      <c r="K228" s="632" t="s">
        <v>1243</v>
      </c>
      <c r="L228" s="634">
        <v>89.833124187648266</v>
      </c>
      <c r="M228" s="634">
        <v>29</v>
      </c>
      <c r="N228" s="635">
        <v>2605.1606014417998</v>
      </c>
    </row>
    <row r="229" spans="1:14" ht="14.4" customHeight="1" x14ac:dyDescent="0.3">
      <c r="A229" s="630" t="s">
        <v>556</v>
      </c>
      <c r="B229" s="631" t="s">
        <v>557</v>
      </c>
      <c r="C229" s="632" t="s">
        <v>571</v>
      </c>
      <c r="D229" s="633" t="s">
        <v>1457</v>
      </c>
      <c r="E229" s="632" t="s">
        <v>577</v>
      </c>
      <c r="F229" s="633" t="s">
        <v>1458</v>
      </c>
      <c r="G229" s="632" t="s">
        <v>578</v>
      </c>
      <c r="H229" s="632" t="s">
        <v>818</v>
      </c>
      <c r="I229" s="632" t="s">
        <v>819</v>
      </c>
      <c r="J229" s="632" t="s">
        <v>820</v>
      </c>
      <c r="K229" s="632" t="s">
        <v>821</v>
      </c>
      <c r="L229" s="634">
        <v>111.19000000000001</v>
      </c>
      <c r="M229" s="634">
        <v>6</v>
      </c>
      <c r="N229" s="635">
        <v>667.1400000000001</v>
      </c>
    </row>
    <row r="230" spans="1:14" ht="14.4" customHeight="1" x14ac:dyDescent="0.3">
      <c r="A230" s="630" t="s">
        <v>556</v>
      </c>
      <c r="B230" s="631" t="s">
        <v>557</v>
      </c>
      <c r="C230" s="632" t="s">
        <v>571</v>
      </c>
      <c r="D230" s="633" t="s">
        <v>1457</v>
      </c>
      <c r="E230" s="632" t="s">
        <v>577</v>
      </c>
      <c r="F230" s="633" t="s">
        <v>1458</v>
      </c>
      <c r="G230" s="632" t="s">
        <v>578</v>
      </c>
      <c r="H230" s="632" t="s">
        <v>1244</v>
      </c>
      <c r="I230" s="632" t="s">
        <v>1245</v>
      </c>
      <c r="J230" s="632" t="s">
        <v>1246</v>
      </c>
      <c r="K230" s="632" t="s">
        <v>1247</v>
      </c>
      <c r="L230" s="634">
        <v>304.30000000000007</v>
      </c>
      <c r="M230" s="634">
        <v>1</v>
      </c>
      <c r="N230" s="635">
        <v>304.30000000000007</v>
      </c>
    </row>
    <row r="231" spans="1:14" ht="14.4" customHeight="1" x14ac:dyDescent="0.3">
      <c r="A231" s="630" t="s">
        <v>556</v>
      </c>
      <c r="B231" s="631" t="s">
        <v>557</v>
      </c>
      <c r="C231" s="632" t="s">
        <v>571</v>
      </c>
      <c r="D231" s="633" t="s">
        <v>1457</v>
      </c>
      <c r="E231" s="632" t="s">
        <v>577</v>
      </c>
      <c r="F231" s="633" t="s">
        <v>1458</v>
      </c>
      <c r="G231" s="632" t="s">
        <v>578</v>
      </c>
      <c r="H231" s="632" t="s">
        <v>826</v>
      </c>
      <c r="I231" s="632" t="s">
        <v>827</v>
      </c>
      <c r="J231" s="632" t="s">
        <v>828</v>
      </c>
      <c r="K231" s="632" t="s">
        <v>829</v>
      </c>
      <c r="L231" s="634">
        <v>55.89</v>
      </c>
      <c r="M231" s="634">
        <v>21</v>
      </c>
      <c r="N231" s="635">
        <v>1173.69</v>
      </c>
    </row>
    <row r="232" spans="1:14" ht="14.4" customHeight="1" x14ac:dyDescent="0.3">
      <c r="A232" s="630" t="s">
        <v>556</v>
      </c>
      <c r="B232" s="631" t="s">
        <v>557</v>
      </c>
      <c r="C232" s="632" t="s">
        <v>571</v>
      </c>
      <c r="D232" s="633" t="s">
        <v>1457</v>
      </c>
      <c r="E232" s="632" t="s">
        <v>577</v>
      </c>
      <c r="F232" s="633" t="s">
        <v>1458</v>
      </c>
      <c r="G232" s="632" t="s">
        <v>578</v>
      </c>
      <c r="H232" s="632" t="s">
        <v>834</v>
      </c>
      <c r="I232" s="632" t="s">
        <v>238</v>
      </c>
      <c r="J232" s="632" t="s">
        <v>835</v>
      </c>
      <c r="K232" s="632"/>
      <c r="L232" s="634">
        <v>104.21007928243785</v>
      </c>
      <c r="M232" s="634">
        <v>8</v>
      </c>
      <c r="N232" s="635">
        <v>833.68063425950277</v>
      </c>
    </row>
    <row r="233" spans="1:14" ht="14.4" customHeight="1" x14ac:dyDescent="0.3">
      <c r="A233" s="630" t="s">
        <v>556</v>
      </c>
      <c r="B233" s="631" t="s">
        <v>557</v>
      </c>
      <c r="C233" s="632" t="s">
        <v>571</v>
      </c>
      <c r="D233" s="633" t="s">
        <v>1457</v>
      </c>
      <c r="E233" s="632" t="s">
        <v>577</v>
      </c>
      <c r="F233" s="633" t="s">
        <v>1458</v>
      </c>
      <c r="G233" s="632" t="s">
        <v>578</v>
      </c>
      <c r="H233" s="632" t="s">
        <v>1248</v>
      </c>
      <c r="I233" s="632" t="s">
        <v>1249</v>
      </c>
      <c r="J233" s="632" t="s">
        <v>1250</v>
      </c>
      <c r="K233" s="632" t="s">
        <v>1251</v>
      </c>
      <c r="L233" s="634">
        <v>52.44</v>
      </c>
      <c r="M233" s="634">
        <v>1</v>
      </c>
      <c r="N233" s="635">
        <v>52.44</v>
      </c>
    </row>
    <row r="234" spans="1:14" ht="14.4" customHeight="1" x14ac:dyDescent="0.3">
      <c r="A234" s="630" t="s">
        <v>556</v>
      </c>
      <c r="B234" s="631" t="s">
        <v>557</v>
      </c>
      <c r="C234" s="632" t="s">
        <v>571</v>
      </c>
      <c r="D234" s="633" t="s">
        <v>1457</v>
      </c>
      <c r="E234" s="632" t="s">
        <v>577</v>
      </c>
      <c r="F234" s="633" t="s">
        <v>1458</v>
      </c>
      <c r="G234" s="632" t="s">
        <v>578</v>
      </c>
      <c r="H234" s="632" t="s">
        <v>843</v>
      </c>
      <c r="I234" s="632" t="s">
        <v>844</v>
      </c>
      <c r="J234" s="632" t="s">
        <v>845</v>
      </c>
      <c r="K234" s="632" t="s">
        <v>846</v>
      </c>
      <c r="L234" s="634">
        <v>117.73946383713678</v>
      </c>
      <c r="M234" s="634">
        <v>40</v>
      </c>
      <c r="N234" s="635">
        <v>4709.5785534854713</v>
      </c>
    </row>
    <row r="235" spans="1:14" ht="14.4" customHeight="1" x14ac:dyDescent="0.3">
      <c r="A235" s="630" t="s">
        <v>556</v>
      </c>
      <c r="B235" s="631" t="s">
        <v>557</v>
      </c>
      <c r="C235" s="632" t="s">
        <v>571</v>
      </c>
      <c r="D235" s="633" t="s">
        <v>1457</v>
      </c>
      <c r="E235" s="632" t="s">
        <v>577</v>
      </c>
      <c r="F235" s="633" t="s">
        <v>1458</v>
      </c>
      <c r="G235" s="632" t="s">
        <v>578</v>
      </c>
      <c r="H235" s="632" t="s">
        <v>1252</v>
      </c>
      <c r="I235" s="632" t="s">
        <v>1253</v>
      </c>
      <c r="J235" s="632" t="s">
        <v>1254</v>
      </c>
      <c r="K235" s="632" t="s">
        <v>1255</v>
      </c>
      <c r="L235" s="634">
        <v>63.61</v>
      </c>
      <c r="M235" s="634">
        <v>1</v>
      </c>
      <c r="N235" s="635">
        <v>63.61</v>
      </c>
    </row>
    <row r="236" spans="1:14" ht="14.4" customHeight="1" x14ac:dyDescent="0.3">
      <c r="A236" s="630" t="s">
        <v>556</v>
      </c>
      <c r="B236" s="631" t="s">
        <v>557</v>
      </c>
      <c r="C236" s="632" t="s">
        <v>571</v>
      </c>
      <c r="D236" s="633" t="s">
        <v>1457</v>
      </c>
      <c r="E236" s="632" t="s">
        <v>577</v>
      </c>
      <c r="F236" s="633" t="s">
        <v>1458</v>
      </c>
      <c r="G236" s="632" t="s">
        <v>578</v>
      </c>
      <c r="H236" s="632" t="s">
        <v>1256</v>
      </c>
      <c r="I236" s="632" t="s">
        <v>1256</v>
      </c>
      <c r="J236" s="632" t="s">
        <v>1257</v>
      </c>
      <c r="K236" s="632" t="s">
        <v>1258</v>
      </c>
      <c r="L236" s="634">
        <v>96.19</v>
      </c>
      <c r="M236" s="634">
        <v>1</v>
      </c>
      <c r="N236" s="635">
        <v>96.19</v>
      </c>
    </row>
    <row r="237" spans="1:14" ht="14.4" customHeight="1" x14ac:dyDescent="0.3">
      <c r="A237" s="630" t="s">
        <v>556</v>
      </c>
      <c r="B237" s="631" t="s">
        <v>557</v>
      </c>
      <c r="C237" s="632" t="s">
        <v>571</v>
      </c>
      <c r="D237" s="633" t="s">
        <v>1457</v>
      </c>
      <c r="E237" s="632" t="s">
        <v>577</v>
      </c>
      <c r="F237" s="633" t="s">
        <v>1458</v>
      </c>
      <c r="G237" s="632" t="s">
        <v>578</v>
      </c>
      <c r="H237" s="632" t="s">
        <v>1259</v>
      </c>
      <c r="I237" s="632" t="s">
        <v>1260</v>
      </c>
      <c r="J237" s="632" t="s">
        <v>1261</v>
      </c>
      <c r="K237" s="632" t="s">
        <v>1262</v>
      </c>
      <c r="L237" s="634">
        <v>227.8799990623547</v>
      </c>
      <c r="M237" s="634">
        <v>1</v>
      </c>
      <c r="N237" s="635">
        <v>227.8799990623547</v>
      </c>
    </row>
    <row r="238" spans="1:14" ht="14.4" customHeight="1" x14ac:dyDescent="0.3">
      <c r="A238" s="630" t="s">
        <v>556</v>
      </c>
      <c r="B238" s="631" t="s">
        <v>557</v>
      </c>
      <c r="C238" s="632" t="s">
        <v>571</v>
      </c>
      <c r="D238" s="633" t="s">
        <v>1457</v>
      </c>
      <c r="E238" s="632" t="s">
        <v>577</v>
      </c>
      <c r="F238" s="633" t="s">
        <v>1458</v>
      </c>
      <c r="G238" s="632" t="s">
        <v>578</v>
      </c>
      <c r="H238" s="632" t="s">
        <v>1263</v>
      </c>
      <c r="I238" s="632" t="s">
        <v>1264</v>
      </c>
      <c r="J238" s="632" t="s">
        <v>1265</v>
      </c>
      <c r="K238" s="632" t="s">
        <v>1266</v>
      </c>
      <c r="L238" s="634">
        <v>93.769625188814601</v>
      </c>
      <c r="M238" s="634">
        <v>1</v>
      </c>
      <c r="N238" s="635">
        <v>93.769625188814601</v>
      </c>
    </row>
    <row r="239" spans="1:14" ht="14.4" customHeight="1" x14ac:dyDescent="0.3">
      <c r="A239" s="630" t="s">
        <v>556</v>
      </c>
      <c r="B239" s="631" t="s">
        <v>557</v>
      </c>
      <c r="C239" s="632" t="s">
        <v>571</v>
      </c>
      <c r="D239" s="633" t="s">
        <v>1457</v>
      </c>
      <c r="E239" s="632" t="s">
        <v>577</v>
      </c>
      <c r="F239" s="633" t="s">
        <v>1458</v>
      </c>
      <c r="G239" s="632" t="s">
        <v>578</v>
      </c>
      <c r="H239" s="632" t="s">
        <v>1267</v>
      </c>
      <c r="I239" s="632" t="s">
        <v>1268</v>
      </c>
      <c r="J239" s="632" t="s">
        <v>1269</v>
      </c>
      <c r="K239" s="632" t="s">
        <v>1270</v>
      </c>
      <c r="L239" s="634">
        <v>98.499999594707504</v>
      </c>
      <c r="M239" s="634">
        <v>1</v>
      </c>
      <c r="N239" s="635">
        <v>98.499999594707504</v>
      </c>
    </row>
    <row r="240" spans="1:14" ht="14.4" customHeight="1" x14ac:dyDescent="0.3">
      <c r="A240" s="630" t="s">
        <v>556</v>
      </c>
      <c r="B240" s="631" t="s">
        <v>557</v>
      </c>
      <c r="C240" s="632" t="s">
        <v>571</v>
      </c>
      <c r="D240" s="633" t="s">
        <v>1457</v>
      </c>
      <c r="E240" s="632" t="s">
        <v>577</v>
      </c>
      <c r="F240" s="633" t="s">
        <v>1458</v>
      </c>
      <c r="G240" s="632" t="s">
        <v>578</v>
      </c>
      <c r="H240" s="632" t="s">
        <v>1271</v>
      </c>
      <c r="I240" s="632" t="s">
        <v>1272</v>
      </c>
      <c r="J240" s="632" t="s">
        <v>1273</v>
      </c>
      <c r="K240" s="632" t="s">
        <v>1274</v>
      </c>
      <c r="L240" s="634">
        <v>59.594999999999999</v>
      </c>
      <c r="M240" s="634">
        <v>2</v>
      </c>
      <c r="N240" s="635">
        <v>119.19</v>
      </c>
    </row>
    <row r="241" spans="1:14" ht="14.4" customHeight="1" x14ac:dyDescent="0.3">
      <c r="A241" s="630" t="s">
        <v>556</v>
      </c>
      <c r="B241" s="631" t="s">
        <v>557</v>
      </c>
      <c r="C241" s="632" t="s">
        <v>571</v>
      </c>
      <c r="D241" s="633" t="s">
        <v>1457</v>
      </c>
      <c r="E241" s="632" t="s">
        <v>577</v>
      </c>
      <c r="F241" s="633" t="s">
        <v>1458</v>
      </c>
      <c r="G241" s="632" t="s">
        <v>578</v>
      </c>
      <c r="H241" s="632" t="s">
        <v>872</v>
      </c>
      <c r="I241" s="632" t="s">
        <v>873</v>
      </c>
      <c r="J241" s="632" t="s">
        <v>874</v>
      </c>
      <c r="K241" s="632" t="s">
        <v>875</v>
      </c>
      <c r="L241" s="634">
        <v>339.93989208616034</v>
      </c>
      <c r="M241" s="634">
        <v>57</v>
      </c>
      <c r="N241" s="635">
        <v>19376.573848911139</v>
      </c>
    </row>
    <row r="242" spans="1:14" ht="14.4" customHeight="1" x14ac:dyDescent="0.3">
      <c r="A242" s="630" t="s">
        <v>556</v>
      </c>
      <c r="B242" s="631" t="s">
        <v>557</v>
      </c>
      <c r="C242" s="632" t="s">
        <v>571</v>
      </c>
      <c r="D242" s="633" t="s">
        <v>1457</v>
      </c>
      <c r="E242" s="632" t="s">
        <v>577</v>
      </c>
      <c r="F242" s="633" t="s">
        <v>1458</v>
      </c>
      <c r="G242" s="632" t="s">
        <v>578</v>
      </c>
      <c r="H242" s="632" t="s">
        <v>1275</v>
      </c>
      <c r="I242" s="632" t="s">
        <v>1276</v>
      </c>
      <c r="J242" s="632" t="s">
        <v>1277</v>
      </c>
      <c r="K242" s="632" t="s">
        <v>1278</v>
      </c>
      <c r="L242" s="634">
        <v>30.310000000000006</v>
      </c>
      <c r="M242" s="634">
        <v>1</v>
      </c>
      <c r="N242" s="635">
        <v>30.310000000000006</v>
      </c>
    </row>
    <row r="243" spans="1:14" ht="14.4" customHeight="1" x14ac:dyDescent="0.3">
      <c r="A243" s="630" t="s">
        <v>556</v>
      </c>
      <c r="B243" s="631" t="s">
        <v>557</v>
      </c>
      <c r="C243" s="632" t="s">
        <v>571</v>
      </c>
      <c r="D243" s="633" t="s">
        <v>1457</v>
      </c>
      <c r="E243" s="632" t="s">
        <v>577</v>
      </c>
      <c r="F243" s="633" t="s">
        <v>1458</v>
      </c>
      <c r="G243" s="632" t="s">
        <v>578</v>
      </c>
      <c r="H243" s="632" t="s">
        <v>879</v>
      </c>
      <c r="I243" s="632" t="s">
        <v>238</v>
      </c>
      <c r="J243" s="632" t="s">
        <v>880</v>
      </c>
      <c r="K243" s="632"/>
      <c r="L243" s="634">
        <v>68.745788824331996</v>
      </c>
      <c r="M243" s="634">
        <v>2</v>
      </c>
      <c r="N243" s="635">
        <v>137.49157764866399</v>
      </c>
    </row>
    <row r="244" spans="1:14" ht="14.4" customHeight="1" x14ac:dyDescent="0.3">
      <c r="A244" s="630" t="s">
        <v>556</v>
      </c>
      <c r="B244" s="631" t="s">
        <v>557</v>
      </c>
      <c r="C244" s="632" t="s">
        <v>571</v>
      </c>
      <c r="D244" s="633" t="s">
        <v>1457</v>
      </c>
      <c r="E244" s="632" t="s">
        <v>577</v>
      </c>
      <c r="F244" s="633" t="s">
        <v>1458</v>
      </c>
      <c r="G244" s="632" t="s">
        <v>578</v>
      </c>
      <c r="H244" s="632" t="s">
        <v>1279</v>
      </c>
      <c r="I244" s="632" t="s">
        <v>1280</v>
      </c>
      <c r="J244" s="632" t="s">
        <v>1281</v>
      </c>
      <c r="K244" s="632" t="s">
        <v>1282</v>
      </c>
      <c r="L244" s="634">
        <v>649.84833881824875</v>
      </c>
      <c r="M244" s="634">
        <v>5</v>
      </c>
      <c r="N244" s="635">
        <v>3249.2416940912435</v>
      </c>
    </row>
    <row r="245" spans="1:14" ht="14.4" customHeight="1" x14ac:dyDescent="0.3">
      <c r="A245" s="630" t="s">
        <v>556</v>
      </c>
      <c r="B245" s="631" t="s">
        <v>557</v>
      </c>
      <c r="C245" s="632" t="s">
        <v>571</v>
      </c>
      <c r="D245" s="633" t="s">
        <v>1457</v>
      </c>
      <c r="E245" s="632" t="s">
        <v>577</v>
      </c>
      <c r="F245" s="633" t="s">
        <v>1458</v>
      </c>
      <c r="G245" s="632" t="s">
        <v>578</v>
      </c>
      <c r="H245" s="632" t="s">
        <v>1283</v>
      </c>
      <c r="I245" s="632" t="s">
        <v>1284</v>
      </c>
      <c r="J245" s="632" t="s">
        <v>1285</v>
      </c>
      <c r="K245" s="632" t="s">
        <v>1286</v>
      </c>
      <c r="L245" s="634">
        <v>78.681034446489647</v>
      </c>
      <c r="M245" s="634">
        <v>3</v>
      </c>
      <c r="N245" s="635">
        <v>236.04310333946893</v>
      </c>
    </row>
    <row r="246" spans="1:14" ht="14.4" customHeight="1" x14ac:dyDescent="0.3">
      <c r="A246" s="630" t="s">
        <v>556</v>
      </c>
      <c r="B246" s="631" t="s">
        <v>557</v>
      </c>
      <c r="C246" s="632" t="s">
        <v>571</v>
      </c>
      <c r="D246" s="633" t="s">
        <v>1457</v>
      </c>
      <c r="E246" s="632" t="s">
        <v>577</v>
      </c>
      <c r="F246" s="633" t="s">
        <v>1458</v>
      </c>
      <c r="G246" s="632" t="s">
        <v>578</v>
      </c>
      <c r="H246" s="632" t="s">
        <v>1287</v>
      </c>
      <c r="I246" s="632" t="s">
        <v>238</v>
      </c>
      <c r="J246" s="632" t="s">
        <v>1288</v>
      </c>
      <c r="K246" s="632"/>
      <c r="L246" s="634">
        <v>57.545382975199615</v>
      </c>
      <c r="M246" s="634">
        <v>1</v>
      </c>
      <c r="N246" s="635">
        <v>57.545382975199615</v>
      </c>
    </row>
    <row r="247" spans="1:14" ht="14.4" customHeight="1" x14ac:dyDescent="0.3">
      <c r="A247" s="630" t="s">
        <v>556</v>
      </c>
      <c r="B247" s="631" t="s">
        <v>557</v>
      </c>
      <c r="C247" s="632" t="s">
        <v>571</v>
      </c>
      <c r="D247" s="633" t="s">
        <v>1457</v>
      </c>
      <c r="E247" s="632" t="s">
        <v>577</v>
      </c>
      <c r="F247" s="633" t="s">
        <v>1458</v>
      </c>
      <c r="G247" s="632" t="s">
        <v>578</v>
      </c>
      <c r="H247" s="632" t="s">
        <v>1289</v>
      </c>
      <c r="I247" s="632" t="s">
        <v>1290</v>
      </c>
      <c r="J247" s="632" t="s">
        <v>1291</v>
      </c>
      <c r="K247" s="632" t="s">
        <v>1292</v>
      </c>
      <c r="L247" s="634">
        <v>355.01</v>
      </c>
      <c r="M247" s="634">
        <v>1</v>
      </c>
      <c r="N247" s="635">
        <v>355.01</v>
      </c>
    </row>
    <row r="248" spans="1:14" ht="14.4" customHeight="1" x14ac:dyDescent="0.3">
      <c r="A248" s="630" t="s">
        <v>556</v>
      </c>
      <c r="B248" s="631" t="s">
        <v>557</v>
      </c>
      <c r="C248" s="632" t="s">
        <v>571</v>
      </c>
      <c r="D248" s="633" t="s">
        <v>1457</v>
      </c>
      <c r="E248" s="632" t="s">
        <v>577</v>
      </c>
      <c r="F248" s="633" t="s">
        <v>1458</v>
      </c>
      <c r="G248" s="632" t="s">
        <v>578</v>
      </c>
      <c r="H248" s="632" t="s">
        <v>1293</v>
      </c>
      <c r="I248" s="632" t="s">
        <v>1294</v>
      </c>
      <c r="J248" s="632" t="s">
        <v>1295</v>
      </c>
      <c r="K248" s="632" t="s">
        <v>1296</v>
      </c>
      <c r="L248" s="634">
        <v>32.96</v>
      </c>
      <c r="M248" s="634">
        <v>2</v>
      </c>
      <c r="N248" s="635">
        <v>65.92</v>
      </c>
    </row>
    <row r="249" spans="1:14" ht="14.4" customHeight="1" x14ac:dyDescent="0.3">
      <c r="A249" s="630" t="s">
        <v>556</v>
      </c>
      <c r="B249" s="631" t="s">
        <v>557</v>
      </c>
      <c r="C249" s="632" t="s">
        <v>571</v>
      </c>
      <c r="D249" s="633" t="s">
        <v>1457</v>
      </c>
      <c r="E249" s="632" t="s">
        <v>577</v>
      </c>
      <c r="F249" s="633" t="s">
        <v>1458</v>
      </c>
      <c r="G249" s="632" t="s">
        <v>578</v>
      </c>
      <c r="H249" s="632" t="s">
        <v>909</v>
      </c>
      <c r="I249" s="632" t="s">
        <v>909</v>
      </c>
      <c r="J249" s="632" t="s">
        <v>910</v>
      </c>
      <c r="K249" s="632" t="s">
        <v>911</v>
      </c>
      <c r="L249" s="634">
        <v>285.01679999999999</v>
      </c>
      <c r="M249" s="634">
        <v>3</v>
      </c>
      <c r="N249" s="635">
        <v>855.05039999999997</v>
      </c>
    </row>
    <row r="250" spans="1:14" ht="14.4" customHeight="1" x14ac:dyDescent="0.3">
      <c r="A250" s="630" t="s">
        <v>556</v>
      </c>
      <c r="B250" s="631" t="s">
        <v>557</v>
      </c>
      <c r="C250" s="632" t="s">
        <v>571</v>
      </c>
      <c r="D250" s="633" t="s">
        <v>1457</v>
      </c>
      <c r="E250" s="632" t="s">
        <v>577</v>
      </c>
      <c r="F250" s="633" t="s">
        <v>1458</v>
      </c>
      <c r="G250" s="632" t="s">
        <v>578</v>
      </c>
      <c r="H250" s="632" t="s">
        <v>1297</v>
      </c>
      <c r="I250" s="632" t="s">
        <v>1298</v>
      </c>
      <c r="J250" s="632" t="s">
        <v>1299</v>
      </c>
      <c r="K250" s="632" t="s">
        <v>1300</v>
      </c>
      <c r="L250" s="634">
        <v>117.83</v>
      </c>
      <c r="M250" s="634">
        <v>1</v>
      </c>
      <c r="N250" s="635">
        <v>117.83</v>
      </c>
    </row>
    <row r="251" spans="1:14" ht="14.4" customHeight="1" x14ac:dyDescent="0.3">
      <c r="A251" s="630" t="s">
        <v>556</v>
      </c>
      <c r="B251" s="631" t="s">
        <v>557</v>
      </c>
      <c r="C251" s="632" t="s">
        <v>571</v>
      </c>
      <c r="D251" s="633" t="s">
        <v>1457</v>
      </c>
      <c r="E251" s="632" t="s">
        <v>577</v>
      </c>
      <c r="F251" s="633" t="s">
        <v>1458</v>
      </c>
      <c r="G251" s="632" t="s">
        <v>578</v>
      </c>
      <c r="H251" s="632" t="s">
        <v>912</v>
      </c>
      <c r="I251" s="632" t="s">
        <v>238</v>
      </c>
      <c r="J251" s="632" t="s">
        <v>913</v>
      </c>
      <c r="K251" s="632"/>
      <c r="L251" s="634">
        <v>265.73999999999995</v>
      </c>
      <c r="M251" s="634">
        <v>2</v>
      </c>
      <c r="N251" s="635">
        <v>531.4799999999999</v>
      </c>
    </row>
    <row r="252" spans="1:14" ht="14.4" customHeight="1" x14ac:dyDescent="0.3">
      <c r="A252" s="630" t="s">
        <v>556</v>
      </c>
      <c r="B252" s="631" t="s">
        <v>557</v>
      </c>
      <c r="C252" s="632" t="s">
        <v>571</v>
      </c>
      <c r="D252" s="633" t="s">
        <v>1457</v>
      </c>
      <c r="E252" s="632" t="s">
        <v>577</v>
      </c>
      <c r="F252" s="633" t="s">
        <v>1458</v>
      </c>
      <c r="G252" s="632" t="s">
        <v>578</v>
      </c>
      <c r="H252" s="632" t="s">
        <v>1301</v>
      </c>
      <c r="I252" s="632" t="s">
        <v>1301</v>
      </c>
      <c r="J252" s="632" t="s">
        <v>1302</v>
      </c>
      <c r="K252" s="632" t="s">
        <v>1303</v>
      </c>
      <c r="L252" s="634">
        <v>426.87</v>
      </c>
      <c r="M252" s="634">
        <v>1</v>
      </c>
      <c r="N252" s="635">
        <v>426.87</v>
      </c>
    </row>
    <row r="253" spans="1:14" ht="14.4" customHeight="1" x14ac:dyDescent="0.3">
      <c r="A253" s="630" t="s">
        <v>556</v>
      </c>
      <c r="B253" s="631" t="s">
        <v>557</v>
      </c>
      <c r="C253" s="632" t="s">
        <v>571</v>
      </c>
      <c r="D253" s="633" t="s">
        <v>1457</v>
      </c>
      <c r="E253" s="632" t="s">
        <v>577</v>
      </c>
      <c r="F253" s="633" t="s">
        <v>1458</v>
      </c>
      <c r="G253" s="632" t="s">
        <v>578</v>
      </c>
      <c r="H253" s="632" t="s">
        <v>1304</v>
      </c>
      <c r="I253" s="632" t="s">
        <v>1305</v>
      </c>
      <c r="J253" s="632" t="s">
        <v>1306</v>
      </c>
      <c r="K253" s="632" t="s">
        <v>1300</v>
      </c>
      <c r="L253" s="634">
        <v>112.22</v>
      </c>
      <c r="M253" s="634">
        <v>1</v>
      </c>
      <c r="N253" s="635">
        <v>112.22</v>
      </c>
    </row>
    <row r="254" spans="1:14" ht="14.4" customHeight="1" x14ac:dyDescent="0.3">
      <c r="A254" s="630" t="s">
        <v>556</v>
      </c>
      <c r="B254" s="631" t="s">
        <v>557</v>
      </c>
      <c r="C254" s="632" t="s">
        <v>571</v>
      </c>
      <c r="D254" s="633" t="s">
        <v>1457</v>
      </c>
      <c r="E254" s="632" t="s">
        <v>577</v>
      </c>
      <c r="F254" s="633" t="s">
        <v>1458</v>
      </c>
      <c r="G254" s="632" t="s">
        <v>578</v>
      </c>
      <c r="H254" s="632" t="s">
        <v>1307</v>
      </c>
      <c r="I254" s="632" t="s">
        <v>1307</v>
      </c>
      <c r="J254" s="632" t="s">
        <v>1088</v>
      </c>
      <c r="K254" s="632" t="s">
        <v>1308</v>
      </c>
      <c r="L254" s="634">
        <v>60.259642533406833</v>
      </c>
      <c r="M254" s="634">
        <v>2</v>
      </c>
      <c r="N254" s="635">
        <v>120.51928506681367</v>
      </c>
    </row>
    <row r="255" spans="1:14" ht="14.4" customHeight="1" x14ac:dyDescent="0.3">
      <c r="A255" s="630" t="s">
        <v>556</v>
      </c>
      <c r="B255" s="631" t="s">
        <v>557</v>
      </c>
      <c r="C255" s="632" t="s">
        <v>571</v>
      </c>
      <c r="D255" s="633" t="s">
        <v>1457</v>
      </c>
      <c r="E255" s="632" t="s">
        <v>577</v>
      </c>
      <c r="F255" s="633" t="s">
        <v>1458</v>
      </c>
      <c r="G255" s="632" t="s">
        <v>578</v>
      </c>
      <c r="H255" s="632" t="s">
        <v>1309</v>
      </c>
      <c r="I255" s="632" t="s">
        <v>238</v>
      </c>
      <c r="J255" s="632" t="s">
        <v>1310</v>
      </c>
      <c r="K255" s="632"/>
      <c r="L255" s="634">
        <v>169.94013682960093</v>
      </c>
      <c r="M255" s="634">
        <v>5</v>
      </c>
      <c r="N255" s="635">
        <v>849.7006841480046</v>
      </c>
    </row>
    <row r="256" spans="1:14" ht="14.4" customHeight="1" x14ac:dyDescent="0.3">
      <c r="A256" s="630" t="s">
        <v>556</v>
      </c>
      <c r="B256" s="631" t="s">
        <v>557</v>
      </c>
      <c r="C256" s="632" t="s">
        <v>571</v>
      </c>
      <c r="D256" s="633" t="s">
        <v>1457</v>
      </c>
      <c r="E256" s="632" t="s">
        <v>577</v>
      </c>
      <c r="F256" s="633" t="s">
        <v>1458</v>
      </c>
      <c r="G256" s="632" t="s">
        <v>914</v>
      </c>
      <c r="H256" s="632" t="s">
        <v>915</v>
      </c>
      <c r="I256" s="632" t="s">
        <v>916</v>
      </c>
      <c r="J256" s="632" t="s">
        <v>917</v>
      </c>
      <c r="K256" s="632" t="s">
        <v>918</v>
      </c>
      <c r="L256" s="634">
        <v>134.12000000000003</v>
      </c>
      <c r="M256" s="634">
        <v>2</v>
      </c>
      <c r="N256" s="635">
        <v>268.24000000000007</v>
      </c>
    </row>
    <row r="257" spans="1:14" ht="14.4" customHeight="1" x14ac:dyDescent="0.3">
      <c r="A257" s="630" t="s">
        <v>556</v>
      </c>
      <c r="B257" s="631" t="s">
        <v>557</v>
      </c>
      <c r="C257" s="632" t="s">
        <v>571</v>
      </c>
      <c r="D257" s="633" t="s">
        <v>1457</v>
      </c>
      <c r="E257" s="632" t="s">
        <v>577</v>
      </c>
      <c r="F257" s="633" t="s">
        <v>1458</v>
      </c>
      <c r="G257" s="632" t="s">
        <v>914</v>
      </c>
      <c r="H257" s="632" t="s">
        <v>1311</v>
      </c>
      <c r="I257" s="632" t="s">
        <v>1312</v>
      </c>
      <c r="J257" s="632" t="s">
        <v>1313</v>
      </c>
      <c r="K257" s="632" t="s">
        <v>1314</v>
      </c>
      <c r="L257" s="634">
        <v>47.330136060679799</v>
      </c>
      <c r="M257" s="634">
        <v>1</v>
      </c>
      <c r="N257" s="635">
        <v>47.330136060679799</v>
      </c>
    </row>
    <row r="258" spans="1:14" ht="14.4" customHeight="1" x14ac:dyDescent="0.3">
      <c r="A258" s="630" t="s">
        <v>556</v>
      </c>
      <c r="B258" s="631" t="s">
        <v>557</v>
      </c>
      <c r="C258" s="632" t="s">
        <v>571</v>
      </c>
      <c r="D258" s="633" t="s">
        <v>1457</v>
      </c>
      <c r="E258" s="632" t="s">
        <v>577</v>
      </c>
      <c r="F258" s="633" t="s">
        <v>1458</v>
      </c>
      <c r="G258" s="632" t="s">
        <v>914</v>
      </c>
      <c r="H258" s="632" t="s">
        <v>1315</v>
      </c>
      <c r="I258" s="632" t="s">
        <v>1316</v>
      </c>
      <c r="J258" s="632" t="s">
        <v>1317</v>
      </c>
      <c r="K258" s="632" t="s">
        <v>1318</v>
      </c>
      <c r="L258" s="634">
        <v>492.2</v>
      </c>
      <c r="M258" s="634">
        <v>2</v>
      </c>
      <c r="N258" s="635">
        <v>984.4</v>
      </c>
    </row>
    <row r="259" spans="1:14" ht="14.4" customHeight="1" x14ac:dyDescent="0.3">
      <c r="A259" s="630" t="s">
        <v>556</v>
      </c>
      <c r="B259" s="631" t="s">
        <v>557</v>
      </c>
      <c r="C259" s="632" t="s">
        <v>571</v>
      </c>
      <c r="D259" s="633" t="s">
        <v>1457</v>
      </c>
      <c r="E259" s="632" t="s">
        <v>577</v>
      </c>
      <c r="F259" s="633" t="s">
        <v>1458</v>
      </c>
      <c r="G259" s="632" t="s">
        <v>914</v>
      </c>
      <c r="H259" s="632" t="s">
        <v>1319</v>
      </c>
      <c r="I259" s="632" t="s">
        <v>1320</v>
      </c>
      <c r="J259" s="632" t="s">
        <v>1321</v>
      </c>
      <c r="K259" s="632" t="s">
        <v>1322</v>
      </c>
      <c r="L259" s="634">
        <v>110.78999999999998</v>
      </c>
      <c r="M259" s="634">
        <v>2</v>
      </c>
      <c r="N259" s="635">
        <v>221.57999999999996</v>
      </c>
    </row>
    <row r="260" spans="1:14" ht="14.4" customHeight="1" x14ac:dyDescent="0.3">
      <c r="A260" s="630" t="s">
        <v>556</v>
      </c>
      <c r="B260" s="631" t="s">
        <v>557</v>
      </c>
      <c r="C260" s="632" t="s">
        <v>571</v>
      </c>
      <c r="D260" s="633" t="s">
        <v>1457</v>
      </c>
      <c r="E260" s="632" t="s">
        <v>577</v>
      </c>
      <c r="F260" s="633" t="s">
        <v>1458</v>
      </c>
      <c r="G260" s="632" t="s">
        <v>914</v>
      </c>
      <c r="H260" s="632" t="s">
        <v>1323</v>
      </c>
      <c r="I260" s="632" t="s">
        <v>1324</v>
      </c>
      <c r="J260" s="632" t="s">
        <v>1325</v>
      </c>
      <c r="K260" s="632" t="s">
        <v>1326</v>
      </c>
      <c r="L260" s="634">
        <v>73.439529447004702</v>
      </c>
      <c r="M260" s="634">
        <v>1</v>
      </c>
      <c r="N260" s="635">
        <v>73.439529447004702</v>
      </c>
    </row>
    <row r="261" spans="1:14" ht="14.4" customHeight="1" x14ac:dyDescent="0.3">
      <c r="A261" s="630" t="s">
        <v>556</v>
      </c>
      <c r="B261" s="631" t="s">
        <v>557</v>
      </c>
      <c r="C261" s="632" t="s">
        <v>571</v>
      </c>
      <c r="D261" s="633" t="s">
        <v>1457</v>
      </c>
      <c r="E261" s="632" t="s">
        <v>577</v>
      </c>
      <c r="F261" s="633" t="s">
        <v>1458</v>
      </c>
      <c r="G261" s="632" t="s">
        <v>914</v>
      </c>
      <c r="H261" s="632" t="s">
        <v>1327</v>
      </c>
      <c r="I261" s="632" t="s">
        <v>1328</v>
      </c>
      <c r="J261" s="632" t="s">
        <v>1329</v>
      </c>
      <c r="K261" s="632" t="s">
        <v>1330</v>
      </c>
      <c r="L261" s="634">
        <v>79.83</v>
      </c>
      <c r="M261" s="634">
        <v>3</v>
      </c>
      <c r="N261" s="635">
        <v>239.49</v>
      </c>
    </row>
    <row r="262" spans="1:14" ht="14.4" customHeight="1" x14ac:dyDescent="0.3">
      <c r="A262" s="630" t="s">
        <v>556</v>
      </c>
      <c r="B262" s="631" t="s">
        <v>557</v>
      </c>
      <c r="C262" s="632" t="s">
        <v>571</v>
      </c>
      <c r="D262" s="633" t="s">
        <v>1457</v>
      </c>
      <c r="E262" s="632" t="s">
        <v>577</v>
      </c>
      <c r="F262" s="633" t="s">
        <v>1458</v>
      </c>
      <c r="G262" s="632" t="s">
        <v>914</v>
      </c>
      <c r="H262" s="632" t="s">
        <v>923</v>
      </c>
      <c r="I262" s="632" t="s">
        <v>924</v>
      </c>
      <c r="J262" s="632" t="s">
        <v>925</v>
      </c>
      <c r="K262" s="632" t="s">
        <v>926</v>
      </c>
      <c r="L262" s="634">
        <v>3449.9999999999995</v>
      </c>
      <c r="M262" s="634">
        <v>4</v>
      </c>
      <c r="N262" s="635">
        <v>13799.999999999998</v>
      </c>
    </row>
    <row r="263" spans="1:14" ht="14.4" customHeight="1" x14ac:dyDescent="0.3">
      <c r="A263" s="630" t="s">
        <v>556</v>
      </c>
      <c r="B263" s="631" t="s">
        <v>557</v>
      </c>
      <c r="C263" s="632" t="s">
        <v>571</v>
      </c>
      <c r="D263" s="633" t="s">
        <v>1457</v>
      </c>
      <c r="E263" s="632" t="s">
        <v>577</v>
      </c>
      <c r="F263" s="633" t="s">
        <v>1458</v>
      </c>
      <c r="G263" s="632" t="s">
        <v>914</v>
      </c>
      <c r="H263" s="632" t="s">
        <v>1331</v>
      </c>
      <c r="I263" s="632" t="s">
        <v>1332</v>
      </c>
      <c r="J263" s="632" t="s">
        <v>1333</v>
      </c>
      <c r="K263" s="632" t="s">
        <v>1334</v>
      </c>
      <c r="L263" s="634">
        <v>85.47999999999999</v>
      </c>
      <c r="M263" s="634">
        <v>4</v>
      </c>
      <c r="N263" s="635">
        <v>341.91999999999996</v>
      </c>
    </row>
    <row r="264" spans="1:14" ht="14.4" customHeight="1" x14ac:dyDescent="0.3">
      <c r="A264" s="630" t="s">
        <v>556</v>
      </c>
      <c r="B264" s="631" t="s">
        <v>557</v>
      </c>
      <c r="C264" s="632" t="s">
        <v>571</v>
      </c>
      <c r="D264" s="633" t="s">
        <v>1457</v>
      </c>
      <c r="E264" s="632" t="s">
        <v>577</v>
      </c>
      <c r="F264" s="633" t="s">
        <v>1458</v>
      </c>
      <c r="G264" s="632" t="s">
        <v>914</v>
      </c>
      <c r="H264" s="632" t="s">
        <v>1335</v>
      </c>
      <c r="I264" s="632" t="s">
        <v>1336</v>
      </c>
      <c r="J264" s="632" t="s">
        <v>1337</v>
      </c>
      <c r="K264" s="632" t="s">
        <v>1338</v>
      </c>
      <c r="L264" s="634">
        <v>57.980116708548024</v>
      </c>
      <c r="M264" s="634">
        <v>1</v>
      </c>
      <c r="N264" s="635">
        <v>57.980116708548024</v>
      </c>
    </row>
    <row r="265" spans="1:14" ht="14.4" customHeight="1" x14ac:dyDescent="0.3">
      <c r="A265" s="630" t="s">
        <v>556</v>
      </c>
      <c r="B265" s="631" t="s">
        <v>557</v>
      </c>
      <c r="C265" s="632" t="s">
        <v>571</v>
      </c>
      <c r="D265" s="633" t="s">
        <v>1457</v>
      </c>
      <c r="E265" s="632" t="s">
        <v>577</v>
      </c>
      <c r="F265" s="633" t="s">
        <v>1458</v>
      </c>
      <c r="G265" s="632" t="s">
        <v>914</v>
      </c>
      <c r="H265" s="632" t="s">
        <v>1339</v>
      </c>
      <c r="I265" s="632" t="s">
        <v>1340</v>
      </c>
      <c r="J265" s="632" t="s">
        <v>1341</v>
      </c>
      <c r="K265" s="632" t="s">
        <v>1342</v>
      </c>
      <c r="L265" s="634">
        <v>347.60000000000008</v>
      </c>
      <c r="M265" s="634">
        <v>1</v>
      </c>
      <c r="N265" s="635">
        <v>347.60000000000008</v>
      </c>
    </row>
    <row r="266" spans="1:14" ht="14.4" customHeight="1" x14ac:dyDescent="0.3">
      <c r="A266" s="630" t="s">
        <v>556</v>
      </c>
      <c r="B266" s="631" t="s">
        <v>557</v>
      </c>
      <c r="C266" s="632" t="s">
        <v>571</v>
      </c>
      <c r="D266" s="633" t="s">
        <v>1457</v>
      </c>
      <c r="E266" s="632" t="s">
        <v>577</v>
      </c>
      <c r="F266" s="633" t="s">
        <v>1458</v>
      </c>
      <c r="G266" s="632" t="s">
        <v>914</v>
      </c>
      <c r="H266" s="632" t="s">
        <v>1343</v>
      </c>
      <c r="I266" s="632" t="s">
        <v>1344</v>
      </c>
      <c r="J266" s="632" t="s">
        <v>1345</v>
      </c>
      <c r="K266" s="632" t="s">
        <v>1346</v>
      </c>
      <c r="L266" s="634">
        <v>706.99843124486051</v>
      </c>
      <c r="M266" s="634">
        <v>1</v>
      </c>
      <c r="N266" s="635">
        <v>706.99843124486051</v>
      </c>
    </row>
    <row r="267" spans="1:14" ht="14.4" customHeight="1" x14ac:dyDescent="0.3">
      <c r="A267" s="630" t="s">
        <v>556</v>
      </c>
      <c r="B267" s="631" t="s">
        <v>557</v>
      </c>
      <c r="C267" s="632" t="s">
        <v>571</v>
      </c>
      <c r="D267" s="633" t="s">
        <v>1457</v>
      </c>
      <c r="E267" s="632" t="s">
        <v>577</v>
      </c>
      <c r="F267" s="633" t="s">
        <v>1458</v>
      </c>
      <c r="G267" s="632" t="s">
        <v>914</v>
      </c>
      <c r="H267" s="632" t="s">
        <v>1347</v>
      </c>
      <c r="I267" s="632" t="s">
        <v>1348</v>
      </c>
      <c r="J267" s="632" t="s">
        <v>1349</v>
      </c>
      <c r="K267" s="632" t="s">
        <v>1350</v>
      </c>
      <c r="L267" s="634">
        <v>45.195305078678501</v>
      </c>
      <c r="M267" s="634">
        <v>2</v>
      </c>
      <c r="N267" s="635">
        <v>90.390610157357003</v>
      </c>
    </row>
    <row r="268" spans="1:14" ht="14.4" customHeight="1" x14ac:dyDescent="0.3">
      <c r="A268" s="630" t="s">
        <v>556</v>
      </c>
      <c r="B268" s="631" t="s">
        <v>557</v>
      </c>
      <c r="C268" s="632" t="s">
        <v>571</v>
      </c>
      <c r="D268" s="633" t="s">
        <v>1457</v>
      </c>
      <c r="E268" s="632" t="s">
        <v>577</v>
      </c>
      <c r="F268" s="633" t="s">
        <v>1458</v>
      </c>
      <c r="G268" s="632" t="s">
        <v>914</v>
      </c>
      <c r="H268" s="632" t="s">
        <v>939</v>
      </c>
      <c r="I268" s="632" t="s">
        <v>940</v>
      </c>
      <c r="J268" s="632" t="s">
        <v>941</v>
      </c>
      <c r="K268" s="632" t="s">
        <v>942</v>
      </c>
      <c r="L268" s="634">
        <v>83.269999999999953</v>
      </c>
      <c r="M268" s="634">
        <v>1</v>
      </c>
      <c r="N268" s="635">
        <v>83.269999999999953</v>
      </c>
    </row>
    <row r="269" spans="1:14" ht="14.4" customHeight="1" x14ac:dyDescent="0.3">
      <c r="A269" s="630" t="s">
        <v>556</v>
      </c>
      <c r="B269" s="631" t="s">
        <v>557</v>
      </c>
      <c r="C269" s="632" t="s">
        <v>571</v>
      </c>
      <c r="D269" s="633" t="s">
        <v>1457</v>
      </c>
      <c r="E269" s="632" t="s">
        <v>577</v>
      </c>
      <c r="F269" s="633" t="s">
        <v>1458</v>
      </c>
      <c r="G269" s="632" t="s">
        <v>914</v>
      </c>
      <c r="H269" s="632" t="s">
        <v>1351</v>
      </c>
      <c r="I269" s="632" t="s">
        <v>1352</v>
      </c>
      <c r="J269" s="632" t="s">
        <v>1313</v>
      </c>
      <c r="K269" s="632" t="s">
        <v>1353</v>
      </c>
      <c r="L269" s="634">
        <v>135.40492993644705</v>
      </c>
      <c r="M269" s="634">
        <v>4</v>
      </c>
      <c r="N269" s="635">
        <v>541.61971974578819</v>
      </c>
    </row>
    <row r="270" spans="1:14" ht="14.4" customHeight="1" x14ac:dyDescent="0.3">
      <c r="A270" s="630" t="s">
        <v>556</v>
      </c>
      <c r="B270" s="631" t="s">
        <v>557</v>
      </c>
      <c r="C270" s="632" t="s">
        <v>571</v>
      </c>
      <c r="D270" s="633" t="s">
        <v>1457</v>
      </c>
      <c r="E270" s="632" t="s">
        <v>577</v>
      </c>
      <c r="F270" s="633" t="s">
        <v>1458</v>
      </c>
      <c r="G270" s="632" t="s">
        <v>914</v>
      </c>
      <c r="H270" s="632" t="s">
        <v>1354</v>
      </c>
      <c r="I270" s="632" t="s">
        <v>1355</v>
      </c>
      <c r="J270" s="632" t="s">
        <v>1356</v>
      </c>
      <c r="K270" s="632" t="s">
        <v>1357</v>
      </c>
      <c r="L270" s="634">
        <v>36.249999999999979</v>
      </c>
      <c r="M270" s="634">
        <v>1</v>
      </c>
      <c r="N270" s="635">
        <v>36.249999999999979</v>
      </c>
    </row>
    <row r="271" spans="1:14" ht="14.4" customHeight="1" x14ac:dyDescent="0.3">
      <c r="A271" s="630" t="s">
        <v>556</v>
      </c>
      <c r="B271" s="631" t="s">
        <v>557</v>
      </c>
      <c r="C271" s="632" t="s">
        <v>571</v>
      </c>
      <c r="D271" s="633" t="s">
        <v>1457</v>
      </c>
      <c r="E271" s="632" t="s">
        <v>577</v>
      </c>
      <c r="F271" s="633" t="s">
        <v>1458</v>
      </c>
      <c r="G271" s="632" t="s">
        <v>914</v>
      </c>
      <c r="H271" s="632" t="s">
        <v>1358</v>
      </c>
      <c r="I271" s="632" t="s">
        <v>1359</v>
      </c>
      <c r="J271" s="632" t="s">
        <v>1360</v>
      </c>
      <c r="K271" s="632" t="s">
        <v>1361</v>
      </c>
      <c r="L271" s="634">
        <v>472.48000000000013</v>
      </c>
      <c r="M271" s="634">
        <v>2</v>
      </c>
      <c r="N271" s="635">
        <v>944.96000000000026</v>
      </c>
    </row>
    <row r="272" spans="1:14" ht="14.4" customHeight="1" x14ac:dyDescent="0.3">
      <c r="A272" s="630" t="s">
        <v>556</v>
      </c>
      <c r="B272" s="631" t="s">
        <v>557</v>
      </c>
      <c r="C272" s="632" t="s">
        <v>571</v>
      </c>
      <c r="D272" s="633" t="s">
        <v>1457</v>
      </c>
      <c r="E272" s="632" t="s">
        <v>577</v>
      </c>
      <c r="F272" s="633" t="s">
        <v>1458</v>
      </c>
      <c r="G272" s="632" t="s">
        <v>914</v>
      </c>
      <c r="H272" s="632" t="s">
        <v>950</v>
      </c>
      <c r="I272" s="632" t="s">
        <v>951</v>
      </c>
      <c r="J272" s="632" t="s">
        <v>952</v>
      </c>
      <c r="K272" s="632" t="s">
        <v>953</v>
      </c>
      <c r="L272" s="634">
        <v>70.967494208945894</v>
      </c>
      <c r="M272" s="634">
        <v>170</v>
      </c>
      <c r="N272" s="635">
        <v>12064.474015520802</v>
      </c>
    </row>
    <row r="273" spans="1:14" ht="14.4" customHeight="1" x14ac:dyDescent="0.3">
      <c r="A273" s="630" t="s">
        <v>556</v>
      </c>
      <c r="B273" s="631" t="s">
        <v>557</v>
      </c>
      <c r="C273" s="632" t="s">
        <v>571</v>
      </c>
      <c r="D273" s="633" t="s">
        <v>1457</v>
      </c>
      <c r="E273" s="632" t="s">
        <v>577</v>
      </c>
      <c r="F273" s="633" t="s">
        <v>1458</v>
      </c>
      <c r="G273" s="632" t="s">
        <v>914</v>
      </c>
      <c r="H273" s="632" t="s">
        <v>1362</v>
      </c>
      <c r="I273" s="632" t="s">
        <v>1363</v>
      </c>
      <c r="J273" s="632" t="s">
        <v>1364</v>
      </c>
      <c r="K273" s="632" t="s">
        <v>1365</v>
      </c>
      <c r="L273" s="634">
        <v>139.66999999999999</v>
      </c>
      <c r="M273" s="634">
        <v>1</v>
      </c>
      <c r="N273" s="635">
        <v>139.66999999999999</v>
      </c>
    </row>
    <row r="274" spans="1:14" ht="14.4" customHeight="1" x14ac:dyDescent="0.3">
      <c r="A274" s="630" t="s">
        <v>556</v>
      </c>
      <c r="B274" s="631" t="s">
        <v>557</v>
      </c>
      <c r="C274" s="632" t="s">
        <v>571</v>
      </c>
      <c r="D274" s="633" t="s">
        <v>1457</v>
      </c>
      <c r="E274" s="632" t="s">
        <v>577</v>
      </c>
      <c r="F274" s="633" t="s">
        <v>1458</v>
      </c>
      <c r="G274" s="632" t="s">
        <v>914</v>
      </c>
      <c r="H274" s="632" t="s">
        <v>1366</v>
      </c>
      <c r="I274" s="632" t="s">
        <v>1367</v>
      </c>
      <c r="J274" s="632" t="s">
        <v>1317</v>
      </c>
      <c r="K274" s="632" t="s">
        <v>1368</v>
      </c>
      <c r="L274" s="634">
        <v>414</v>
      </c>
      <c r="M274" s="634">
        <v>2</v>
      </c>
      <c r="N274" s="635">
        <v>828</v>
      </c>
    </row>
    <row r="275" spans="1:14" ht="14.4" customHeight="1" x14ac:dyDescent="0.3">
      <c r="A275" s="630" t="s">
        <v>556</v>
      </c>
      <c r="B275" s="631" t="s">
        <v>557</v>
      </c>
      <c r="C275" s="632" t="s">
        <v>571</v>
      </c>
      <c r="D275" s="633" t="s">
        <v>1457</v>
      </c>
      <c r="E275" s="632" t="s">
        <v>577</v>
      </c>
      <c r="F275" s="633" t="s">
        <v>1458</v>
      </c>
      <c r="G275" s="632" t="s">
        <v>914</v>
      </c>
      <c r="H275" s="632" t="s">
        <v>1369</v>
      </c>
      <c r="I275" s="632" t="s">
        <v>1370</v>
      </c>
      <c r="J275" s="632" t="s">
        <v>1371</v>
      </c>
      <c r="K275" s="632" t="s">
        <v>1372</v>
      </c>
      <c r="L275" s="634">
        <v>318.32</v>
      </c>
      <c r="M275" s="634">
        <v>1</v>
      </c>
      <c r="N275" s="635">
        <v>318.32</v>
      </c>
    </row>
    <row r="276" spans="1:14" ht="14.4" customHeight="1" x14ac:dyDescent="0.3">
      <c r="A276" s="630" t="s">
        <v>556</v>
      </c>
      <c r="B276" s="631" t="s">
        <v>557</v>
      </c>
      <c r="C276" s="632" t="s">
        <v>571</v>
      </c>
      <c r="D276" s="633" t="s">
        <v>1457</v>
      </c>
      <c r="E276" s="632" t="s">
        <v>577</v>
      </c>
      <c r="F276" s="633" t="s">
        <v>1458</v>
      </c>
      <c r="G276" s="632" t="s">
        <v>914</v>
      </c>
      <c r="H276" s="632" t="s">
        <v>1373</v>
      </c>
      <c r="I276" s="632" t="s">
        <v>1374</v>
      </c>
      <c r="J276" s="632" t="s">
        <v>1375</v>
      </c>
      <c r="K276" s="632" t="s">
        <v>1376</v>
      </c>
      <c r="L276" s="634">
        <v>83.88000000000001</v>
      </c>
      <c r="M276" s="634">
        <v>6</v>
      </c>
      <c r="N276" s="635">
        <v>503.28000000000009</v>
      </c>
    </row>
    <row r="277" spans="1:14" ht="14.4" customHeight="1" x14ac:dyDescent="0.3">
      <c r="A277" s="630" t="s">
        <v>556</v>
      </c>
      <c r="B277" s="631" t="s">
        <v>557</v>
      </c>
      <c r="C277" s="632" t="s">
        <v>571</v>
      </c>
      <c r="D277" s="633" t="s">
        <v>1457</v>
      </c>
      <c r="E277" s="632" t="s">
        <v>1377</v>
      </c>
      <c r="F277" s="633" t="s">
        <v>1462</v>
      </c>
      <c r="G277" s="632" t="s">
        <v>578</v>
      </c>
      <c r="H277" s="632" t="s">
        <v>1378</v>
      </c>
      <c r="I277" s="632" t="s">
        <v>1379</v>
      </c>
      <c r="J277" s="632" t="s">
        <v>1380</v>
      </c>
      <c r="K277" s="632" t="s">
        <v>1381</v>
      </c>
      <c r="L277" s="634">
        <v>2332.29</v>
      </c>
      <c r="M277" s="634">
        <v>1</v>
      </c>
      <c r="N277" s="635">
        <v>2332.29</v>
      </c>
    </row>
    <row r="278" spans="1:14" ht="14.4" customHeight="1" x14ac:dyDescent="0.3">
      <c r="A278" s="630" t="s">
        <v>556</v>
      </c>
      <c r="B278" s="631" t="s">
        <v>557</v>
      </c>
      <c r="C278" s="632" t="s">
        <v>571</v>
      </c>
      <c r="D278" s="633" t="s">
        <v>1457</v>
      </c>
      <c r="E278" s="632" t="s">
        <v>1377</v>
      </c>
      <c r="F278" s="633" t="s">
        <v>1462</v>
      </c>
      <c r="G278" s="632" t="s">
        <v>578</v>
      </c>
      <c r="H278" s="632" t="s">
        <v>1382</v>
      </c>
      <c r="I278" s="632" t="s">
        <v>1383</v>
      </c>
      <c r="J278" s="632" t="s">
        <v>1384</v>
      </c>
      <c r="K278" s="632" t="s">
        <v>1381</v>
      </c>
      <c r="L278" s="634">
        <v>2416.0050000000001</v>
      </c>
      <c r="M278" s="634">
        <v>2</v>
      </c>
      <c r="N278" s="635">
        <v>4832.01</v>
      </c>
    </row>
    <row r="279" spans="1:14" ht="14.4" customHeight="1" x14ac:dyDescent="0.3">
      <c r="A279" s="630" t="s">
        <v>556</v>
      </c>
      <c r="B279" s="631" t="s">
        <v>557</v>
      </c>
      <c r="C279" s="632" t="s">
        <v>571</v>
      </c>
      <c r="D279" s="633" t="s">
        <v>1457</v>
      </c>
      <c r="E279" s="632" t="s">
        <v>1377</v>
      </c>
      <c r="F279" s="633" t="s">
        <v>1462</v>
      </c>
      <c r="G279" s="632" t="s">
        <v>578</v>
      </c>
      <c r="H279" s="632" t="s">
        <v>1385</v>
      </c>
      <c r="I279" s="632" t="s">
        <v>1386</v>
      </c>
      <c r="J279" s="632" t="s">
        <v>1387</v>
      </c>
      <c r="K279" s="632" t="s">
        <v>1388</v>
      </c>
      <c r="L279" s="634">
        <v>1389.89</v>
      </c>
      <c r="M279" s="634">
        <v>1</v>
      </c>
      <c r="N279" s="635">
        <v>1389.89</v>
      </c>
    </row>
    <row r="280" spans="1:14" ht="14.4" customHeight="1" x14ac:dyDescent="0.3">
      <c r="A280" s="630" t="s">
        <v>556</v>
      </c>
      <c r="B280" s="631" t="s">
        <v>557</v>
      </c>
      <c r="C280" s="632" t="s">
        <v>571</v>
      </c>
      <c r="D280" s="633" t="s">
        <v>1457</v>
      </c>
      <c r="E280" s="632" t="s">
        <v>1377</v>
      </c>
      <c r="F280" s="633" t="s">
        <v>1462</v>
      </c>
      <c r="G280" s="632" t="s">
        <v>578</v>
      </c>
      <c r="H280" s="632" t="s">
        <v>1389</v>
      </c>
      <c r="I280" s="632" t="s">
        <v>1390</v>
      </c>
      <c r="J280" s="632" t="s">
        <v>1391</v>
      </c>
      <c r="K280" s="632" t="s">
        <v>1392</v>
      </c>
      <c r="L280" s="634">
        <v>2156.2499999999995</v>
      </c>
      <c r="M280" s="634">
        <v>1</v>
      </c>
      <c r="N280" s="635">
        <v>2156.2499999999995</v>
      </c>
    </row>
    <row r="281" spans="1:14" ht="14.4" customHeight="1" x14ac:dyDescent="0.3">
      <c r="A281" s="630" t="s">
        <v>556</v>
      </c>
      <c r="B281" s="631" t="s">
        <v>557</v>
      </c>
      <c r="C281" s="632" t="s">
        <v>571</v>
      </c>
      <c r="D281" s="633" t="s">
        <v>1457</v>
      </c>
      <c r="E281" s="632" t="s">
        <v>1377</v>
      </c>
      <c r="F281" s="633" t="s">
        <v>1462</v>
      </c>
      <c r="G281" s="632" t="s">
        <v>578</v>
      </c>
      <c r="H281" s="632" t="s">
        <v>1393</v>
      </c>
      <c r="I281" s="632" t="s">
        <v>238</v>
      </c>
      <c r="J281" s="632" t="s">
        <v>1394</v>
      </c>
      <c r="K281" s="632"/>
      <c r="L281" s="634">
        <v>252.96869420348582</v>
      </c>
      <c r="M281" s="634">
        <v>6</v>
      </c>
      <c r="N281" s="635">
        <v>1517.8121652209149</v>
      </c>
    </row>
    <row r="282" spans="1:14" ht="14.4" customHeight="1" x14ac:dyDescent="0.3">
      <c r="A282" s="630" t="s">
        <v>556</v>
      </c>
      <c r="B282" s="631" t="s">
        <v>557</v>
      </c>
      <c r="C282" s="632" t="s">
        <v>571</v>
      </c>
      <c r="D282" s="633" t="s">
        <v>1457</v>
      </c>
      <c r="E282" s="632" t="s">
        <v>1377</v>
      </c>
      <c r="F282" s="633" t="s">
        <v>1462</v>
      </c>
      <c r="G282" s="632" t="s">
        <v>914</v>
      </c>
      <c r="H282" s="632" t="s">
        <v>1395</v>
      </c>
      <c r="I282" s="632" t="s">
        <v>1396</v>
      </c>
      <c r="J282" s="632" t="s">
        <v>1397</v>
      </c>
      <c r="K282" s="632" t="s">
        <v>1398</v>
      </c>
      <c r="L282" s="634">
        <v>40.569955734514956</v>
      </c>
      <c r="M282" s="634">
        <v>3</v>
      </c>
      <c r="N282" s="635">
        <v>121.70986720354487</v>
      </c>
    </row>
    <row r="283" spans="1:14" ht="14.4" customHeight="1" x14ac:dyDescent="0.3">
      <c r="A283" s="630" t="s">
        <v>556</v>
      </c>
      <c r="B283" s="631" t="s">
        <v>557</v>
      </c>
      <c r="C283" s="632" t="s">
        <v>571</v>
      </c>
      <c r="D283" s="633" t="s">
        <v>1457</v>
      </c>
      <c r="E283" s="632" t="s">
        <v>1377</v>
      </c>
      <c r="F283" s="633" t="s">
        <v>1462</v>
      </c>
      <c r="G283" s="632" t="s">
        <v>914</v>
      </c>
      <c r="H283" s="632" t="s">
        <v>1399</v>
      </c>
      <c r="I283" s="632" t="s">
        <v>1400</v>
      </c>
      <c r="J283" s="632" t="s">
        <v>1401</v>
      </c>
      <c r="K283" s="632"/>
      <c r="L283" s="634">
        <v>40.56986720354486</v>
      </c>
      <c r="M283" s="634">
        <v>3</v>
      </c>
      <c r="N283" s="635">
        <v>121.70960161063458</v>
      </c>
    </row>
    <row r="284" spans="1:14" ht="14.4" customHeight="1" x14ac:dyDescent="0.3">
      <c r="A284" s="630" t="s">
        <v>556</v>
      </c>
      <c r="B284" s="631" t="s">
        <v>557</v>
      </c>
      <c r="C284" s="632" t="s">
        <v>571</v>
      </c>
      <c r="D284" s="633" t="s">
        <v>1457</v>
      </c>
      <c r="E284" s="632" t="s">
        <v>970</v>
      </c>
      <c r="F284" s="633" t="s">
        <v>1459</v>
      </c>
      <c r="G284" s="632" t="s">
        <v>578</v>
      </c>
      <c r="H284" s="632" t="s">
        <v>1402</v>
      </c>
      <c r="I284" s="632" t="s">
        <v>1402</v>
      </c>
      <c r="J284" s="632" t="s">
        <v>1403</v>
      </c>
      <c r="K284" s="632" t="s">
        <v>1404</v>
      </c>
      <c r="L284" s="634">
        <v>72.840023775204727</v>
      </c>
      <c r="M284" s="634">
        <v>3</v>
      </c>
      <c r="N284" s="635">
        <v>218.5200713256142</v>
      </c>
    </row>
    <row r="285" spans="1:14" ht="14.4" customHeight="1" x14ac:dyDescent="0.3">
      <c r="A285" s="630" t="s">
        <v>556</v>
      </c>
      <c r="B285" s="631" t="s">
        <v>557</v>
      </c>
      <c r="C285" s="632" t="s">
        <v>571</v>
      </c>
      <c r="D285" s="633" t="s">
        <v>1457</v>
      </c>
      <c r="E285" s="632" t="s">
        <v>970</v>
      </c>
      <c r="F285" s="633" t="s">
        <v>1459</v>
      </c>
      <c r="G285" s="632" t="s">
        <v>578</v>
      </c>
      <c r="H285" s="632" t="s">
        <v>987</v>
      </c>
      <c r="I285" s="632" t="s">
        <v>988</v>
      </c>
      <c r="J285" s="632" t="s">
        <v>989</v>
      </c>
      <c r="K285" s="632" t="s">
        <v>990</v>
      </c>
      <c r="L285" s="634">
        <v>181.79999999999995</v>
      </c>
      <c r="M285" s="634">
        <v>2</v>
      </c>
      <c r="N285" s="635">
        <v>363.59999999999991</v>
      </c>
    </row>
    <row r="286" spans="1:14" ht="14.4" customHeight="1" x14ac:dyDescent="0.3">
      <c r="A286" s="630" t="s">
        <v>556</v>
      </c>
      <c r="B286" s="631" t="s">
        <v>557</v>
      </c>
      <c r="C286" s="632" t="s">
        <v>571</v>
      </c>
      <c r="D286" s="633" t="s">
        <v>1457</v>
      </c>
      <c r="E286" s="632" t="s">
        <v>970</v>
      </c>
      <c r="F286" s="633" t="s">
        <v>1459</v>
      </c>
      <c r="G286" s="632" t="s">
        <v>578</v>
      </c>
      <c r="H286" s="632" t="s">
        <v>991</v>
      </c>
      <c r="I286" s="632" t="s">
        <v>992</v>
      </c>
      <c r="J286" s="632" t="s">
        <v>993</v>
      </c>
      <c r="K286" s="632" t="s">
        <v>994</v>
      </c>
      <c r="L286" s="634">
        <v>1116.1300000000001</v>
      </c>
      <c r="M286" s="634">
        <v>1.25</v>
      </c>
      <c r="N286" s="635">
        <v>1395.1625000000001</v>
      </c>
    </row>
    <row r="287" spans="1:14" ht="14.4" customHeight="1" x14ac:dyDescent="0.3">
      <c r="A287" s="630" t="s">
        <v>556</v>
      </c>
      <c r="B287" s="631" t="s">
        <v>557</v>
      </c>
      <c r="C287" s="632" t="s">
        <v>571</v>
      </c>
      <c r="D287" s="633" t="s">
        <v>1457</v>
      </c>
      <c r="E287" s="632" t="s">
        <v>970</v>
      </c>
      <c r="F287" s="633" t="s">
        <v>1459</v>
      </c>
      <c r="G287" s="632" t="s">
        <v>578</v>
      </c>
      <c r="H287" s="632" t="s">
        <v>1405</v>
      </c>
      <c r="I287" s="632" t="s">
        <v>1406</v>
      </c>
      <c r="J287" s="632" t="s">
        <v>1407</v>
      </c>
      <c r="K287" s="632" t="s">
        <v>1408</v>
      </c>
      <c r="L287" s="634">
        <v>641.99</v>
      </c>
      <c r="M287" s="634">
        <v>2</v>
      </c>
      <c r="N287" s="635">
        <v>1283.98</v>
      </c>
    </row>
    <row r="288" spans="1:14" ht="14.4" customHeight="1" x14ac:dyDescent="0.3">
      <c r="A288" s="630" t="s">
        <v>556</v>
      </c>
      <c r="B288" s="631" t="s">
        <v>557</v>
      </c>
      <c r="C288" s="632" t="s">
        <v>571</v>
      </c>
      <c r="D288" s="633" t="s">
        <v>1457</v>
      </c>
      <c r="E288" s="632" t="s">
        <v>970</v>
      </c>
      <c r="F288" s="633" t="s">
        <v>1459</v>
      </c>
      <c r="G288" s="632" t="s">
        <v>578</v>
      </c>
      <c r="H288" s="632" t="s">
        <v>1015</v>
      </c>
      <c r="I288" s="632" t="s">
        <v>1015</v>
      </c>
      <c r="J288" s="632" t="s">
        <v>1016</v>
      </c>
      <c r="K288" s="632" t="s">
        <v>1017</v>
      </c>
      <c r="L288" s="634">
        <v>1079.0996398321417</v>
      </c>
      <c r="M288" s="634">
        <v>15</v>
      </c>
      <c r="N288" s="635">
        <v>16186.494597482128</v>
      </c>
    </row>
    <row r="289" spans="1:14" ht="14.4" customHeight="1" x14ac:dyDescent="0.3">
      <c r="A289" s="630" t="s">
        <v>556</v>
      </c>
      <c r="B289" s="631" t="s">
        <v>557</v>
      </c>
      <c r="C289" s="632" t="s">
        <v>571</v>
      </c>
      <c r="D289" s="633" t="s">
        <v>1457</v>
      </c>
      <c r="E289" s="632" t="s">
        <v>970</v>
      </c>
      <c r="F289" s="633" t="s">
        <v>1459</v>
      </c>
      <c r="G289" s="632" t="s">
        <v>578</v>
      </c>
      <c r="H289" s="632" t="s">
        <v>1409</v>
      </c>
      <c r="I289" s="632" t="s">
        <v>1410</v>
      </c>
      <c r="J289" s="632" t="s">
        <v>1411</v>
      </c>
      <c r="K289" s="632" t="s">
        <v>1412</v>
      </c>
      <c r="L289" s="634">
        <v>82.83</v>
      </c>
      <c r="M289" s="634">
        <v>4</v>
      </c>
      <c r="N289" s="635">
        <v>331.32</v>
      </c>
    </row>
    <row r="290" spans="1:14" ht="14.4" customHeight="1" x14ac:dyDescent="0.3">
      <c r="A290" s="630" t="s">
        <v>556</v>
      </c>
      <c r="B290" s="631" t="s">
        <v>557</v>
      </c>
      <c r="C290" s="632" t="s">
        <v>571</v>
      </c>
      <c r="D290" s="633" t="s">
        <v>1457</v>
      </c>
      <c r="E290" s="632" t="s">
        <v>970</v>
      </c>
      <c r="F290" s="633" t="s">
        <v>1459</v>
      </c>
      <c r="G290" s="632" t="s">
        <v>578</v>
      </c>
      <c r="H290" s="632" t="s">
        <v>1413</v>
      </c>
      <c r="I290" s="632" t="s">
        <v>1413</v>
      </c>
      <c r="J290" s="632" t="s">
        <v>1414</v>
      </c>
      <c r="K290" s="632" t="s">
        <v>1415</v>
      </c>
      <c r="L290" s="634">
        <v>1851.4999999999998</v>
      </c>
      <c r="M290" s="634">
        <v>2.8</v>
      </c>
      <c r="N290" s="635">
        <v>5184.1999999999989</v>
      </c>
    </row>
    <row r="291" spans="1:14" ht="14.4" customHeight="1" x14ac:dyDescent="0.3">
      <c r="A291" s="630" t="s">
        <v>556</v>
      </c>
      <c r="B291" s="631" t="s">
        <v>557</v>
      </c>
      <c r="C291" s="632" t="s">
        <v>571</v>
      </c>
      <c r="D291" s="633" t="s">
        <v>1457</v>
      </c>
      <c r="E291" s="632" t="s">
        <v>970</v>
      </c>
      <c r="F291" s="633" t="s">
        <v>1459</v>
      </c>
      <c r="G291" s="632" t="s">
        <v>914</v>
      </c>
      <c r="H291" s="632" t="s">
        <v>1018</v>
      </c>
      <c r="I291" s="632" t="s">
        <v>1019</v>
      </c>
      <c r="J291" s="632" t="s">
        <v>1020</v>
      </c>
      <c r="K291" s="632" t="s">
        <v>1021</v>
      </c>
      <c r="L291" s="634">
        <v>169.95205735037158</v>
      </c>
      <c r="M291" s="634">
        <v>1</v>
      </c>
      <c r="N291" s="635">
        <v>169.95205735037158</v>
      </c>
    </row>
    <row r="292" spans="1:14" ht="14.4" customHeight="1" x14ac:dyDescent="0.3">
      <c r="A292" s="630" t="s">
        <v>556</v>
      </c>
      <c r="B292" s="631" t="s">
        <v>557</v>
      </c>
      <c r="C292" s="632" t="s">
        <v>571</v>
      </c>
      <c r="D292" s="633" t="s">
        <v>1457</v>
      </c>
      <c r="E292" s="632" t="s">
        <v>970</v>
      </c>
      <c r="F292" s="633" t="s">
        <v>1459</v>
      </c>
      <c r="G292" s="632" t="s">
        <v>914</v>
      </c>
      <c r="H292" s="632" t="s">
        <v>1022</v>
      </c>
      <c r="I292" s="632" t="s">
        <v>1023</v>
      </c>
      <c r="J292" s="632" t="s">
        <v>1024</v>
      </c>
      <c r="K292" s="632" t="s">
        <v>1025</v>
      </c>
      <c r="L292" s="634">
        <v>88.600000000000009</v>
      </c>
      <c r="M292" s="634">
        <v>30</v>
      </c>
      <c r="N292" s="635">
        <v>2658.0000000000005</v>
      </c>
    </row>
    <row r="293" spans="1:14" ht="14.4" customHeight="1" x14ac:dyDescent="0.3">
      <c r="A293" s="630" t="s">
        <v>556</v>
      </c>
      <c r="B293" s="631" t="s">
        <v>557</v>
      </c>
      <c r="C293" s="632" t="s">
        <v>571</v>
      </c>
      <c r="D293" s="633" t="s">
        <v>1457</v>
      </c>
      <c r="E293" s="632" t="s">
        <v>970</v>
      </c>
      <c r="F293" s="633" t="s">
        <v>1459</v>
      </c>
      <c r="G293" s="632" t="s">
        <v>914</v>
      </c>
      <c r="H293" s="632" t="s">
        <v>1026</v>
      </c>
      <c r="I293" s="632" t="s">
        <v>1027</v>
      </c>
      <c r="J293" s="632" t="s">
        <v>989</v>
      </c>
      <c r="K293" s="632" t="s">
        <v>1028</v>
      </c>
      <c r="L293" s="634">
        <v>45.843108411578626</v>
      </c>
      <c r="M293" s="634">
        <v>427</v>
      </c>
      <c r="N293" s="635">
        <v>19575.007291744074</v>
      </c>
    </row>
    <row r="294" spans="1:14" ht="14.4" customHeight="1" x14ac:dyDescent="0.3">
      <c r="A294" s="630" t="s">
        <v>556</v>
      </c>
      <c r="B294" s="631" t="s">
        <v>557</v>
      </c>
      <c r="C294" s="632" t="s">
        <v>571</v>
      </c>
      <c r="D294" s="633" t="s">
        <v>1457</v>
      </c>
      <c r="E294" s="632" t="s">
        <v>970</v>
      </c>
      <c r="F294" s="633" t="s">
        <v>1459</v>
      </c>
      <c r="G294" s="632" t="s">
        <v>914</v>
      </c>
      <c r="H294" s="632" t="s">
        <v>1416</v>
      </c>
      <c r="I294" s="632" t="s">
        <v>1417</v>
      </c>
      <c r="J294" s="632" t="s">
        <v>1418</v>
      </c>
      <c r="K294" s="632" t="s">
        <v>1032</v>
      </c>
      <c r="L294" s="634">
        <v>138.35997886122902</v>
      </c>
      <c r="M294" s="634">
        <v>2</v>
      </c>
      <c r="N294" s="635">
        <v>276.71995772245805</v>
      </c>
    </row>
    <row r="295" spans="1:14" ht="14.4" customHeight="1" x14ac:dyDescent="0.3">
      <c r="A295" s="630" t="s">
        <v>556</v>
      </c>
      <c r="B295" s="631" t="s">
        <v>557</v>
      </c>
      <c r="C295" s="632" t="s">
        <v>571</v>
      </c>
      <c r="D295" s="633" t="s">
        <v>1457</v>
      </c>
      <c r="E295" s="632" t="s">
        <v>970</v>
      </c>
      <c r="F295" s="633" t="s">
        <v>1459</v>
      </c>
      <c r="G295" s="632" t="s">
        <v>914</v>
      </c>
      <c r="H295" s="632" t="s">
        <v>1419</v>
      </c>
      <c r="I295" s="632" t="s">
        <v>1420</v>
      </c>
      <c r="J295" s="632" t="s">
        <v>1421</v>
      </c>
      <c r="K295" s="632" t="s">
        <v>1422</v>
      </c>
      <c r="L295" s="634">
        <v>261.05</v>
      </c>
      <c r="M295" s="634">
        <v>20</v>
      </c>
      <c r="N295" s="635">
        <v>5221</v>
      </c>
    </row>
    <row r="296" spans="1:14" ht="14.4" customHeight="1" x14ac:dyDescent="0.3">
      <c r="A296" s="630" t="s">
        <v>556</v>
      </c>
      <c r="B296" s="631" t="s">
        <v>557</v>
      </c>
      <c r="C296" s="632" t="s">
        <v>571</v>
      </c>
      <c r="D296" s="633" t="s">
        <v>1457</v>
      </c>
      <c r="E296" s="632" t="s">
        <v>970</v>
      </c>
      <c r="F296" s="633" t="s">
        <v>1459</v>
      </c>
      <c r="G296" s="632" t="s">
        <v>914</v>
      </c>
      <c r="H296" s="632" t="s">
        <v>1033</v>
      </c>
      <c r="I296" s="632" t="s">
        <v>1034</v>
      </c>
      <c r="J296" s="632" t="s">
        <v>1035</v>
      </c>
      <c r="K296" s="632" t="s">
        <v>998</v>
      </c>
      <c r="L296" s="634">
        <v>207.00012376984887</v>
      </c>
      <c r="M296" s="634">
        <v>2.3999999999999995</v>
      </c>
      <c r="N296" s="635">
        <v>496.80029704763717</v>
      </c>
    </row>
    <row r="297" spans="1:14" ht="14.4" customHeight="1" x14ac:dyDescent="0.3">
      <c r="A297" s="630" t="s">
        <v>556</v>
      </c>
      <c r="B297" s="631" t="s">
        <v>557</v>
      </c>
      <c r="C297" s="632" t="s">
        <v>571</v>
      </c>
      <c r="D297" s="633" t="s">
        <v>1457</v>
      </c>
      <c r="E297" s="632" t="s">
        <v>970</v>
      </c>
      <c r="F297" s="633" t="s">
        <v>1459</v>
      </c>
      <c r="G297" s="632" t="s">
        <v>914</v>
      </c>
      <c r="H297" s="632" t="s">
        <v>1036</v>
      </c>
      <c r="I297" s="632" t="s">
        <v>1037</v>
      </c>
      <c r="J297" s="632" t="s">
        <v>1038</v>
      </c>
      <c r="K297" s="632" t="s">
        <v>1039</v>
      </c>
      <c r="L297" s="634">
        <v>92.0001122734555</v>
      </c>
      <c r="M297" s="634">
        <v>15.2</v>
      </c>
      <c r="N297" s="635">
        <v>1398.4017065565235</v>
      </c>
    </row>
    <row r="298" spans="1:14" ht="14.4" customHeight="1" x14ac:dyDescent="0.3">
      <c r="A298" s="630" t="s">
        <v>556</v>
      </c>
      <c r="B298" s="631" t="s">
        <v>557</v>
      </c>
      <c r="C298" s="632" t="s">
        <v>571</v>
      </c>
      <c r="D298" s="633" t="s">
        <v>1457</v>
      </c>
      <c r="E298" s="632" t="s">
        <v>970</v>
      </c>
      <c r="F298" s="633" t="s">
        <v>1459</v>
      </c>
      <c r="G298" s="632" t="s">
        <v>914</v>
      </c>
      <c r="H298" s="632" t="s">
        <v>1423</v>
      </c>
      <c r="I298" s="632" t="s">
        <v>1424</v>
      </c>
      <c r="J298" s="632" t="s">
        <v>1425</v>
      </c>
      <c r="K298" s="632" t="s">
        <v>1426</v>
      </c>
      <c r="L298" s="634">
        <v>75.22</v>
      </c>
      <c r="M298" s="634">
        <v>12</v>
      </c>
      <c r="N298" s="635">
        <v>902.64</v>
      </c>
    </row>
    <row r="299" spans="1:14" ht="14.4" customHeight="1" x14ac:dyDescent="0.3">
      <c r="A299" s="630" t="s">
        <v>556</v>
      </c>
      <c r="B299" s="631" t="s">
        <v>557</v>
      </c>
      <c r="C299" s="632" t="s">
        <v>571</v>
      </c>
      <c r="D299" s="633" t="s">
        <v>1457</v>
      </c>
      <c r="E299" s="632" t="s">
        <v>970</v>
      </c>
      <c r="F299" s="633" t="s">
        <v>1459</v>
      </c>
      <c r="G299" s="632" t="s">
        <v>914</v>
      </c>
      <c r="H299" s="632" t="s">
        <v>1040</v>
      </c>
      <c r="I299" s="632" t="s">
        <v>1041</v>
      </c>
      <c r="J299" s="632" t="s">
        <v>1042</v>
      </c>
      <c r="K299" s="632" t="s">
        <v>1043</v>
      </c>
      <c r="L299" s="634">
        <v>120.43000000000002</v>
      </c>
      <c r="M299" s="634">
        <v>1</v>
      </c>
      <c r="N299" s="635">
        <v>120.43000000000002</v>
      </c>
    </row>
    <row r="300" spans="1:14" ht="14.4" customHeight="1" x14ac:dyDescent="0.3">
      <c r="A300" s="630" t="s">
        <v>556</v>
      </c>
      <c r="B300" s="631" t="s">
        <v>557</v>
      </c>
      <c r="C300" s="632" t="s">
        <v>571</v>
      </c>
      <c r="D300" s="633" t="s">
        <v>1457</v>
      </c>
      <c r="E300" s="632" t="s">
        <v>970</v>
      </c>
      <c r="F300" s="633" t="s">
        <v>1459</v>
      </c>
      <c r="G300" s="632" t="s">
        <v>914</v>
      </c>
      <c r="H300" s="632" t="s">
        <v>1427</v>
      </c>
      <c r="I300" s="632" t="s">
        <v>1428</v>
      </c>
      <c r="J300" s="632" t="s">
        <v>1429</v>
      </c>
      <c r="K300" s="632" t="s">
        <v>1430</v>
      </c>
      <c r="L300" s="634">
        <v>54.429999999999993</v>
      </c>
      <c r="M300" s="634">
        <v>30</v>
      </c>
      <c r="N300" s="635">
        <v>1632.8999999999999</v>
      </c>
    </row>
    <row r="301" spans="1:14" ht="14.4" customHeight="1" x14ac:dyDescent="0.3">
      <c r="A301" s="630" t="s">
        <v>556</v>
      </c>
      <c r="B301" s="631" t="s">
        <v>557</v>
      </c>
      <c r="C301" s="632" t="s">
        <v>571</v>
      </c>
      <c r="D301" s="633" t="s">
        <v>1457</v>
      </c>
      <c r="E301" s="632" t="s">
        <v>970</v>
      </c>
      <c r="F301" s="633" t="s">
        <v>1459</v>
      </c>
      <c r="G301" s="632" t="s">
        <v>914</v>
      </c>
      <c r="H301" s="632" t="s">
        <v>1431</v>
      </c>
      <c r="I301" s="632" t="s">
        <v>1432</v>
      </c>
      <c r="J301" s="632" t="s">
        <v>1433</v>
      </c>
      <c r="K301" s="632" t="s">
        <v>1434</v>
      </c>
      <c r="L301" s="634">
        <v>12568.020000000004</v>
      </c>
      <c r="M301" s="634">
        <v>1.5</v>
      </c>
      <c r="N301" s="635">
        <v>18852.030000000006</v>
      </c>
    </row>
    <row r="302" spans="1:14" ht="14.4" customHeight="1" x14ac:dyDescent="0.3">
      <c r="A302" s="630" t="s">
        <v>556</v>
      </c>
      <c r="B302" s="631" t="s">
        <v>557</v>
      </c>
      <c r="C302" s="632" t="s">
        <v>571</v>
      </c>
      <c r="D302" s="633" t="s">
        <v>1457</v>
      </c>
      <c r="E302" s="632" t="s">
        <v>970</v>
      </c>
      <c r="F302" s="633" t="s">
        <v>1459</v>
      </c>
      <c r="G302" s="632" t="s">
        <v>914</v>
      </c>
      <c r="H302" s="632" t="s">
        <v>1435</v>
      </c>
      <c r="I302" s="632" t="s">
        <v>1435</v>
      </c>
      <c r="J302" s="632" t="s">
        <v>1436</v>
      </c>
      <c r="K302" s="632" t="s">
        <v>1437</v>
      </c>
      <c r="L302" s="634">
        <v>1495</v>
      </c>
      <c r="M302" s="634">
        <v>8</v>
      </c>
      <c r="N302" s="635">
        <v>11960</v>
      </c>
    </row>
    <row r="303" spans="1:14" ht="14.4" customHeight="1" x14ac:dyDescent="0.3">
      <c r="A303" s="630" t="s">
        <v>556</v>
      </c>
      <c r="B303" s="631" t="s">
        <v>557</v>
      </c>
      <c r="C303" s="632" t="s">
        <v>571</v>
      </c>
      <c r="D303" s="633" t="s">
        <v>1457</v>
      </c>
      <c r="E303" s="632" t="s">
        <v>1048</v>
      </c>
      <c r="F303" s="633" t="s">
        <v>1460</v>
      </c>
      <c r="G303" s="632" t="s">
        <v>578</v>
      </c>
      <c r="H303" s="632" t="s">
        <v>1438</v>
      </c>
      <c r="I303" s="632" t="s">
        <v>1439</v>
      </c>
      <c r="J303" s="632" t="s">
        <v>1440</v>
      </c>
      <c r="K303" s="632" t="s">
        <v>1441</v>
      </c>
      <c r="L303" s="634">
        <v>76.769858788513247</v>
      </c>
      <c r="M303" s="634">
        <v>3</v>
      </c>
      <c r="N303" s="635">
        <v>230.30957636553973</v>
      </c>
    </row>
    <row r="304" spans="1:14" ht="14.4" customHeight="1" x14ac:dyDescent="0.3">
      <c r="A304" s="630" t="s">
        <v>556</v>
      </c>
      <c r="B304" s="631" t="s">
        <v>557</v>
      </c>
      <c r="C304" s="632" t="s">
        <v>571</v>
      </c>
      <c r="D304" s="633" t="s">
        <v>1457</v>
      </c>
      <c r="E304" s="632" t="s">
        <v>1048</v>
      </c>
      <c r="F304" s="633" t="s">
        <v>1460</v>
      </c>
      <c r="G304" s="632" t="s">
        <v>578</v>
      </c>
      <c r="H304" s="632" t="s">
        <v>1442</v>
      </c>
      <c r="I304" s="632" t="s">
        <v>1443</v>
      </c>
      <c r="J304" s="632" t="s">
        <v>1444</v>
      </c>
      <c r="K304" s="632" t="s">
        <v>1445</v>
      </c>
      <c r="L304" s="634">
        <v>108.58</v>
      </c>
      <c r="M304" s="634">
        <v>2</v>
      </c>
      <c r="N304" s="635">
        <v>217.16</v>
      </c>
    </row>
    <row r="305" spans="1:14" ht="14.4" customHeight="1" x14ac:dyDescent="0.3">
      <c r="A305" s="630" t="s">
        <v>556</v>
      </c>
      <c r="B305" s="631" t="s">
        <v>557</v>
      </c>
      <c r="C305" s="632" t="s">
        <v>571</v>
      </c>
      <c r="D305" s="633" t="s">
        <v>1457</v>
      </c>
      <c r="E305" s="632" t="s">
        <v>1048</v>
      </c>
      <c r="F305" s="633" t="s">
        <v>1460</v>
      </c>
      <c r="G305" s="632" t="s">
        <v>914</v>
      </c>
      <c r="H305" s="632" t="s">
        <v>1446</v>
      </c>
      <c r="I305" s="632" t="s">
        <v>1447</v>
      </c>
      <c r="J305" s="632" t="s">
        <v>1448</v>
      </c>
      <c r="K305" s="632"/>
      <c r="L305" s="634">
        <v>31.589999999999996</v>
      </c>
      <c r="M305" s="634">
        <v>30</v>
      </c>
      <c r="N305" s="635">
        <v>947.69999999999993</v>
      </c>
    </row>
    <row r="306" spans="1:14" ht="14.4" customHeight="1" x14ac:dyDescent="0.3">
      <c r="A306" s="630" t="s">
        <v>556</v>
      </c>
      <c r="B306" s="631" t="s">
        <v>557</v>
      </c>
      <c r="C306" s="632" t="s">
        <v>571</v>
      </c>
      <c r="D306" s="633" t="s">
        <v>1457</v>
      </c>
      <c r="E306" s="632" t="s">
        <v>1048</v>
      </c>
      <c r="F306" s="633" t="s">
        <v>1460</v>
      </c>
      <c r="G306" s="632" t="s">
        <v>914</v>
      </c>
      <c r="H306" s="632" t="s">
        <v>1449</v>
      </c>
      <c r="I306" s="632" t="s">
        <v>1450</v>
      </c>
      <c r="J306" s="632" t="s">
        <v>1451</v>
      </c>
      <c r="K306" s="632" t="s">
        <v>1452</v>
      </c>
      <c r="L306" s="634">
        <v>1831.3400000000004</v>
      </c>
      <c r="M306" s="634">
        <v>1</v>
      </c>
      <c r="N306" s="635">
        <v>1831.3400000000004</v>
      </c>
    </row>
    <row r="307" spans="1:14" ht="14.4" customHeight="1" thickBot="1" x14ac:dyDescent="0.35">
      <c r="A307" s="636" t="s">
        <v>556</v>
      </c>
      <c r="B307" s="637" t="s">
        <v>557</v>
      </c>
      <c r="C307" s="638" t="s">
        <v>571</v>
      </c>
      <c r="D307" s="639" t="s">
        <v>1457</v>
      </c>
      <c r="E307" s="638" t="s">
        <v>1053</v>
      </c>
      <c r="F307" s="639" t="s">
        <v>1461</v>
      </c>
      <c r="G307" s="638"/>
      <c r="H307" s="638"/>
      <c r="I307" s="638" t="s">
        <v>1453</v>
      </c>
      <c r="J307" s="638" t="s">
        <v>1454</v>
      </c>
      <c r="K307" s="638"/>
      <c r="L307" s="640">
        <v>3842.0399999999995</v>
      </c>
      <c r="M307" s="640">
        <v>3</v>
      </c>
      <c r="N307" s="641">
        <v>11526.119999999999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16384" width="8.88671875" style="257"/>
  </cols>
  <sheetData>
    <row r="1" spans="1:6" ht="37.200000000000003" customHeight="1" thickBot="1" x14ac:dyDescent="0.4">
      <c r="A1" s="495" t="s">
        <v>209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2" t="s">
        <v>186</v>
      </c>
      <c r="B4" s="643" t="s">
        <v>14</v>
      </c>
      <c r="C4" s="644" t="s">
        <v>2</v>
      </c>
      <c r="D4" s="643" t="s">
        <v>14</v>
      </c>
      <c r="E4" s="644" t="s">
        <v>2</v>
      </c>
      <c r="F4" s="645" t="s">
        <v>14</v>
      </c>
    </row>
    <row r="5" spans="1:6" ht="14.4" customHeight="1" x14ac:dyDescent="0.3">
      <c r="A5" s="656" t="s">
        <v>1463</v>
      </c>
      <c r="B5" s="628">
        <v>426.87</v>
      </c>
      <c r="C5" s="646">
        <v>4.2111394783532798E-3</v>
      </c>
      <c r="D5" s="628">
        <v>100939.99333812029</v>
      </c>
      <c r="E5" s="646">
        <v>0.99578886052164672</v>
      </c>
      <c r="F5" s="629">
        <v>101366.86333812028</v>
      </c>
    </row>
    <row r="6" spans="1:6" ht="14.4" customHeight="1" thickBot="1" x14ac:dyDescent="0.35">
      <c r="A6" s="657" t="s">
        <v>1464</v>
      </c>
      <c r="B6" s="649"/>
      <c r="C6" s="650">
        <v>0</v>
      </c>
      <c r="D6" s="649">
        <v>108126.06658952836</v>
      </c>
      <c r="E6" s="650">
        <v>1</v>
      </c>
      <c r="F6" s="651">
        <v>108126.06658952836</v>
      </c>
    </row>
    <row r="7" spans="1:6" ht="14.4" customHeight="1" thickBot="1" x14ac:dyDescent="0.35">
      <c r="A7" s="652" t="s">
        <v>3</v>
      </c>
      <c r="B7" s="653">
        <v>426.87</v>
      </c>
      <c r="C7" s="654">
        <v>2.0376343972439816E-3</v>
      </c>
      <c r="D7" s="653">
        <v>209066.05992764863</v>
      </c>
      <c r="E7" s="654">
        <v>0.99796236560275609</v>
      </c>
      <c r="F7" s="655">
        <v>209492.92992764863</v>
      </c>
    </row>
    <row r="8" spans="1:6" ht="14.4" customHeight="1" thickBot="1" x14ac:dyDescent="0.35"/>
    <row r="9" spans="1:6" ht="14.4" customHeight="1" x14ac:dyDescent="0.3">
      <c r="A9" s="656" t="s">
        <v>1465</v>
      </c>
      <c r="B9" s="628">
        <v>426.87</v>
      </c>
      <c r="C9" s="646">
        <v>1</v>
      </c>
      <c r="D9" s="628"/>
      <c r="E9" s="646">
        <v>0</v>
      </c>
      <c r="F9" s="629">
        <v>426.87</v>
      </c>
    </row>
    <row r="10" spans="1:6" ht="14.4" customHeight="1" x14ac:dyDescent="0.3">
      <c r="A10" s="659" t="s">
        <v>1466</v>
      </c>
      <c r="B10" s="634"/>
      <c r="C10" s="647">
        <v>0</v>
      </c>
      <c r="D10" s="634">
        <v>243.41946881417945</v>
      </c>
      <c r="E10" s="647">
        <v>1</v>
      </c>
      <c r="F10" s="635">
        <v>243.41946881417945</v>
      </c>
    </row>
    <row r="11" spans="1:6" ht="14.4" customHeight="1" x14ac:dyDescent="0.3">
      <c r="A11" s="659" t="s">
        <v>1467</v>
      </c>
      <c r="B11" s="634"/>
      <c r="C11" s="647">
        <v>0</v>
      </c>
      <c r="D11" s="634">
        <v>14127.918111566645</v>
      </c>
      <c r="E11" s="647">
        <v>1</v>
      </c>
      <c r="F11" s="635">
        <v>14127.918111566645</v>
      </c>
    </row>
    <row r="12" spans="1:6" ht="14.4" customHeight="1" x14ac:dyDescent="0.3">
      <c r="A12" s="659" t="s">
        <v>1468</v>
      </c>
      <c r="B12" s="634"/>
      <c r="C12" s="647">
        <v>0</v>
      </c>
      <c r="D12" s="634">
        <v>1632.8999999999999</v>
      </c>
      <c r="E12" s="647">
        <v>1</v>
      </c>
      <c r="F12" s="635">
        <v>1632.8999999999999</v>
      </c>
    </row>
    <row r="13" spans="1:6" ht="14.4" customHeight="1" x14ac:dyDescent="0.3">
      <c r="A13" s="659" t="s">
        <v>1469</v>
      </c>
      <c r="B13" s="634"/>
      <c r="C13" s="647">
        <v>0</v>
      </c>
      <c r="D13" s="634">
        <v>100.70968869570605</v>
      </c>
      <c r="E13" s="647">
        <v>1</v>
      </c>
      <c r="F13" s="635">
        <v>100.70968869570605</v>
      </c>
    </row>
    <row r="14" spans="1:6" ht="14.4" customHeight="1" x14ac:dyDescent="0.3">
      <c r="A14" s="659" t="s">
        <v>1470</v>
      </c>
      <c r="B14" s="634"/>
      <c r="C14" s="647">
        <v>0</v>
      </c>
      <c r="D14" s="634">
        <v>12422.110780264706</v>
      </c>
      <c r="E14" s="647">
        <v>1</v>
      </c>
      <c r="F14" s="635">
        <v>12422.110780264706</v>
      </c>
    </row>
    <row r="15" spans="1:6" ht="14.4" customHeight="1" x14ac:dyDescent="0.3">
      <c r="A15" s="659" t="s">
        <v>1471</v>
      </c>
      <c r="B15" s="634"/>
      <c r="C15" s="647">
        <v>0</v>
      </c>
      <c r="D15" s="634">
        <v>90.390610157357003</v>
      </c>
      <c r="E15" s="647">
        <v>1</v>
      </c>
      <c r="F15" s="635">
        <v>90.390610157357003</v>
      </c>
    </row>
    <row r="16" spans="1:6" ht="14.4" customHeight="1" x14ac:dyDescent="0.3">
      <c r="A16" s="659" t="s">
        <v>1472</v>
      </c>
      <c r="B16" s="634"/>
      <c r="C16" s="647">
        <v>0</v>
      </c>
      <c r="D16" s="634">
        <v>221.57999999999996</v>
      </c>
      <c r="E16" s="647">
        <v>1</v>
      </c>
      <c r="F16" s="635">
        <v>221.57999999999996</v>
      </c>
    </row>
    <row r="17" spans="1:6" ht="14.4" customHeight="1" x14ac:dyDescent="0.3">
      <c r="A17" s="659" t="s">
        <v>1473</v>
      </c>
      <c r="B17" s="634"/>
      <c r="C17" s="647">
        <v>0</v>
      </c>
      <c r="D17" s="634">
        <v>5221</v>
      </c>
      <c r="E17" s="647">
        <v>1</v>
      </c>
      <c r="F17" s="635">
        <v>5221</v>
      </c>
    </row>
    <row r="18" spans="1:6" ht="14.4" customHeight="1" x14ac:dyDescent="0.3">
      <c r="A18" s="659" t="s">
        <v>1474</v>
      </c>
      <c r="B18" s="634"/>
      <c r="C18" s="647">
        <v>0</v>
      </c>
      <c r="D18" s="634">
        <v>944.96000000000026</v>
      </c>
      <c r="E18" s="647">
        <v>1</v>
      </c>
      <c r="F18" s="635">
        <v>944.96000000000026</v>
      </c>
    </row>
    <row r="19" spans="1:6" ht="14.4" customHeight="1" x14ac:dyDescent="0.3">
      <c r="A19" s="659" t="s">
        <v>1475</v>
      </c>
      <c r="B19" s="634"/>
      <c r="C19" s="647">
        <v>0</v>
      </c>
      <c r="D19" s="634">
        <v>15548.517861128492</v>
      </c>
      <c r="E19" s="647">
        <v>1</v>
      </c>
      <c r="F19" s="635">
        <v>15548.517861128492</v>
      </c>
    </row>
    <row r="20" spans="1:6" ht="14.4" customHeight="1" x14ac:dyDescent="0.3">
      <c r="A20" s="659" t="s">
        <v>1476</v>
      </c>
      <c r="B20" s="634"/>
      <c r="C20" s="647">
        <v>0</v>
      </c>
      <c r="D20" s="634">
        <v>117.14</v>
      </c>
      <c r="E20" s="647">
        <v>1</v>
      </c>
      <c r="F20" s="635">
        <v>117.14</v>
      </c>
    </row>
    <row r="21" spans="1:6" ht="14.4" customHeight="1" x14ac:dyDescent="0.3">
      <c r="A21" s="659" t="s">
        <v>1477</v>
      </c>
      <c r="B21" s="634"/>
      <c r="C21" s="647">
        <v>0</v>
      </c>
      <c r="D21" s="634">
        <v>412.68088771256294</v>
      </c>
      <c r="E21" s="647">
        <v>1</v>
      </c>
      <c r="F21" s="635">
        <v>412.68088771256294</v>
      </c>
    </row>
    <row r="22" spans="1:6" ht="14.4" customHeight="1" x14ac:dyDescent="0.3">
      <c r="A22" s="659" t="s">
        <v>1478</v>
      </c>
      <c r="B22" s="634"/>
      <c r="C22" s="647">
        <v>0</v>
      </c>
      <c r="D22" s="634">
        <v>43212.385061978654</v>
      </c>
      <c r="E22" s="647">
        <v>1</v>
      </c>
      <c r="F22" s="635">
        <v>43212.385061978654</v>
      </c>
    </row>
    <row r="23" spans="1:6" ht="14.4" customHeight="1" x14ac:dyDescent="0.3">
      <c r="A23" s="659" t="s">
        <v>1479</v>
      </c>
      <c r="B23" s="634"/>
      <c r="C23" s="647">
        <v>0</v>
      </c>
      <c r="D23" s="634">
        <v>121.54</v>
      </c>
      <c r="E23" s="647">
        <v>1</v>
      </c>
      <c r="F23" s="635">
        <v>121.54</v>
      </c>
    </row>
    <row r="24" spans="1:6" ht="14.4" customHeight="1" x14ac:dyDescent="0.3">
      <c r="A24" s="659" t="s">
        <v>1480</v>
      </c>
      <c r="B24" s="634"/>
      <c r="C24" s="647">
        <v>0</v>
      </c>
      <c r="D24" s="634">
        <v>588.94985580646801</v>
      </c>
      <c r="E24" s="647">
        <v>1</v>
      </c>
      <c r="F24" s="635">
        <v>588.94985580646801</v>
      </c>
    </row>
    <row r="25" spans="1:6" ht="14.4" customHeight="1" x14ac:dyDescent="0.3">
      <c r="A25" s="659" t="s">
        <v>1481</v>
      </c>
      <c r="B25" s="634"/>
      <c r="C25" s="647">
        <v>0</v>
      </c>
      <c r="D25" s="634">
        <v>341.91999999999996</v>
      </c>
      <c r="E25" s="647">
        <v>1</v>
      </c>
      <c r="F25" s="635">
        <v>341.91999999999996</v>
      </c>
    </row>
    <row r="26" spans="1:6" ht="14.4" customHeight="1" x14ac:dyDescent="0.3">
      <c r="A26" s="659" t="s">
        <v>1482</v>
      </c>
      <c r="B26" s="634"/>
      <c r="C26" s="647">
        <v>0</v>
      </c>
      <c r="D26" s="634">
        <v>239.49</v>
      </c>
      <c r="E26" s="647">
        <v>1</v>
      </c>
      <c r="F26" s="635">
        <v>239.49</v>
      </c>
    </row>
    <row r="27" spans="1:6" ht="14.4" customHeight="1" x14ac:dyDescent="0.3">
      <c r="A27" s="659" t="s">
        <v>1483</v>
      </c>
      <c r="B27" s="634"/>
      <c r="C27" s="647">
        <v>0</v>
      </c>
      <c r="D27" s="634">
        <v>11960</v>
      </c>
      <c r="E27" s="647">
        <v>1</v>
      </c>
      <c r="F27" s="635">
        <v>11960</v>
      </c>
    </row>
    <row r="28" spans="1:6" ht="14.4" customHeight="1" x14ac:dyDescent="0.3">
      <c r="A28" s="659" t="s">
        <v>1484</v>
      </c>
      <c r="B28" s="634"/>
      <c r="C28" s="647">
        <v>0</v>
      </c>
      <c r="D28" s="634">
        <v>36.249999999999979</v>
      </c>
      <c r="E28" s="647">
        <v>1</v>
      </c>
      <c r="F28" s="635">
        <v>36.249999999999979</v>
      </c>
    </row>
    <row r="29" spans="1:6" ht="14.4" customHeight="1" x14ac:dyDescent="0.3">
      <c r="A29" s="659" t="s">
        <v>1485</v>
      </c>
      <c r="B29" s="634"/>
      <c r="C29" s="647">
        <v>0</v>
      </c>
      <c r="D29" s="634">
        <v>23396.721577275443</v>
      </c>
      <c r="E29" s="647">
        <v>1</v>
      </c>
      <c r="F29" s="635">
        <v>23396.721577275443</v>
      </c>
    </row>
    <row r="30" spans="1:6" ht="14.4" customHeight="1" x14ac:dyDescent="0.3">
      <c r="A30" s="659" t="s">
        <v>1486</v>
      </c>
      <c r="B30" s="634"/>
      <c r="C30" s="647">
        <v>0</v>
      </c>
      <c r="D30" s="634">
        <v>98.45</v>
      </c>
      <c r="E30" s="647">
        <v>1</v>
      </c>
      <c r="F30" s="635">
        <v>98.45</v>
      </c>
    </row>
    <row r="31" spans="1:6" ht="14.4" customHeight="1" x14ac:dyDescent="0.3">
      <c r="A31" s="659" t="s">
        <v>1487</v>
      </c>
      <c r="B31" s="634"/>
      <c r="C31" s="647">
        <v>0</v>
      </c>
      <c r="D31" s="634">
        <v>401.58989002133995</v>
      </c>
      <c r="E31" s="647">
        <v>1</v>
      </c>
      <c r="F31" s="635">
        <v>401.58989002133995</v>
      </c>
    </row>
    <row r="32" spans="1:6" ht="14.4" customHeight="1" x14ac:dyDescent="0.3">
      <c r="A32" s="659" t="s">
        <v>1488</v>
      </c>
      <c r="B32" s="634"/>
      <c r="C32" s="647">
        <v>0</v>
      </c>
      <c r="D32" s="634">
        <v>288.36964467128195</v>
      </c>
      <c r="E32" s="647">
        <v>1</v>
      </c>
      <c r="F32" s="635">
        <v>288.36964467128195</v>
      </c>
    </row>
    <row r="33" spans="1:6" ht="14.4" customHeight="1" x14ac:dyDescent="0.3">
      <c r="A33" s="659" t="s">
        <v>1489</v>
      </c>
      <c r="B33" s="634"/>
      <c r="C33" s="647">
        <v>0</v>
      </c>
      <c r="D33" s="634">
        <v>2779.0400000000004</v>
      </c>
      <c r="E33" s="647">
        <v>1</v>
      </c>
      <c r="F33" s="635">
        <v>2779.0400000000004</v>
      </c>
    </row>
    <row r="34" spans="1:6" ht="14.4" customHeight="1" x14ac:dyDescent="0.3">
      <c r="A34" s="659" t="s">
        <v>1490</v>
      </c>
      <c r="B34" s="634"/>
      <c r="C34" s="647">
        <v>0</v>
      </c>
      <c r="D34" s="634">
        <v>392.27999999999992</v>
      </c>
      <c r="E34" s="647">
        <v>1</v>
      </c>
      <c r="F34" s="635">
        <v>392.27999999999992</v>
      </c>
    </row>
    <row r="35" spans="1:6" ht="14.4" customHeight="1" x14ac:dyDescent="0.3">
      <c r="A35" s="659" t="s">
        <v>1491</v>
      </c>
      <c r="B35" s="634"/>
      <c r="C35" s="647">
        <v>0</v>
      </c>
      <c r="D35" s="634">
        <v>503.28000000000009</v>
      </c>
      <c r="E35" s="647">
        <v>1</v>
      </c>
      <c r="F35" s="635">
        <v>503.28000000000009</v>
      </c>
    </row>
    <row r="36" spans="1:6" ht="14.4" customHeight="1" x14ac:dyDescent="0.3">
      <c r="A36" s="659" t="s">
        <v>1492</v>
      </c>
      <c r="B36" s="634"/>
      <c r="C36" s="647">
        <v>0</v>
      </c>
      <c r="D36" s="634">
        <v>550.61000000000013</v>
      </c>
      <c r="E36" s="647">
        <v>1</v>
      </c>
      <c r="F36" s="635">
        <v>550.61000000000013</v>
      </c>
    </row>
    <row r="37" spans="1:6" ht="14.4" customHeight="1" x14ac:dyDescent="0.3">
      <c r="A37" s="659" t="s">
        <v>1493</v>
      </c>
      <c r="B37" s="634"/>
      <c r="C37" s="647">
        <v>0</v>
      </c>
      <c r="D37" s="634">
        <v>1054.5984312448606</v>
      </c>
      <c r="E37" s="647">
        <v>1</v>
      </c>
      <c r="F37" s="635">
        <v>1054.5984312448606</v>
      </c>
    </row>
    <row r="38" spans="1:6" ht="14.4" customHeight="1" x14ac:dyDescent="0.3">
      <c r="A38" s="659" t="s">
        <v>1494</v>
      </c>
      <c r="B38" s="634"/>
      <c r="C38" s="647">
        <v>0</v>
      </c>
      <c r="D38" s="634">
        <v>201.03000000000003</v>
      </c>
      <c r="E38" s="647">
        <v>1</v>
      </c>
      <c r="F38" s="635">
        <v>201.03000000000003</v>
      </c>
    </row>
    <row r="39" spans="1:6" ht="14.4" customHeight="1" x14ac:dyDescent="0.3">
      <c r="A39" s="659" t="s">
        <v>1495</v>
      </c>
      <c r="B39" s="634"/>
      <c r="C39" s="647">
        <v>0</v>
      </c>
      <c r="D39" s="634">
        <v>139.66999999999999</v>
      </c>
      <c r="E39" s="647">
        <v>1</v>
      </c>
      <c r="F39" s="635">
        <v>139.66999999999999</v>
      </c>
    </row>
    <row r="40" spans="1:6" ht="14.4" customHeight="1" x14ac:dyDescent="0.3">
      <c r="A40" s="659" t="s">
        <v>1496</v>
      </c>
      <c r="B40" s="634"/>
      <c r="C40" s="647">
        <v>0</v>
      </c>
      <c r="D40" s="634">
        <v>18852.030000000006</v>
      </c>
      <c r="E40" s="647">
        <v>1</v>
      </c>
      <c r="F40" s="635">
        <v>18852.030000000006</v>
      </c>
    </row>
    <row r="41" spans="1:6" ht="14.4" customHeight="1" x14ac:dyDescent="0.3">
      <c r="A41" s="659" t="s">
        <v>1497</v>
      </c>
      <c r="B41" s="634"/>
      <c r="C41" s="647">
        <v>0</v>
      </c>
      <c r="D41" s="634">
        <v>318.32</v>
      </c>
      <c r="E41" s="647">
        <v>1</v>
      </c>
      <c r="F41" s="635">
        <v>318.32</v>
      </c>
    </row>
    <row r="42" spans="1:6" ht="14.4" customHeight="1" x14ac:dyDescent="0.3">
      <c r="A42" s="659" t="s">
        <v>1498</v>
      </c>
      <c r="B42" s="634"/>
      <c r="C42" s="647">
        <v>0</v>
      </c>
      <c r="D42" s="634">
        <v>33736.290267035001</v>
      </c>
      <c r="E42" s="647">
        <v>1</v>
      </c>
      <c r="F42" s="635">
        <v>33736.290267035001</v>
      </c>
    </row>
    <row r="43" spans="1:6" ht="14.4" customHeight="1" x14ac:dyDescent="0.3">
      <c r="A43" s="659" t="s">
        <v>1499</v>
      </c>
      <c r="B43" s="634"/>
      <c r="C43" s="647">
        <v>0</v>
      </c>
      <c r="D43" s="634">
        <v>103.35</v>
      </c>
      <c r="E43" s="647">
        <v>1</v>
      </c>
      <c r="F43" s="635">
        <v>103.35</v>
      </c>
    </row>
    <row r="44" spans="1:6" ht="14.4" customHeight="1" x14ac:dyDescent="0.3">
      <c r="A44" s="659" t="s">
        <v>1500</v>
      </c>
      <c r="B44" s="634"/>
      <c r="C44" s="647">
        <v>0</v>
      </c>
      <c r="D44" s="634">
        <v>6750.6633066178101</v>
      </c>
      <c r="E44" s="647">
        <v>1</v>
      </c>
      <c r="F44" s="635">
        <v>6750.6633066178101</v>
      </c>
    </row>
    <row r="45" spans="1:6" ht="14.4" customHeight="1" x14ac:dyDescent="0.3">
      <c r="A45" s="659" t="s">
        <v>1501</v>
      </c>
      <c r="B45" s="634"/>
      <c r="C45" s="647">
        <v>0</v>
      </c>
      <c r="D45" s="634">
        <v>57.980116708548024</v>
      </c>
      <c r="E45" s="647">
        <v>1</v>
      </c>
      <c r="F45" s="635">
        <v>57.980116708548024</v>
      </c>
    </row>
    <row r="46" spans="1:6" ht="14.4" customHeight="1" x14ac:dyDescent="0.3">
      <c r="A46" s="659" t="s">
        <v>1502</v>
      </c>
      <c r="B46" s="634"/>
      <c r="C46" s="647">
        <v>0</v>
      </c>
      <c r="D46" s="634">
        <v>8664.1244102271557</v>
      </c>
      <c r="E46" s="647">
        <v>1</v>
      </c>
      <c r="F46" s="635">
        <v>8664.1244102271557</v>
      </c>
    </row>
    <row r="47" spans="1:6" ht="14.4" customHeight="1" x14ac:dyDescent="0.3">
      <c r="A47" s="659" t="s">
        <v>1503</v>
      </c>
      <c r="B47" s="634"/>
      <c r="C47" s="647">
        <v>0</v>
      </c>
      <c r="D47" s="634">
        <v>2014.44</v>
      </c>
      <c r="E47" s="647">
        <v>1</v>
      </c>
      <c r="F47" s="635">
        <v>2014.44</v>
      </c>
    </row>
    <row r="48" spans="1:6" ht="14.4" customHeight="1" thickBot="1" x14ac:dyDescent="0.35">
      <c r="A48" s="657" t="s">
        <v>1504</v>
      </c>
      <c r="B48" s="649"/>
      <c r="C48" s="650">
        <v>0</v>
      </c>
      <c r="D48" s="649">
        <v>1179.3599577224581</v>
      </c>
      <c r="E48" s="650">
        <v>1</v>
      </c>
      <c r="F48" s="651">
        <v>1179.3599577224581</v>
      </c>
    </row>
    <row r="49" spans="1:6" ht="14.4" customHeight="1" thickBot="1" x14ac:dyDescent="0.35">
      <c r="A49" s="652" t="s">
        <v>3</v>
      </c>
      <c r="B49" s="653">
        <v>426.87</v>
      </c>
      <c r="C49" s="654">
        <v>2.0376343972439807E-3</v>
      </c>
      <c r="D49" s="653">
        <v>209066.05992764875</v>
      </c>
      <c r="E49" s="654">
        <v>0.99796236560275609</v>
      </c>
      <c r="F49" s="655">
        <v>209492.92992764874</v>
      </c>
    </row>
  </sheetData>
  <mergeCells count="3">
    <mergeCell ref="A1:F1"/>
    <mergeCell ref="B3:C3"/>
    <mergeCell ref="D3:E3"/>
  </mergeCells>
  <conditionalFormatting sqref="C5:C1048576">
    <cfRule type="cellIs" dxfId="5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2014-04-25T05:37:44Z</dcterms:modified>
</cp:coreProperties>
</file>