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Total!$A$4:$W$4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101" i="371" l="1"/>
  <c r="V101" i="371" s="1"/>
  <c r="S101" i="371"/>
  <c r="R101" i="371"/>
  <c r="Q101" i="371"/>
  <c r="V100" i="371"/>
  <c r="U100" i="371"/>
  <c r="T100" i="371"/>
  <c r="S100" i="371"/>
  <c r="R100" i="371"/>
  <c r="Q100" i="371"/>
  <c r="T99" i="371"/>
  <c r="V99" i="371" s="1"/>
  <c r="S99" i="371"/>
  <c r="R99" i="371"/>
  <c r="Q99" i="371"/>
  <c r="T98" i="371"/>
  <c r="V98" i="371" s="1"/>
  <c r="S98" i="371"/>
  <c r="R98" i="371"/>
  <c r="Q98" i="371"/>
  <c r="V97" i="371"/>
  <c r="U97" i="371"/>
  <c r="T97" i="371"/>
  <c r="S97" i="371"/>
  <c r="R97" i="371"/>
  <c r="Q97" i="371"/>
  <c r="V96" i="371"/>
  <c r="U96" i="371"/>
  <c r="T96" i="371"/>
  <c r="S96" i="371"/>
  <c r="R96" i="371"/>
  <c r="Q96" i="371"/>
  <c r="V95" i="371"/>
  <c r="U95" i="371"/>
  <c r="T95" i="371"/>
  <c r="S95" i="371"/>
  <c r="R95" i="371"/>
  <c r="Q95" i="371"/>
  <c r="V94" i="371"/>
  <c r="T94" i="371"/>
  <c r="U94" i="371" s="1"/>
  <c r="S94" i="371"/>
  <c r="R94" i="371"/>
  <c r="Q94" i="371"/>
  <c r="V93" i="371"/>
  <c r="U93" i="371"/>
  <c r="T93" i="371"/>
  <c r="S93" i="371"/>
  <c r="R93" i="371"/>
  <c r="Q93" i="371"/>
  <c r="V92" i="371"/>
  <c r="T92" i="371"/>
  <c r="U92" i="371" s="1"/>
  <c r="S92" i="371"/>
  <c r="R92" i="371"/>
  <c r="Q92" i="371"/>
  <c r="V91" i="371"/>
  <c r="U91" i="371"/>
  <c r="T91" i="371"/>
  <c r="S91" i="371"/>
  <c r="R91" i="371"/>
  <c r="Q91" i="371"/>
  <c r="V90" i="371"/>
  <c r="U90" i="371"/>
  <c r="T90" i="371"/>
  <c r="S90" i="371"/>
  <c r="R90" i="371"/>
  <c r="Q90" i="371"/>
  <c r="V89" i="371"/>
  <c r="U89" i="371"/>
  <c r="T89" i="371"/>
  <c r="S89" i="371"/>
  <c r="R89" i="371"/>
  <c r="Q89" i="371"/>
  <c r="V88" i="371"/>
  <c r="U88" i="371"/>
  <c r="T88" i="371"/>
  <c r="S88" i="371"/>
  <c r="R88" i="371"/>
  <c r="Q88" i="371"/>
  <c r="V87" i="371"/>
  <c r="U87" i="371"/>
  <c r="T87" i="371"/>
  <c r="S87" i="371"/>
  <c r="R87" i="371"/>
  <c r="Q87" i="371"/>
  <c r="V86" i="371"/>
  <c r="U86" i="371"/>
  <c r="T86" i="371"/>
  <c r="S86" i="371"/>
  <c r="R86" i="371"/>
  <c r="Q86" i="371"/>
  <c r="T85" i="371"/>
  <c r="V85" i="371" s="1"/>
  <c r="S85" i="371"/>
  <c r="R85" i="371"/>
  <c r="Q85" i="371"/>
  <c r="V84" i="371"/>
  <c r="T84" i="371"/>
  <c r="U84" i="371" s="1"/>
  <c r="S84" i="371"/>
  <c r="R84" i="371"/>
  <c r="Q84" i="371"/>
  <c r="V83" i="371"/>
  <c r="U83" i="371"/>
  <c r="T83" i="371"/>
  <c r="S83" i="371"/>
  <c r="R83" i="371"/>
  <c r="Q83" i="371"/>
  <c r="V82" i="371"/>
  <c r="U82" i="371"/>
  <c r="T82" i="371"/>
  <c r="S82" i="371"/>
  <c r="R82" i="371"/>
  <c r="Q82" i="371"/>
  <c r="V81" i="371"/>
  <c r="U81" i="371"/>
  <c r="T81" i="371"/>
  <c r="S81" i="371"/>
  <c r="R81" i="371"/>
  <c r="Q81" i="371"/>
  <c r="V80" i="371"/>
  <c r="U80" i="371"/>
  <c r="T80" i="371"/>
  <c r="S80" i="371"/>
  <c r="R80" i="371"/>
  <c r="Q80" i="371"/>
  <c r="V79" i="371"/>
  <c r="U79" i="371"/>
  <c r="T79" i="371"/>
  <c r="S79" i="371"/>
  <c r="R79" i="371"/>
  <c r="Q79" i="371"/>
  <c r="V78" i="371"/>
  <c r="T78" i="371"/>
  <c r="U78" i="371" s="1"/>
  <c r="S78" i="371"/>
  <c r="R78" i="371"/>
  <c r="Q78" i="371"/>
  <c r="T77" i="371"/>
  <c r="V77" i="371" s="1"/>
  <c r="S77" i="371"/>
  <c r="R77" i="371"/>
  <c r="Q77" i="371"/>
  <c r="V76" i="371"/>
  <c r="U76" i="371"/>
  <c r="T76" i="371"/>
  <c r="S76" i="371"/>
  <c r="R76" i="371"/>
  <c r="Q76" i="371"/>
  <c r="T75" i="371"/>
  <c r="V75" i="371" s="1"/>
  <c r="S75" i="371"/>
  <c r="R75" i="371"/>
  <c r="Q75" i="371"/>
  <c r="V74" i="371"/>
  <c r="T74" i="371"/>
  <c r="U74" i="371" s="1"/>
  <c r="S74" i="371"/>
  <c r="R74" i="371"/>
  <c r="Q74" i="371"/>
  <c r="V73" i="371"/>
  <c r="U73" i="371"/>
  <c r="T73" i="371"/>
  <c r="S73" i="371"/>
  <c r="R73" i="371"/>
  <c r="Q73" i="371"/>
  <c r="V72" i="371"/>
  <c r="T72" i="371"/>
  <c r="U72" i="371" s="1"/>
  <c r="S72" i="371"/>
  <c r="R72" i="371"/>
  <c r="Q72" i="371"/>
  <c r="V71" i="371"/>
  <c r="U71" i="371"/>
  <c r="T71" i="371"/>
  <c r="S71" i="371"/>
  <c r="R71" i="371"/>
  <c r="Q71" i="371"/>
  <c r="V70" i="371"/>
  <c r="U70" i="371"/>
  <c r="T70" i="371"/>
  <c r="S70" i="371"/>
  <c r="R70" i="371"/>
  <c r="Q70" i="371"/>
  <c r="T69" i="371"/>
  <c r="V69" i="371" s="1"/>
  <c r="S69" i="371"/>
  <c r="R69" i="371"/>
  <c r="Q69" i="371"/>
  <c r="V68" i="371"/>
  <c r="T68" i="371"/>
  <c r="U68" i="371" s="1"/>
  <c r="S68" i="371"/>
  <c r="R68" i="371"/>
  <c r="Q68" i="371"/>
  <c r="V67" i="371"/>
  <c r="U67" i="371"/>
  <c r="T67" i="371"/>
  <c r="S67" i="371"/>
  <c r="R67" i="371"/>
  <c r="Q67" i="371"/>
  <c r="V66" i="371"/>
  <c r="T66" i="371"/>
  <c r="U66" i="371" s="1"/>
  <c r="S66" i="371"/>
  <c r="R66" i="371"/>
  <c r="Q66" i="371"/>
  <c r="T65" i="371"/>
  <c r="V65" i="371" s="1"/>
  <c r="S65" i="371"/>
  <c r="R65" i="371"/>
  <c r="Q65" i="371"/>
  <c r="V64" i="371"/>
  <c r="T64" i="371"/>
  <c r="U64" i="371" s="1"/>
  <c r="S64" i="371"/>
  <c r="R64" i="371"/>
  <c r="Q64" i="371"/>
  <c r="T63" i="371"/>
  <c r="V63" i="371" s="1"/>
  <c r="S63" i="371"/>
  <c r="R63" i="371"/>
  <c r="Q63" i="371"/>
  <c r="V62" i="371"/>
  <c r="T62" i="371"/>
  <c r="U62" i="371" s="1"/>
  <c r="S62" i="371"/>
  <c r="R62" i="371"/>
  <c r="Q62" i="371"/>
  <c r="T61" i="371"/>
  <c r="V61" i="371" s="1"/>
  <c r="S61" i="371"/>
  <c r="R61" i="371"/>
  <c r="Q61" i="371"/>
  <c r="V60" i="371"/>
  <c r="U60" i="371"/>
  <c r="T60" i="371"/>
  <c r="S60" i="371"/>
  <c r="R60" i="371"/>
  <c r="Q60" i="371"/>
  <c r="V59" i="371"/>
  <c r="U59" i="371"/>
  <c r="T59" i="371"/>
  <c r="S59" i="371"/>
  <c r="R59" i="371"/>
  <c r="Q59" i="371"/>
  <c r="V58" i="371"/>
  <c r="T58" i="371"/>
  <c r="U58" i="371" s="1"/>
  <c r="S58" i="371"/>
  <c r="R58" i="371"/>
  <c r="Q58" i="371"/>
  <c r="T57" i="371"/>
  <c r="V57" i="371" s="1"/>
  <c r="S57" i="371"/>
  <c r="R57" i="371"/>
  <c r="Q57" i="371"/>
  <c r="V56" i="371"/>
  <c r="U56" i="371"/>
  <c r="T56" i="371"/>
  <c r="S56" i="371"/>
  <c r="R56" i="371"/>
  <c r="Q56" i="371"/>
  <c r="V55" i="371"/>
  <c r="U55" i="371"/>
  <c r="T55" i="371"/>
  <c r="S55" i="371"/>
  <c r="R55" i="371"/>
  <c r="Q55" i="371"/>
  <c r="V54" i="371"/>
  <c r="T54" i="371"/>
  <c r="U54" i="371" s="1"/>
  <c r="S54" i="371"/>
  <c r="R54" i="371"/>
  <c r="Q54" i="371"/>
  <c r="T53" i="371"/>
  <c r="V53" i="371" s="1"/>
  <c r="S53" i="371"/>
  <c r="R53" i="371"/>
  <c r="Q53" i="371"/>
  <c r="V52" i="371"/>
  <c r="T52" i="371"/>
  <c r="U52" i="371" s="1"/>
  <c r="S52" i="371"/>
  <c r="R52" i="371"/>
  <c r="Q52" i="371"/>
  <c r="V51" i="371"/>
  <c r="U51" i="371"/>
  <c r="T51" i="371"/>
  <c r="S51" i="371"/>
  <c r="R51" i="371"/>
  <c r="Q51" i="371"/>
  <c r="V50" i="371"/>
  <c r="T50" i="371"/>
  <c r="U50" i="371" s="1"/>
  <c r="S50" i="371"/>
  <c r="R50" i="371"/>
  <c r="Q50" i="371"/>
  <c r="V49" i="371"/>
  <c r="U49" i="371"/>
  <c r="T49" i="371"/>
  <c r="S49" i="371"/>
  <c r="R49" i="371"/>
  <c r="Q49" i="371"/>
  <c r="V48" i="371"/>
  <c r="T48" i="371"/>
  <c r="U48" i="371" s="1"/>
  <c r="S48" i="371"/>
  <c r="R48" i="371"/>
  <c r="Q48" i="371"/>
  <c r="T47" i="371"/>
  <c r="V47" i="371" s="1"/>
  <c r="S47" i="371"/>
  <c r="R47" i="371"/>
  <c r="Q47" i="371"/>
  <c r="V46" i="371"/>
  <c r="T46" i="371"/>
  <c r="U46" i="371" s="1"/>
  <c r="S46" i="371"/>
  <c r="R46" i="371"/>
  <c r="Q46" i="371"/>
  <c r="T45" i="371"/>
  <c r="V45" i="371" s="1"/>
  <c r="S45" i="371"/>
  <c r="R45" i="371"/>
  <c r="Q45" i="371"/>
  <c r="V44" i="371"/>
  <c r="U44" i="371"/>
  <c r="T44" i="371"/>
  <c r="S44" i="371"/>
  <c r="R44" i="371"/>
  <c r="Q44" i="371"/>
  <c r="T43" i="371"/>
  <c r="V43" i="371" s="1"/>
  <c r="S43" i="371"/>
  <c r="R43" i="371"/>
  <c r="Q43" i="371"/>
  <c r="V42" i="371"/>
  <c r="T42" i="371"/>
  <c r="U42" i="371" s="1"/>
  <c r="S42" i="371"/>
  <c r="R42" i="371"/>
  <c r="Q42" i="371"/>
  <c r="V41" i="371"/>
  <c r="U41" i="371"/>
  <c r="T41" i="371"/>
  <c r="S41" i="371"/>
  <c r="R41" i="371"/>
  <c r="Q41" i="371"/>
  <c r="V40" i="371"/>
  <c r="T40" i="371"/>
  <c r="U40" i="371" s="1"/>
  <c r="S40" i="371"/>
  <c r="R40" i="371"/>
  <c r="Q40" i="371"/>
  <c r="T39" i="371"/>
  <c r="V39" i="371" s="1"/>
  <c r="S39" i="371"/>
  <c r="R39" i="371"/>
  <c r="Q39" i="371"/>
  <c r="V38" i="371"/>
  <c r="T38" i="371"/>
  <c r="U38" i="371" s="1"/>
  <c r="S38" i="371"/>
  <c r="R38" i="371"/>
  <c r="Q38" i="371"/>
  <c r="T37" i="371"/>
  <c r="V37" i="371" s="1"/>
  <c r="S37" i="371"/>
  <c r="R37" i="371"/>
  <c r="Q37" i="371"/>
  <c r="V36" i="371"/>
  <c r="U36" i="371"/>
  <c r="T36" i="371"/>
  <c r="S36" i="371"/>
  <c r="R36" i="371"/>
  <c r="Q36" i="371"/>
  <c r="V35" i="371"/>
  <c r="U35" i="371"/>
  <c r="T35" i="371"/>
  <c r="S35" i="371"/>
  <c r="R35" i="371"/>
  <c r="Q35" i="371"/>
  <c r="V34" i="371"/>
  <c r="T34" i="371"/>
  <c r="U34" i="371" s="1"/>
  <c r="S34" i="371"/>
  <c r="R34" i="371"/>
  <c r="Q34" i="371"/>
  <c r="T33" i="371"/>
  <c r="V33" i="371" s="1"/>
  <c r="S33" i="371"/>
  <c r="R33" i="371"/>
  <c r="Q33" i="371"/>
  <c r="V32" i="371"/>
  <c r="T32" i="371"/>
  <c r="U32" i="371" s="1"/>
  <c r="S32" i="371"/>
  <c r="R32" i="371"/>
  <c r="Q32" i="371"/>
  <c r="T31" i="371"/>
  <c r="U31" i="371" s="1"/>
  <c r="S31" i="371"/>
  <c r="R31" i="371"/>
  <c r="Q31" i="371"/>
  <c r="V30" i="371"/>
  <c r="U30" i="371"/>
  <c r="T30" i="371"/>
  <c r="S30" i="371"/>
  <c r="R30" i="371"/>
  <c r="Q30" i="371"/>
  <c r="V29" i="371"/>
  <c r="U29" i="371"/>
  <c r="T29" i="371"/>
  <c r="S29" i="371"/>
  <c r="R29" i="371"/>
  <c r="Q29" i="371"/>
  <c r="V28" i="371"/>
  <c r="U28" i="371"/>
  <c r="T28" i="371"/>
  <c r="S28" i="371"/>
  <c r="R28" i="371"/>
  <c r="Q28" i="371"/>
  <c r="V27" i="371"/>
  <c r="U27" i="371"/>
  <c r="T27" i="371"/>
  <c r="S27" i="371"/>
  <c r="R27" i="371"/>
  <c r="Q27" i="371"/>
  <c r="V26" i="371"/>
  <c r="U26" i="371"/>
  <c r="T26" i="371"/>
  <c r="S26" i="371"/>
  <c r="R26" i="371"/>
  <c r="Q26" i="371"/>
  <c r="V25" i="371"/>
  <c r="U25" i="371"/>
  <c r="T25" i="371"/>
  <c r="S25" i="371"/>
  <c r="R25" i="371"/>
  <c r="Q25" i="371"/>
  <c r="V24" i="371"/>
  <c r="T24" i="371"/>
  <c r="U24" i="371" s="1"/>
  <c r="S24" i="371"/>
  <c r="R24" i="371"/>
  <c r="Q24" i="371"/>
  <c r="V23" i="371"/>
  <c r="U23" i="371"/>
  <c r="T23" i="371"/>
  <c r="S23" i="371"/>
  <c r="R23" i="371"/>
  <c r="Q23" i="371"/>
  <c r="V22" i="371"/>
  <c r="T22" i="371"/>
  <c r="U22" i="371" s="1"/>
  <c r="S22" i="371"/>
  <c r="R22" i="371"/>
  <c r="Q22" i="371"/>
  <c r="T21" i="371"/>
  <c r="V21" i="371" s="1"/>
  <c r="S21" i="371"/>
  <c r="R21" i="371"/>
  <c r="Q21" i="371"/>
  <c r="V20" i="371"/>
  <c r="T20" i="371"/>
  <c r="U20" i="371" s="1"/>
  <c r="S20" i="371"/>
  <c r="R20" i="371"/>
  <c r="Q20" i="371"/>
  <c r="V19" i="371"/>
  <c r="U19" i="371"/>
  <c r="T19" i="371"/>
  <c r="S19" i="371"/>
  <c r="R19" i="371"/>
  <c r="Q19" i="371"/>
  <c r="V18" i="371"/>
  <c r="T18" i="371"/>
  <c r="U18" i="371" s="1"/>
  <c r="S18" i="371"/>
  <c r="R18" i="371"/>
  <c r="Q18" i="371"/>
  <c r="V17" i="371"/>
  <c r="U17" i="371"/>
  <c r="T17" i="371"/>
  <c r="S17" i="371"/>
  <c r="R17" i="371"/>
  <c r="Q17" i="371"/>
  <c r="V16" i="371"/>
  <c r="U16" i="371"/>
  <c r="T16" i="371"/>
  <c r="S16" i="371"/>
  <c r="R16" i="371"/>
  <c r="Q16" i="371"/>
  <c r="T15" i="371"/>
  <c r="V15" i="371" s="1"/>
  <c r="S15" i="371"/>
  <c r="R15" i="371"/>
  <c r="Q15" i="371"/>
  <c r="V14" i="371"/>
  <c r="U14" i="371"/>
  <c r="T14" i="371"/>
  <c r="S14" i="371"/>
  <c r="R14" i="371"/>
  <c r="Q14" i="371"/>
  <c r="V13" i="371"/>
  <c r="U13" i="371"/>
  <c r="T13" i="371"/>
  <c r="S13" i="371"/>
  <c r="R13" i="371"/>
  <c r="Q13" i="371"/>
  <c r="V12" i="371"/>
  <c r="U12" i="371"/>
  <c r="T12" i="371"/>
  <c r="S12" i="371"/>
  <c r="R12" i="371"/>
  <c r="Q12" i="371"/>
  <c r="T11" i="371"/>
  <c r="U11" i="371" s="1"/>
  <c r="S11" i="371"/>
  <c r="R11" i="371"/>
  <c r="Q11" i="371"/>
  <c r="V10" i="371"/>
  <c r="T10" i="371"/>
  <c r="U10" i="371" s="1"/>
  <c r="S10" i="371"/>
  <c r="R10" i="371"/>
  <c r="Q10" i="371"/>
  <c r="T9" i="371"/>
  <c r="U9" i="371" s="1"/>
  <c r="S9" i="371"/>
  <c r="R9" i="371"/>
  <c r="Q9" i="371"/>
  <c r="V8" i="371"/>
  <c r="U8" i="371"/>
  <c r="T8" i="371"/>
  <c r="S8" i="371"/>
  <c r="R8" i="371"/>
  <c r="Q8" i="371"/>
  <c r="T7" i="371"/>
  <c r="U7" i="371" s="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V7" i="371" l="1"/>
  <c r="V9" i="371"/>
  <c r="V11" i="371"/>
  <c r="V31" i="371"/>
  <c r="U98" i="371"/>
  <c r="U15" i="371"/>
  <c r="U21" i="371"/>
  <c r="U33" i="371"/>
  <c r="U37" i="371"/>
  <c r="U39" i="371"/>
  <c r="U43" i="371"/>
  <c r="U45" i="371"/>
  <c r="U47" i="371"/>
  <c r="U53" i="371"/>
  <c r="U57" i="371"/>
  <c r="U61" i="371"/>
  <c r="U63" i="371"/>
  <c r="U65" i="371"/>
  <c r="U69" i="371"/>
  <c r="U75" i="371"/>
  <c r="U77" i="371"/>
  <c r="U85" i="371"/>
  <c r="U99" i="371"/>
  <c r="U101" i="371"/>
  <c r="AQ25" i="419" l="1"/>
  <c r="AQ26" i="419"/>
  <c r="AQ27" i="419" s="1"/>
  <c r="AQ28" i="419" l="1"/>
  <c r="F26" i="419"/>
  <c r="F25" i="419"/>
  <c r="C26" i="419" l="1"/>
  <c r="C27" i="419" s="1"/>
  <c r="C25" i="419"/>
  <c r="C28" i="419" l="1"/>
  <c r="AE3" i="418" l="1"/>
  <c r="I3" i="418"/>
  <c r="F28" i="419" l="1"/>
  <c r="F27" i="419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L26" i="419" l="1"/>
  <c r="L25" i="419" l="1"/>
  <c r="AS20" i="419"/>
  <c r="AR20" i="419"/>
  <c r="AQ20" i="419"/>
  <c r="AP20" i="419"/>
  <c r="AO20" i="419"/>
  <c r="AN20" i="419"/>
  <c r="AM20" i="419"/>
  <c r="AL20" i="419"/>
  <c r="AS19" i="419"/>
  <c r="AR19" i="419"/>
  <c r="AQ19" i="419"/>
  <c r="AP19" i="419"/>
  <c r="AO19" i="419"/>
  <c r="AN19" i="419"/>
  <c r="AM19" i="419"/>
  <c r="AL19" i="419"/>
  <c r="AS17" i="419"/>
  <c r="AR17" i="419"/>
  <c r="AQ17" i="419"/>
  <c r="AP17" i="419"/>
  <c r="AO17" i="419"/>
  <c r="AN17" i="419"/>
  <c r="AM17" i="419"/>
  <c r="AL17" i="419"/>
  <c r="AS16" i="419"/>
  <c r="AR16" i="419"/>
  <c r="AQ16" i="419"/>
  <c r="AP16" i="419"/>
  <c r="AP18" i="419" s="1"/>
  <c r="AO16" i="419"/>
  <c r="AN16" i="419"/>
  <c r="AM16" i="419"/>
  <c r="AL16" i="419"/>
  <c r="AL18" i="419" s="1"/>
  <c r="AS14" i="419"/>
  <c r="AR14" i="419"/>
  <c r="AQ14" i="419"/>
  <c r="AP14" i="419"/>
  <c r="AO14" i="419"/>
  <c r="AN14" i="419"/>
  <c r="AM14" i="419"/>
  <c r="AL14" i="419"/>
  <c r="AS13" i="419"/>
  <c r="AR13" i="419"/>
  <c r="AQ13" i="419"/>
  <c r="AP13" i="419"/>
  <c r="AO13" i="419"/>
  <c r="AN13" i="419"/>
  <c r="AM13" i="419"/>
  <c r="AL13" i="419"/>
  <c r="AS12" i="419"/>
  <c r="AR12" i="419"/>
  <c r="AQ12" i="419"/>
  <c r="AP12" i="419"/>
  <c r="AO12" i="419"/>
  <c r="AN12" i="419"/>
  <c r="AM12" i="419"/>
  <c r="AL12" i="419"/>
  <c r="AS11" i="419"/>
  <c r="AR11" i="419"/>
  <c r="AQ11" i="419"/>
  <c r="AP11" i="419"/>
  <c r="AO11" i="419"/>
  <c r="AN11" i="419"/>
  <c r="AM11" i="419"/>
  <c r="AL11" i="419"/>
  <c r="AW3" i="418"/>
  <c r="AV3" i="418"/>
  <c r="AU3" i="418"/>
  <c r="AT3" i="418"/>
  <c r="AS3" i="418"/>
  <c r="AR3" i="418"/>
  <c r="AO18" i="419" l="1"/>
  <c r="AS18" i="419"/>
  <c r="AM18" i="419"/>
  <c r="AQ18" i="419"/>
  <c r="AN18" i="419"/>
  <c r="AR18" i="419"/>
  <c r="B25" i="419"/>
  <c r="L27" i="419" l="1"/>
  <c r="B26" i="419"/>
  <c r="B27" i="419" s="1"/>
  <c r="L28" i="419"/>
  <c r="A12" i="414"/>
  <c r="A11" i="414"/>
  <c r="A9" i="414"/>
  <c r="A8" i="414"/>
  <c r="A7" i="414"/>
  <c r="AM21" i="419" l="1"/>
  <c r="AL21" i="419"/>
  <c r="AL22" i="419" s="1"/>
  <c r="AK21" i="419"/>
  <c r="AJ21" i="419"/>
  <c r="AJ22" i="419" s="1"/>
  <c r="AI21" i="419"/>
  <c r="AH21" i="419"/>
  <c r="AG21" i="419"/>
  <c r="AF21" i="419"/>
  <c r="AF22" i="419" s="1"/>
  <c r="AE21" i="419"/>
  <c r="AD21" i="419"/>
  <c r="AC21" i="419"/>
  <c r="AB21" i="419"/>
  <c r="AB22" i="419" s="1"/>
  <c r="Z21" i="419"/>
  <c r="Y21" i="419"/>
  <c r="Y22" i="419" s="1"/>
  <c r="X21" i="419"/>
  <c r="X22" i="419" s="1"/>
  <c r="W21" i="419"/>
  <c r="W22" i="419" s="1"/>
  <c r="V21" i="419"/>
  <c r="U21" i="419"/>
  <c r="T21" i="419"/>
  <c r="S21" i="419"/>
  <c r="S22" i="419" s="1"/>
  <c r="R21" i="419"/>
  <c r="Q21" i="419"/>
  <c r="Q22" i="419" s="1"/>
  <c r="P21" i="419"/>
  <c r="O21" i="419"/>
  <c r="O22" i="419" s="1"/>
  <c r="N21" i="419"/>
  <c r="M21" i="419"/>
  <c r="L21" i="419"/>
  <c r="K21" i="419"/>
  <c r="K22" i="419" s="1"/>
  <c r="J21" i="419"/>
  <c r="AK20" i="419"/>
  <c r="AJ20" i="419"/>
  <c r="AI20" i="419"/>
  <c r="AH20" i="419"/>
  <c r="AG20" i="419"/>
  <c r="AF20" i="419"/>
  <c r="AE20" i="419"/>
  <c r="AD20" i="419"/>
  <c r="AC20" i="419"/>
  <c r="AB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AK19" i="419"/>
  <c r="AJ19" i="419"/>
  <c r="AI19" i="419"/>
  <c r="AH19" i="419"/>
  <c r="AG19" i="419"/>
  <c r="AF19" i="419"/>
  <c r="AE19" i="419"/>
  <c r="AD19" i="419"/>
  <c r="AC19" i="419"/>
  <c r="AB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AK17" i="419"/>
  <c r="AJ17" i="419"/>
  <c r="AI17" i="419"/>
  <c r="AH17" i="419"/>
  <c r="AG17" i="419"/>
  <c r="AF17" i="419"/>
  <c r="AE17" i="419"/>
  <c r="AD17" i="419"/>
  <c r="AC17" i="419"/>
  <c r="AB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AK16" i="419"/>
  <c r="AJ16" i="419"/>
  <c r="AI16" i="419"/>
  <c r="AH16" i="419"/>
  <c r="AG16" i="419"/>
  <c r="AF16" i="419"/>
  <c r="AE16" i="419"/>
  <c r="AD16" i="419"/>
  <c r="AC16" i="419"/>
  <c r="AB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AK14" i="419"/>
  <c r="AJ14" i="419"/>
  <c r="AI14" i="419"/>
  <c r="AH14" i="419"/>
  <c r="AG14" i="419"/>
  <c r="AF14" i="419"/>
  <c r="AE14" i="419"/>
  <c r="AD14" i="419"/>
  <c r="AC14" i="419"/>
  <c r="AB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AK13" i="419"/>
  <c r="AJ13" i="419"/>
  <c r="AI13" i="419"/>
  <c r="AH13" i="419"/>
  <c r="AG13" i="419"/>
  <c r="AF13" i="419"/>
  <c r="AE13" i="419"/>
  <c r="AD13" i="419"/>
  <c r="AC13" i="419"/>
  <c r="AB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AK12" i="419"/>
  <c r="AJ12" i="419"/>
  <c r="AI12" i="419"/>
  <c r="AH12" i="419"/>
  <c r="AG12" i="419"/>
  <c r="AF12" i="419"/>
  <c r="AE12" i="419"/>
  <c r="AD12" i="419"/>
  <c r="AC12" i="419"/>
  <c r="AB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AK11" i="419"/>
  <c r="AJ11" i="419"/>
  <c r="AI11" i="419"/>
  <c r="AH11" i="419"/>
  <c r="AG11" i="419"/>
  <c r="AF11" i="419"/>
  <c r="AE11" i="419"/>
  <c r="AD11" i="419"/>
  <c r="AC11" i="419"/>
  <c r="AB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L18" i="419" l="1"/>
  <c r="P18" i="419"/>
  <c r="T18" i="419"/>
  <c r="AC18" i="419"/>
  <c r="AG18" i="419"/>
  <c r="AK18" i="419"/>
  <c r="L23" i="419"/>
  <c r="P23" i="419"/>
  <c r="T23" i="419"/>
  <c r="AC23" i="419"/>
  <c r="AG23" i="419"/>
  <c r="AK23" i="419"/>
  <c r="J18" i="419"/>
  <c r="N18" i="419"/>
  <c r="R18" i="419"/>
  <c r="V18" i="419"/>
  <c r="Z18" i="419"/>
  <c r="AE18" i="419"/>
  <c r="AI18" i="419"/>
  <c r="X18" i="419"/>
  <c r="P22" i="419"/>
  <c r="AG22" i="419"/>
  <c r="O23" i="419"/>
  <c r="W23" i="419"/>
  <c r="AF23" i="419"/>
  <c r="K18" i="419"/>
  <c r="O18" i="419"/>
  <c r="S18" i="419"/>
  <c r="W18" i="419"/>
  <c r="AB18" i="419"/>
  <c r="AF18" i="419"/>
  <c r="AJ18" i="419"/>
  <c r="M23" i="419"/>
  <c r="U23" i="419"/>
  <c r="AD23" i="419"/>
  <c r="AH23" i="419"/>
  <c r="T22" i="419"/>
  <c r="AK22" i="419"/>
  <c r="X23" i="419"/>
  <c r="J23" i="419"/>
  <c r="N23" i="419"/>
  <c r="R23" i="419"/>
  <c r="V23" i="419"/>
  <c r="Z23" i="419"/>
  <c r="AE23" i="419"/>
  <c r="AI23" i="419"/>
  <c r="AM23" i="419"/>
  <c r="K23" i="419"/>
  <c r="S23" i="419"/>
  <c r="AB23" i="419"/>
  <c r="AJ23" i="419"/>
  <c r="M18" i="419"/>
  <c r="Q18" i="419"/>
  <c r="U18" i="419"/>
  <c r="Y18" i="419"/>
  <c r="AD18" i="419"/>
  <c r="AH18" i="419"/>
  <c r="L22" i="419"/>
  <c r="AC22" i="419"/>
  <c r="M22" i="419"/>
  <c r="U22" i="419"/>
  <c r="AD22" i="419"/>
  <c r="AH22" i="419"/>
  <c r="J22" i="419"/>
  <c r="N22" i="419"/>
  <c r="R22" i="419"/>
  <c r="V22" i="419"/>
  <c r="Z22" i="419"/>
  <c r="AE22" i="419"/>
  <c r="AI22" i="419"/>
  <c r="AM22" i="419"/>
  <c r="Q23" i="419"/>
  <c r="Y23" i="419"/>
  <c r="AL23" i="419"/>
  <c r="N3" i="418"/>
  <c r="I21" i="419" l="1"/>
  <c r="I22" i="419" s="1"/>
  <c r="H21" i="419"/>
  <c r="H22" i="419" s="1"/>
  <c r="G21" i="419"/>
  <c r="G22" i="419" s="1"/>
  <c r="F21" i="419"/>
  <c r="D21" i="419"/>
  <c r="D22" i="419" s="1"/>
  <c r="C21" i="419"/>
  <c r="C22" i="419" s="1"/>
  <c r="I20" i="419"/>
  <c r="H20" i="419"/>
  <c r="G20" i="419"/>
  <c r="F20" i="419"/>
  <c r="D20" i="419"/>
  <c r="C20" i="419"/>
  <c r="I19" i="419"/>
  <c r="H19" i="419"/>
  <c r="G19" i="419"/>
  <c r="F19" i="419"/>
  <c r="D19" i="419"/>
  <c r="C19" i="419"/>
  <c r="I17" i="419"/>
  <c r="H17" i="419"/>
  <c r="G17" i="419"/>
  <c r="F17" i="419"/>
  <c r="D17" i="419"/>
  <c r="C17" i="419"/>
  <c r="I16" i="419"/>
  <c r="H16" i="419"/>
  <c r="G16" i="419"/>
  <c r="F16" i="419"/>
  <c r="D16" i="419"/>
  <c r="C16" i="419"/>
  <c r="I14" i="419"/>
  <c r="H14" i="419"/>
  <c r="G14" i="419"/>
  <c r="F14" i="419"/>
  <c r="D14" i="419"/>
  <c r="C14" i="419"/>
  <c r="I13" i="419"/>
  <c r="H13" i="419"/>
  <c r="G13" i="419"/>
  <c r="F13" i="419"/>
  <c r="D13" i="419"/>
  <c r="C13" i="419"/>
  <c r="I12" i="419"/>
  <c r="H12" i="419"/>
  <c r="G12" i="419"/>
  <c r="F12" i="419"/>
  <c r="D12" i="419"/>
  <c r="C12" i="419"/>
  <c r="I11" i="419"/>
  <c r="H11" i="419"/>
  <c r="G11" i="419"/>
  <c r="F11" i="419"/>
  <c r="D11" i="419"/>
  <c r="C11" i="419"/>
  <c r="F18" i="419" l="1"/>
  <c r="F23" i="419"/>
  <c r="G18" i="419"/>
  <c r="D18" i="419"/>
  <c r="I18" i="419"/>
  <c r="C18" i="419"/>
  <c r="H18" i="419"/>
  <c r="C23" i="419"/>
  <c r="H23" i="419"/>
  <c r="F22" i="419"/>
  <c r="G23" i="419"/>
  <c r="D23" i="419"/>
  <c r="I23" i="419"/>
  <c r="B21" i="419"/>
  <c r="B22" i="419" l="1"/>
  <c r="A27" i="383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AP6" i="419" l="1"/>
  <c r="AL6" i="419"/>
  <c r="AH6" i="419"/>
  <c r="AD6" i="419"/>
  <c r="Z6" i="419"/>
  <c r="V6" i="419"/>
  <c r="R6" i="419"/>
  <c r="N6" i="419"/>
  <c r="J6" i="419"/>
  <c r="F6" i="419"/>
  <c r="T6" i="419"/>
  <c r="AS6" i="419"/>
  <c r="AO6" i="419"/>
  <c r="AK6" i="419"/>
  <c r="AG6" i="419"/>
  <c r="AC6" i="419"/>
  <c r="Y6" i="419"/>
  <c r="U6" i="419"/>
  <c r="Q6" i="419"/>
  <c r="M6" i="419"/>
  <c r="I6" i="419"/>
  <c r="E6" i="419"/>
  <c r="H6" i="419"/>
  <c r="AR6" i="419"/>
  <c r="AN6" i="419"/>
  <c r="AJ6" i="419"/>
  <c r="AF6" i="419"/>
  <c r="AB6" i="419"/>
  <c r="X6" i="419"/>
  <c r="L6" i="419"/>
  <c r="AQ6" i="419"/>
  <c r="AM6" i="419"/>
  <c r="AI6" i="419"/>
  <c r="AE6" i="419"/>
  <c r="AA6" i="419"/>
  <c r="W6" i="419"/>
  <c r="S6" i="419"/>
  <c r="O6" i="419"/>
  <c r="K6" i="419"/>
  <c r="G6" i="419"/>
  <c r="P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3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R3" i="344" s="1"/>
  <c r="G3" i="344"/>
  <c r="C3" i="344"/>
  <c r="B11" i="339"/>
  <c r="J11" i="339" s="1"/>
  <c r="S3" i="344" l="1"/>
  <c r="I11" i="339"/>
  <c r="F11" i="339"/>
  <c r="H11" i="339" l="1"/>
  <c r="G11" i="339"/>
  <c r="A30" i="414"/>
  <c r="A23" i="414"/>
  <c r="A15" i="414"/>
  <c r="A16" i="414"/>
  <c r="A4" i="414"/>
  <c r="A6" i="339" l="1"/>
  <c r="A5" i="339"/>
  <c r="C19" i="414"/>
  <c r="D19" i="414"/>
  <c r="D4" i="414"/>
  <c r="C16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G3" i="387"/>
  <c r="H3" i="387" s="1"/>
  <c r="F3" i="387"/>
  <c r="N3" i="220"/>
  <c r="L3" i="220" s="1"/>
  <c r="C24" i="414"/>
  <c r="D24" i="414"/>
  <c r="N3" i="372" l="1"/>
  <c r="F3" i="372"/>
  <c r="J12" i="339"/>
  <c r="H3" i="390"/>
  <c r="Q3" i="347"/>
  <c r="S3" i="347"/>
  <c r="U3" i="347"/>
  <c r="K3" i="38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8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2" i="340" l="1"/>
  <c r="B13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<sst xmlns="http://schemas.openxmlformats.org/spreadsheetml/2006/main" count="23039" uniqueCount="4932">
  <si>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</si>
  <si>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</si>
  <si>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</si>
  <si>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</si>
  <si>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</si>
  <si>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</si>
  <si>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</si>
  <si>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</si>
  <si>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</si>
  <si>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</si>
  <si>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</si>
  <si>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</si>
  <si>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</si>
  <si>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</si>
  <si>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</si>
  <si>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</si>
  <si>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</si>
  <si>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</si>
  <si>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</si>
  <si>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</si>
  <si>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</si>
  <si>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</si>
  <si>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</si>
  <si>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</si>
  <si>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</si>
  <si>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</si>
  <si>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</si>
  <si>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</si>
  <si>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</si>
  <si>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</si>
  <si>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</si>
  <si>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</si>
  <si>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</si>
  <si>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</si>
  <si>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</si>
  <si>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</si>
  <si>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</si>
  <si>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</si>
  <si>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</si>
  <si>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</si>
  <si>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</si>
  <si>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</si>
  <si>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</si>
  <si>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</si>
  <si>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</si>
  <si>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</si>
  <si>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</si>
  <si>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</si>
  <si>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</si>
  <si>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</si>
  <si>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</si>
  <si>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</si>
  <si>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</si>
  <si>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</si>
  <si>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</si>
  <si>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</si>
  <si>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</si>
  <si>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</si>
  <si>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</si>
  <si>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</si>
  <si>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</si>
  <si>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</si>
  <si>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</si>
  <si>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</si>
  <si>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</si>
  <si>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</si>
  <si>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</si>
  <si>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</si>
  <si>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</si>
  <si>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</si>
  <si>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</si>
  <si>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</si>
  <si>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</si>
  <si>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</si>
  <si>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</si>
  <si>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</si>
  <si>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</si>
  <si>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</si>
  <si>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</si>
  <si>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</si>
  <si>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</si>
  <si>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</si>
  <si>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</si>
  <si>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</si>
  <si>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</si>
  <si>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</si>
  <si>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</si>
  <si>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</si>
  <si>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</si>
  <si>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</si>
  <si>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</si>
  <si>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</si>
  <si>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</si>
  <si>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</si>
  <si>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</si>
  <si>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</si>
  <si>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</si>
  <si>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</si>
  <si>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</si>
  <si>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</si>
  <si>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</si>
  <si>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</si>
  <si>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</si>
  <si>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</si>
  <si>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</si>
  <si>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</si>
  <si>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</si>
  <si>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</si>
  <si>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</si>
  <si>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</si>
  <si>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</si>
  <si>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</si>
  <si>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</si>
  <si>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</si>
  <si>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</si>
  <si>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</si>
  <si>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</si>
  <si>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</si>
  <si>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</si>
  <si>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</si>
  <si>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</si>
  <si>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</si>
  <si>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</si>
  <si>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</si>
  <si>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</si>
  <si>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</si>
  <si>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</si>
  <si>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</si>
  <si>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</si>
  <si>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</si>
  <si>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</si>
  <si>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</si>
  <si>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</si>
  <si>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</si>
  <si>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</si>
  <si>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</si>
  <si>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</si>
  <si>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</si>
  <si>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</si>
  <si>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</si>
  <si>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</si>
  <si>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</si>
  <si>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</si>
  <si>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</si>
  <si>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</si>
  <si>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</si>
  <si>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</si>
  <si>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</si>
  <si>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</si>
  <si>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</si>
  <si>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</si>
  <si>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</si>
  <si>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</si>
  <si>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</si>
  <si>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</si>
  <si>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</si>
  <si>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</si>
  <si>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</si>
  <si>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</si>
  <si>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</si>
  <si>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</si>
  <si>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</si>
  <si>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</si>
  <si>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</si>
  <si>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</si>
  <si>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</si>
  <si>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</si>
  <si>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</si>
  <si>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</si>
  <si>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</si>
  <si>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</si>
  <si>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</si>
  <si>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</si>
  <si>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</si>
  <si>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</si>
  <si>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</si>
  <si>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</si>
  <si>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</si>
  <si>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</si>
  <si>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</si>
  <si>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</si>
  <si>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</si>
  <si>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</si>
  <si>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</si>
  <si>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</si>
  <si>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</si>
  <si>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</si>
  <si>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</si>
  <si>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</si>
  <si>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</si>
  <si>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</si>
  <si>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</si>
  <si>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</si>
  <si>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</si>
  <si>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</si>
  <si>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</si>
  <si>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</si>
  <si>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</si>
  <si>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</si>
  <si>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</si>
  <si>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</si>
  <si>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</si>
  <si>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</si>
  <si>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</si>
  <si>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</si>
  <si>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</si>
  <si>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</si>
  <si>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</si>
  <si>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</si>
  <si>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</si>
  <si>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</si>
  <si>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</si>
  <si>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</si>
  <si>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</si>
  <si>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</si>
  <si>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</si>
  <si>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</si>
  <si>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</si>
  <si>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</si>
  <si>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</si>
  <si>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</si>
  <si>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</si>
  <si>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</si>
  <si>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</si>
  <si>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</si>
  <si>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</si>
  <si>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</si>
  <si>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</si>
  <si>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</si>
  <si>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</si>
  <si>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</si>
  <si>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</si>
  <si>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</si>
  <si>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</si>
  <si>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</si>
  <si>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</si>
  <si>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</si>
  <si>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</si>
  <si>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</si>
  <si>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</si>
  <si>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</si>
  <si>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</si>
  <si>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</si>
  <si>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</si>
  <si>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</si>
  <si>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</si>
  <si>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</si>
  <si>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</si>
  <si>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</si>
  <si>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</si>
  <si>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</si>
  <si>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</si>
  <si>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</si>
  <si>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</si>
  <si>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</si>
  <si>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</si>
  <si>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</si>
  <si>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</si>
  <si>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</si>
  <si>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</si>
  <si>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</si>
  <si>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</si>
  <si>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</si>
  <si>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</si>
  <si>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</si>
  <si>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</si>
  <si>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</si>
  <si>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</si>
  <si>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</si>
  <si>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</si>
  <si>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</si>
  <si>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</si>
  <si>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</si>
  <si>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</si>
  <si>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</si>
  <si>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</si>
  <si>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</si>
  <si>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</si>
  <si>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</si>
  <si>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</si>
  <si>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</si>
  <si>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</si>
  <si>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</si>
  <si>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</si>
  <si>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</si>
  <si>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</si>
  <si>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</si>
  <si>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</si>
  <si>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</si>
  <si>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</si>
  <si>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</si>
  <si>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</si>
  <si>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</si>
  <si>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</si>
  <si>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</si>
  <si>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ergoterapeuti</t>
  </si>
  <si>
    <t>Sml.odb./NS</t>
  </si>
  <si>
    <t>lékaři bez dohledu</t>
  </si>
  <si>
    <t>lékaři specialisti</t>
  </si>
  <si>
    <t>zubní lékaři specialisti</t>
  </si>
  <si>
    <t>všeobecné sestry pod dohl.</t>
  </si>
  <si>
    <t>všeobecné sestry bez dohl.</t>
  </si>
  <si>
    <t>všeobecné sestry bez dohl., spec.</t>
  </si>
  <si>
    <t>všeobecné sestry VŠ</t>
  </si>
  <si>
    <t>kliničtí psychologové</t>
  </si>
  <si>
    <t>kliničtí psychologové spec.</t>
  </si>
  <si>
    <t>kliničtí psychologové spec. a zvl.odb.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</si>
  <si>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</si>
  <si>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</si>
  <si>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</si>
  <si>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</si>
  <si>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</si>
  <si>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</si>
  <si>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</si>
  <si>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</si>
  <si>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</si>
  <si>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</si>
  <si>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</si>
  <si>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</si>
  <si>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</si>
  <si>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</si>
  <si>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</si>
  <si>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</si>
  <si>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</si>
  <si>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</si>
  <si>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</si>
  <si>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</si>
  <si>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Případy hospitalizací se při výpočtu casemixu v letech 2015, 2016, 2017 rozumí případy hospitalizací přepočtené pomocí pravidel pro Klasifikaci a sestavování případů</t>
  </si>
  <si>
    <t>hospitalizací platných pro rok 2017</t>
  </si>
  <si>
    <t>Casemix v letech 2015, 2016, 2017 je počet případů hospitalizací ukončených ve sledovaném období, poskytovatelem vykázaných a zdravotní pojišťovnou uznaných,</t>
  </si>
  <si>
    <t>ROZDÍL (Sk.do data - Rozp.do data 2017)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</si>
  <si>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</si>
  <si>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</si>
  <si>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</si>
  <si>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</si>
  <si>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</si>
  <si>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</si>
  <si>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</si>
  <si>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které jsou podle Klasifikace zařazeny do skupin vztažených k diagnóze, vynásobený indexy 2016 (viz příohy č. 9 - individuálně smluvně sjednaná složka úhrady,</t>
  </si>
  <si>
    <t>10 - úhrada formou případového paušálu, 13 - úhrada vyčleněná z úhrady formou případového paušálu)</t>
  </si>
  <si>
    <t>Rozpočet výnosů pro rok 2017 je stanoven jako 100% skutečnosti referenčního období (2016)</t>
  </si>
  <si>
    <t>Rozdíl 2015</t>
  </si>
  <si>
    <t>Plnění 2015</t>
  </si>
  <si>
    <t>CM 2015</t>
  </si>
  <si>
    <t>Hosp. 2015</t>
  </si>
  <si>
    <t>biotechničtí asistenti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</si>
  <si>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</si>
  <si>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</si>
  <si>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</si>
  <si>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</si>
  <si>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</si>
  <si>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</si>
  <si>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Kč (tisíce)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</si>
  <si>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Traumatologické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</si>
  <si>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</si>
  <si>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</si>
  <si>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</si>
  <si>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</si>
  <si>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</si>
  <si>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</si>
  <si>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</si>
  <si>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</si>
  <si>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</si>
  <si>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</si>
  <si>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</si>
  <si>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</si>
  <si>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</si>
  <si>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</si>
  <si>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</si>
  <si>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</si>
  <si>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</si>
  <si>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</si>
  <si>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</si>
  <si>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</si>
  <si>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50115003     TEP (Z518)</t>
  </si>
  <si>
    <t>50115004     IUTN - kovové (Z506)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</si>
  <si>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</si>
  <si>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</si>
  <si>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</si>
  <si>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</si>
  <si>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</si>
  <si>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</si>
  <si>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</si>
  <si>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</si>
  <si>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</si>
  <si>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</si>
  <si>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</si>
  <si>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</si>
  <si>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</si>
  <si>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</si>
  <si>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</si>
  <si>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</si>
  <si>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</si>
  <si>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</si>
  <si>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</si>
  <si>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</si>
  <si>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</si>
  <si>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</si>
  <si>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</si>
  <si>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--</t>
  </si>
  <si>
    <t>50117009     spotřební materiál k ZPr. (sk.V21)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</si>
  <si>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</si>
  <si>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</si>
  <si>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</si>
  <si>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50117025     všeob.mat. - razítka ostatní (V111) od 0,01 do 2999,99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</si>
  <si>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</si>
  <si>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</si>
  <si>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</si>
  <si>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</si>
  <si>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</si>
  <si>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</si>
  <si>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</si>
  <si>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</si>
  <si>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</si>
  <si>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</si>
  <si>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</si>
  <si>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</si>
  <si>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</si>
  <si>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</si>
  <si>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</si>
  <si>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</si>
  <si>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</si>
  <si>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</si>
  <si>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</si>
  <si>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</si>
  <si>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</si>
  <si>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</si>
  <si>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</si>
  <si>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</si>
  <si>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51102026     opravy STA rozvodů (tel.antény) - odb.inf.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</si>
  <si>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</si>
  <si>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</si>
  <si>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</si>
  <si>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</si>
  <si>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</si>
  <si>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</si>
  <si>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</si>
  <si>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</si>
  <si>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</si>
  <si>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</si>
  <si>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</si>
  <si>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</si>
  <si>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</si>
  <si>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</si>
  <si>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</si>
  <si>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</si>
  <si>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</si>
  <si>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</si>
  <si>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</si>
  <si>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</si>
  <si>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</si>
  <si>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</si>
  <si>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</si>
  <si>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</si>
  <si>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</si>
  <si>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</si>
  <si>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51874003     znalecké posudky, odměny z klinických hodnocení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</si>
  <si>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</si>
  <si>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</si>
  <si>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</si>
  <si>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</si>
  <si>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</si>
  <si>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</si>
  <si>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</si>
  <si>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</si>
  <si>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</si>
  <si>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</si>
  <si>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</si>
  <si>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</si>
  <si>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</si>
  <si>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</si>
  <si>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</si>
  <si>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</si>
  <si>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</si>
  <si>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</si>
  <si>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</si>
  <si>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</si>
  <si>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</si>
  <si>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</si>
  <si>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</si>
  <si>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</si>
  <si>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</si>
  <si>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</si>
  <si>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</si>
  <si>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</si>
  <si>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</si>
  <si>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</si>
  <si>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</si>
  <si>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</si>
  <si>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</si>
  <si>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</si>
  <si>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</si>
  <si>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</si>
  <si>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</si>
  <si>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</si>
  <si>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</si>
  <si>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</si>
  <si>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</si>
  <si>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</si>
  <si>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</si>
  <si>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</si>
  <si>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</si>
  <si>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</si>
  <si>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</si>
  <si>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</si>
  <si>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</si>
  <si>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</si>
  <si>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</si>
  <si>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</si>
  <si>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</si>
  <si>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</si>
  <si>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</si>
  <si>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</si>
  <si>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</si>
  <si>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</si>
  <si>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</si>
  <si>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55802003     DDHM - kacelářská technika (sk.V_37)</t>
  </si>
  <si>
    <t>55804     DDHM - výpočetní technika</t>
  </si>
  <si>
    <t>55804001     DDHM - výpočetní technika (sk.P_35)</t>
  </si>
  <si>
    <t>55804002     DDHM - telefony (sk.P_49)</t>
  </si>
  <si>
    <t>55804081     DDHM - výpočetní technika (finanční dary)</t>
  </si>
  <si>
    <t>55805     DDHM - inventář</t>
  </si>
  <si>
    <t>55805002     DDHM - nábytek (sk.V_31)</t>
  </si>
  <si>
    <t>55828     DDNM software</t>
  </si>
  <si>
    <t>55828001     DDNM - software (sk.P_38)</t>
  </si>
  <si>
    <t>55828081     DDNM software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</si>
  <si>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</si>
  <si>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</si>
  <si>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</si>
  <si>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</si>
  <si>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</si>
  <si>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</si>
  <si>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</si>
  <si>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</si>
  <si>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</si>
  <si>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</si>
  <si>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</si>
  <si>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</si>
  <si>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</si>
  <si>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</si>
  <si>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</si>
  <si>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</si>
  <si>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</si>
  <si>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</si>
  <si>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</si>
  <si>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ostatní 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</si>
  <si>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</si>
  <si>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</si>
  <si>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</si>
  <si>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</si>
  <si>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</si>
  <si>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</si>
  <si>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</si>
  <si>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</si>
  <si>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</si>
  <si>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</si>
  <si>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</si>
  <si>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</si>
  <si>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</si>
  <si>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</si>
  <si>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</si>
  <si>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</si>
  <si>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</si>
  <si>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</si>
  <si>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</si>
  <si>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</si>
  <si>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</si>
  <si>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</si>
  <si>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</si>
  <si>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</si>
  <si>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</si>
  <si>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</si>
  <si>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</si>
  <si>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</si>
  <si>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</si>
  <si>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</si>
  <si>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</si>
  <si>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</si>
  <si>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</si>
  <si>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</si>
  <si>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</si>
  <si>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</si>
  <si>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</si>
  <si>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</si>
  <si>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</si>
  <si>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</si>
  <si>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</si>
  <si>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</si>
  <si>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</si>
  <si>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</si>
  <si>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</si>
  <si>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31</t>
  </si>
  <si>
    <t>Traumatologické oddělení</t>
  </si>
  <si>
    <t/>
  </si>
  <si>
    <t>Traumatologické oddělení Celkem</t>
  </si>
  <si>
    <t>SumaKL</t>
  </si>
  <si>
    <t>3111</t>
  </si>
  <si>
    <t>lůžkové oddělení 27</t>
  </si>
  <si>
    <t>lůžkové oddělení 27 Celkem</t>
  </si>
  <si>
    <t>SumaNS</t>
  </si>
  <si>
    <t>mezeraNS</t>
  </si>
  <si>
    <t>3121</t>
  </si>
  <si>
    <t>ambulance</t>
  </si>
  <si>
    <t>ambulance Celkem</t>
  </si>
  <si>
    <t>3131</t>
  </si>
  <si>
    <t>JIP 27</t>
  </si>
  <si>
    <t>JIP 27 Celkem</t>
  </si>
  <si>
    <t>50113001</t>
  </si>
  <si>
    <t>194918</t>
  </si>
  <si>
    <t>94918</t>
  </si>
  <si>
    <t>AMBROBENE</t>
  </si>
  <si>
    <t>TBL 20X30MG</t>
  </si>
  <si>
    <t>845493</t>
  </si>
  <si>
    <t>105844</t>
  </si>
  <si>
    <t>MIRTAZAPIN ORION 15 MG</t>
  </si>
  <si>
    <t>POR TBL DIS 30X15MG</t>
  </si>
  <si>
    <t>198054</t>
  </si>
  <si>
    <t>SANVAL 10 MG</t>
  </si>
  <si>
    <t>POR TBL FLM 20X10MG</t>
  </si>
  <si>
    <t>198058</t>
  </si>
  <si>
    <t>POR TBL FLM 100X10MG</t>
  </si>
  <si>
    <t>132853</t>
  </si>
  <si>
    <t>AULIN</t>
  </si>
  <si>
    <t>POR TBL NOB 30X100MG</t>
  </si>
  <si>
    <t>159760</t>
  </si>
  <si>
    <t>TRIMETAZIDIN MYLAN 35 MG</t>
  </si>
  <si>
    <t>TBL PRO 60X35MG II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</si>
  <si>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</si>
  <si>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</si>
  <si>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</si>
  <si>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</si>
  <si>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</si>
  <si>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</si>
  <si>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</si>
  <si>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</si>
  <si>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</si>
  <si>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51367</t>
  </si>
  <si>
    <t>INF SOL 10X250MLPELAH</t>
  </si>
  <si>
    <t>51383</t>
  </si>
  <si>
    <t>INF SOL 10X500MLPELAH</t>
  </si>
  <si>
    <t>100269</t>
  </si>
  <si>
    <t>269</t>
  </si>
  <si>
    <t>PREDNISON 5 LECIVA</t>
  </si>
  <si>
    <t>TBL 20X5MG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</si>
  <si>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</si>
  <si>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</si>
  <si>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</si>
  <si>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</si>
  <si>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</si>
  <si>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</si>
  <si>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</si>
  <si>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</si>
  <si>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102478</t>
  </si>
  <si>
    <t>2478</t>
  </si>
  <si>
    <t>DIAZEPAM SLOVAKOFARMA</t>
  </si>
  <si>
    <t>TBL 20X10MG</t>
  </si>
  <si>
    <t>102479</t>
  </si>
  <si>
    <t>2479</t>
  </si>
  <si>
    <t>DITHIADEN</t>
  </si>
  <si>
    <t>TBL 20X2MG</t>
  </si>
  <si>
    <t>102592</t>
  </si>
  <si>
    <t>2592</t>
  </si>
  <si>
    <t>MILURIT 100</t>
  </si>
  <si>
    <t>POR TBL NOB 50X100MG</t>
  </si>
  <si>
    <t>102679</t>
  </si>
  <si>
    <t>2679</t>
  </si>
  <si>
    <t>BERODUAL N</t>
  </si>
  <si>
    <t>INH SOL PSS 200DÁV</t>
  </si>
  <si>
    <t>117189</t>
  </si>
  <si>
    <t>17189</t>
  </si>
  <si>
    <t>KALIUM CHLORATUM BIOMEDICA</t>
  </si>
  <si>
    <t>POR TBLFLM100X500MG</t>
  </si>
  <si>
    <t>117992</t>
  </si>
  <si>
    <t>17992</t>
  </si>
  <si>
    <t>MAGNESII LACTICI 0,5 TBL. MEDICAMENTA</t>
  </si>
  <si>
    <t>TBL NOB 100X0,5GM</t>
  </si>
  <si>
    <t>131215</t>
  </si>
  <si>
    <t>31215</t>
  </si>
  <si>
    <t>TENSIOMIN</t>
  </si>
  <si>
    <t>TBL 30X25MG</t>
  </si>
  <si>
    <t>147193</t>
  </si>
  <si>
    <t>47193</t>
  </si>
  <si>
    <t>HUMULIN R 100 M.J./ML</t>
  </si>
  <si>
    <t>INJ 1X10ML/1KU</t>
  </si>
  <si>
    <t>147195</t>
  </si>
  <si>
    <t>47195</t>
  </si>
  <si>
    <t>HUMULIN N 100 M.J./ML</t>
  </si>
  <si>
    <t>150117</t>
  </si>
  <si>
    <t>50117</t>
  </si>
  <si>
    <t>TRIASYN 5/5 MG</t>
  </si>
  <si>
    <t>POR TBL RET 30</t>
  </si>
  <si>
    <t>156993</t>
  </si>
  <si>
    <t>56993</t>
  </si>
  <si>
    <t>CODEIN SLOVAKOFARMA 30MG</t>
  </si>
  <si>
    <t>TBL 10X30MG-BLISTR</t>
  </si>
  <si>
    <t>157525</t>
  </si>
  <si>
    <t>57525</t>
  </si>
  <si>
    <t>MYDOCALM 150MG</t>
  </si>
  <si>
    <t>TBL OBD 30X150MG</t>
  </si>
  <si>
    <t>158041</t>
  </si>
  <si>
    <t>58041</t>
  </si>
  <si>
    <t>BETALOC ZOK 200 MG</t>
  </si>
  <si>
    <t>POR TBL PRO 30X200MG</t>
  </si>
  <si>
    <t>162316</t>
  </si>
  <si>
    <t>62316</t>
  </si>
  <si>
    <t>BETADINE - zelená</t>
  </si>
  <si>
    <t>LIQ 1X120ML</t>
  </si>
  <si>
    <t>162320</t>
  </si>
  <si>
    <t>62320</t>
  </si>
  <si>
    <t>BETADINE</t>
  </si>
  <si>
    <t>UNG 1X20GM</t>
  </si>
  <si>
    <t>176064</t>
  </si>
  <si>
    <t>76064</t>
  </si>
  <si>
    <t>ACIDUM FOLICUM LECIVA</t>
  </si>
  <si>
    <t>DRG 30X10MG</t>
  </si>
  <si>
    <t>184399</t>
  </si>
  <si>
    <t>84399</t>
  </si>
  <si>
    <t>NEURONTIN 300MG</t>
  </si>
  <si>
    <t>CPS 50X300MG</t>
  </si>
  <si>
    <t>188217</t>
  </si>
  <si>
    <t>88217</t>
  </si>
  <si>
    <t>LEXAURIN</t>
  </si>
  <si>
    <t>TBL 30X1.5MG</t>
  </si>
  <si>
    <t>188219</t>
  </si>
  <si>
    <t>88219</t>
  </si>
  <si>
    <t>LEXAURIN 3</t>
  </si>
  <si>
    <t>POR TBL NOB 30X3MG</t>
  </si>
  <si>
    <t>191836</t>
  </si>
  <si>
    <t>91836</t>
  </si>
  <si>
    <t>TORECAN</t>
  </si>
  <si>
    <t>INJ 5X1ML/6.5MG</t>
  </si>
  <si>
    <t>196303</t>
  </si>
  <si>
    <t>96303</t>
  </si>
  <si>
    <t>ASCORUTIN (BLISTR)</t>
  </si>
  <si>
    <t>TBL OBD 50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</si>
  <si>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</si>
  <si>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</si>
  <si>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</si>
  <si>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</si>
  <si>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</si>
  <si>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</si>
  <si>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</si>
  <si>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</si>
  <si>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844960</t>
  </si>
  <si>
    <t>125114</t>
  </si>
  <si>
    <t>TBL 60X100 MG</t>
  </si>
  <si>
    <t>845008</t>
  </si>
  <si>
    <t>107806</t>
  </si>
  <si>
    <t>AESCIN-TEVA</t>
  </si>
  <si>
    <t>POR TBL FLM 30X20MG</t>
  </si>
  <si>
    <t>847974</t>
  </si>
  <si>
    <t>125525</t>
  </si>
  <si>
    <t>APO-IBUPROFEN 400 MG</t>
  </si>
  <si>
    <t>POR TBL FLM 30X400MG</t>
  </si>
  <si>
    <t>848866</t>
  </si>
  <si>
    <t>119654</t>
  </si>
  <si>
    <t>SORBIFER DURULES</t>
  </si>
  <si>
    <t>POR TBL FLM 100X100MG</t>
  </si>
  <si>
    <t>849941</t>
  </si>
  <si>
    <t>162142</t>
  </si>
  <si>
    <t>PARALEN 500</t>
  </si>
  <si>
    <t>POR TBL NOB 24X500MG</t>
  </si>
  <si>
    <t>905097</t>
  </si>
  <si>
    <t>158767</t>
  </si>
  <si>
    <t>DZ OCTENISEPT 250 ml</t>
  </si>
  <si>
    <t>sprej</t>
  </si>
  <si>
    <t>988466</t>
  </si>
  <si>
    <t>192729</t>
  </si>
  <si>
    <t>NO-SPA</t>
  </si>
  <si>
    <t>POR TBL NOB 24X40MG</t>
  </si>
  <si>
    <t>110086</t>
  </si>
  <si>
    <t>10086</t>
  </si>
  <si>
    <t>NEODOLPASSE</t>
  </si>
  <si>
    <t>INF 10X250ML</t>
  </si>
  <si>
    <t>146991</t>
  </si>
  <si>
    <t>46991</t>
  </si>
  <si>
    <t>IMODIUM</t>
  </si>
  <si>
    <t>CPS 20X2MG</t>
  </si>
  <si>
    <t>164888</t>
  </si>
  <si>
    <t>CALTRATE 600 MG/400 IU D3 POTAHOVANÁ TABLETA</t>
  </si>
  <si>
    <t>POR TBL FLM 90</t>
  </si>
  <si>
    <t>193124</t>
  </si>
  <si>
    <t>93124</t>
  </si>
  <si>
    <t>FAKTU</t>
  </si>
  <si>
    <t>193724</t>
  </si>
  <si>
    <t>93724</t>
  </si>
  <si>
    <t>INDOMETACIN 100 BERLIN-CHEMIE</t>
  </si>
  <si>
    <t>SUP 10X100MG</t>
  </si>
  <si>
    <t>194919</t>
  </si>
  <si>
    <t>94919</t>
  </si>
  <si>
    <t>AMBROBENE 7.5MG/ML</t>
  </si>
  <si>
    <t>SOL 1X40ML</t>
  </si>
  <si>
    <t>194920</t>
  </si>
  <si>
    <t>94920</t>
  </si>
  <si>
    <t>SOL 1X100ML</t>
  </si>
  <si>
    <t>196610</t>
  </si>
  <si>
    <t>96610</t>
  </si>
  <si>
    <t>APAURIN</t>
  </si>
  <si>
    <t>INJ 10X2ML/10MG</t>
  </si>
  <si>
    <t>394130</t>
  </si>
  <si>
    <t>0</t>
  </si>
  <si>
    <t>B-komplex Zentiva 30drg</t>
  </si>
  <si>
    <t>845329</t>
  </si>
  <si>
    <t>Biopron9 tob.60</t>
  </si>
  <si>
    <t>920170</t>
  </si>
  <si>
    <t>DZ TRIXO 500 ML</t>
  </si>
  <si>
    <t>841544</t>
  </si>
  <si>
    <t>KL ETHER 130G</t>
  </si>
  <si>
    <t>900321</t>
  </si>
  <si>
    <t>KL PRIPRAVEK</t>
  </si>
  <si>
    <t>100641</t>
  </si>
  <si>
    <t>641</t>
  </si>
  <si>
    <t>VITAMIN B12 LECIVA 300RG</t>
  </si>
  <si>
    <t>INJ 5X1ML/300RG</t>
  </si>
  <si>
    <t>117011</t>
  </si>
  <si>
    <t>17011</t>
  </si>
  <si>
    <t>DICYNONE 250</t>
  </si>
  <si>
    <t>INJ SOL 4X2ML/250MG</t>
  </si>
  <si>
    <t>167547</t>
  </si>
  <si>
    <t>67547</t>
  </si>
  <si>
    <t>ALMIRAL</t>
  </si>
  <si>
    <t>INJ 10X3ML/75MG</t>
  </si>
  <si>
    <t>169671</t>
  </si>
  <si>
    <t>69671</t>
  </si>
  <si>
    <t>INJECTIO PROCAIN.CHLOR.0.2% ARD</t>
  </si>
  <si>
    <t>INJ 1X500ML 0.2%</t>
  </si>
  <si>
    <t>102668</t>
  </si>
  <si>
    <t>2668</t>
  </si>
  <si>
    <t>OPHTHALMO-HYDROCORTISON LECIVA</t>
  </si>
  <si>
    <t>UNG OPH 1X5GM 0.5%</t>
  </si>
  <si>
    <t>102828</t>
  </si>
  <si>
    <t>2828</t>
  </si>
  <si>
    <t>TRIAMCINOLON LECIVA</t>
  </si>
  <si>
    <t>CRM 1X10GM 0.1%</t>
  </si>
  <si>
    <t>108499</t>
  </si>
  <si>
    <t>8499</t>
  </si>
  <si>
    <t>DIPIDOLOR</t>
  </si>
  <si>
    <t>INJ 5X2ML 7.5MG/ML</t>
  </si>
  <si>
    <t>159358</t>
  </si>
  <si>
    <t>59358</t>
  </si>
  <si>
    <t>RINGERUV ROZTOK BRAUN</t>
  </si>
  <si>
    <t>INF 10X1000ML(LDPE)</t>
  </si>
  <si>
    <t>394072</t>
  </si>
  <si>
    <t>1000</t>
  </si>
  <si>
    <t>KL KAPSLE</t>
  </si>
  <si>
    <t>900881</t>
  </si>
  <si>
    <t>KL BALS.VISNEVSKI 100G</t>
  </si>
  <si>
    <t>130526</t>
  </si>
  <si>
    <t>30526</t>
  </si>
  <si>
    <t>ZIBOR 3500 IU</t>
  </si>
  <si>
    <t>INJ SOL 10X0.2ML</t>
  </si>
  <si>
    <t>168579</t>
  </si>
  <si>
    <t>68579</t>
  </si>
  <si>
    <t>PHENAEMAL 0.1</t>
  </si>
  <si>
    <t>TBL 50X100MG</t>
  </si>
  <si>
    <t>900007</t>
  </si>
  <si>
    <t>KL SOL.HYD.PEROX.3% 100G</t>
  </si>
  <si>
    <t>191217</t>
  </si>
  <si>
    <t>91217</t>
  </si>
  <si>
    <t>VENTER</t>
  </si>
  <si>
    <t>TBL 50X1GM</t>
  </si>
  <si>
    <t>142475</t>
  </si>
  <si>
    <t>42475</t>
  </si>
  <si>
    <t>MILGAMMA</t>
  </si>
  <si>
    <t>POR TBL OBD 20</t>
  </si>
  <si>
    <t>112895</t>
  </si>
  <si>
    <t>12895</t>
  </si>
  <si>
    <t>POR GRA SOL30SÁČKŮ</t>
  </si>
  <si>
    <t>900513</t>
  </si>
  <si>
    <t>KL ETHANOL.C.BENZINO 75G</t>
  </si>
  <si>
    <t>846948</t>
  </si>
  <si>
    <t>122198</t>
  </si>
  <si>
    <t>VERMOX</t>
  </si>
  <si>
    <t>POR TBL NOB 6X100MG</t>
  </si>
  <si>
    <t>176954</t>
  </si>
  <si>
    <t>ALGIFEN NEO</t>
  </si>
  <si>
    <t>POR GTT SOL 1X50ML</t>
  </si>
  <si>
    <t>119752</t>
  </si>
  <si>
    <t>19752</t>
  </si>
  <si>
    <t>AFLODERM</t>
  </si>
  <si>
    <t>DRM UNG 1X20GM</t>
  </si>
  <si>
    <t>179327</t>
  </si>
  <si>
    <t>DORETA 75 MG/650 MG</t>
  </si>
  <si>
    <t>POR TBL FLM 30</t>
  </si>
  <si>
    <t>116287</t>
  </si>
  <si>
    <t>16287</t>
  </si>
  <si>
    <t>FASTUM GEL</t>
  </si>
  <si>
    <t>DRM GEL 1X100GM</t>
  </si>
  <si>
    <t>171031</t>
  </si>
  <si>
    <t>NASIVIN SENSITIVE 0,05%</t>
  </si>
  <si>
    <t>NAS SPR SOL 1X10ML/5MG</t>
  </si>
  <si>
    <t>190958</t>
  </si>
  <si>
    <t>TRIPLIXAM 5 MG/1,25 MG/5 MG</t>
  </si>
  <si>
    <t>149503</t>
  </si>
  <si>
    <t>49503</t>
  </si>
  <si>
    <t>FLAMEXIN</t>
  </si>
  <si>
    <t>TBL 20X20MG</t>
  </si>
  <si>
    <t>214593</t>
  </si>
  <si>
    <t>ERCEFURYL 200 MG CPS.</t>
  </si>
  <si>
    <t>POR CPS DUR 14X200MG</t>
  </si>
  <si>
    <t>132522</t>
  </si>
  <si>
    <t>EGILOK 25 MG</t>
  </si>
  <si>
    <t>TBL 60X25MG</t>
  </si>
  <si>
    <t>216199</t>
  </si>
  <si>
    <t>KLACID 500</t>
  </si>
  <si>
    <t>POR TBL FLM 14X500MG</t>
  </si>
  <si>
    <t>215605</t>
  </si>
  <si>
    <t>HELICID 20 ZENTIVA</t>
  </si>
  <si>
    <t>POR CPS ETD 28X20MG</t>
  </si>
  <si>
    <t>67558</t>
  </si>
  <si>
    <t>MABRON</t>
  </si>
  <si>
    <t>INJ SOL 5X2ML</t>
  </si>
  <si>
    <t>P</t>
  </si>
  <si>
    <t>56972</t>
  </si>
  <si>
    <t>TRITACE 1,25 MG</t>
  </si>
  <si>
    <t>POR TBL NOB 20X1.25MG</t>
  </si>
  <si>
    <t>114439</t>
  </si>
  <si>
    <t>14439</t>
  </si>
  <si>
    <t>FOKUSIN</t>
  </si>
  <si>
    <t>POR CPS RDR30X0.4MG</t>
  </si>
  <si>
    <t>147740</t>
  </si>
  <si>
    <t>47740</t>
  </si>
  <si>
    <t>RIVOCOR 5</t>
  </si>
  <si>
    <t>POR TBL FLM 30X5MG</t>
  </si>
  <si>
    <t>149909</t>
  </si>
  <si>
    <t>49909</t>
  </si>
  <si>
    <t>LOKREN 20 MG</t>
  </si>
  <si>
    <t>POR TBL FLM 28X20MG</t>
  </si>
  <si>
    <t>155823</t>
  </si>
  <si>
    <t>55823</t>
  </si>
  <si>
    <t>NOVALGIN</t>
  </si>
  <si>
    <t>TBL OBD 20X500MG</t>
  </si>
  <si>
    <t>166030</t>
  </si>
  <si>
    <t>66030</t>
  </si>
  <si>
    <t>ZODAC</t>
  </si>
  <si>
    <t>TBL OBD 30X10MG</t>
  </si>
  <si>
    <t>193016</t>
  </si>
  <si>
    <t>93016</t>
  </si>
  <si>
    <t>SORTIS 20MG</t>
  </si>
  <si>
    <t>TBL OBD 30X20MG</t>
  </si>
  <si>
    <t>193018</t>
  </si>
  <si>
    <t>93018</t>
  </si>
  <si>
    <t>SORTIS 20 MG</t>
  </si>
  <si>
    <t>POR TBL FLM100X20MG</t>
  </si>
  <si>
    <t>112891</t>
  </si>
  <si>
    <t>12891</t>
  </si>
  <si>
    <t>TBL 15X100MG</t>
  </si>
  <si>
    <t>131934</t>
  </si>
  <si>
    <t>31934</t>
  </si>
  <si>
    <t>VENTOLIN INHALER N</t>
  </si>
  <si>
    <t>INHSUSPSS200X100RG</t>
  </si>
  <si>
    <t>155824</t>
  </si>
  <si>
    <t>55824</t>
  </si>
  <si>
    <t>INJ 5X5ML/2500MG</t>
  </si>
  <si>
    <t>194113</t>
  </si>
  <si>
    <t>94113</t>
  </si>
  <si>
    <t>WARFARIN</t>
  </si>
  <si>
    <t>TBL 100X3MG</t>
  </si>
  <si>
    <t>146692</t>
  </si>
  <si>
    <t>46692</t>
  </si>
  <si>
    <t>EUTHYROX 75</t>
  </si>
  <si>
    <t>TBL 100X75RG</t>
  </si>
  <si>
    <t>850729</t>
  </si>
  <si>
    <t>157875</t>
  </si>
  <si>
    <t>PARACETAMOL KABI 10MG/ML</t>
  </si>
  <si>
    <t>INF SOL 10X100ML/1000MG</t>
  </si>
  <si>
    <t>181456</t>
  </si>
  <si>
    <t>81456</t>
  </si>
  <si>
    <t>DUPHALAC</t>
  </si>
  <si>
    <t>SIR 1X500ML-HDPE</t>
  </si>
  <si>
    <t>203097</t>
  </si>
  <si>
    <t>AMOKSIKLAV 1 G</t>
  </si>
  <si>
    <t>POR TBL FLM 21X1GM</t>
  </si>
  <si>
    <t>213477</t>
  </si>
  <si>
    <t>FRAXIPARIN MULTI</t>
  </si>
  <si>
    <t>INJ 10X5ML/47.5KU</t>
  </si>
  <si>
    <t>213494</t>
  </si>
  <si>
    <t>FRAXIPARINE</t>
  </si>
  <si>
    <t>INJ SOL 10X0.4ML</t>
  </si>
  <si>
    <t>214427</t>
  </si>
  <si>
    <t>CONTROLOC I.V.</t>
  </si>
  <si>
    <t>INJ PLV SOL 1X40MG</t>
  </si>
  <si>
    <t>213489</t>
  </si>
  <si>
    <t>INJ SOL 10X0.6ML</t>
  </si>
  <si>
    <t>990810</t>
  </si>
  <si>
    <t>195939</t>
  </si>
  <si>
    <t>SERTRALIN APOTEX 50 MG POTAHOVANÉ TABLETY</t>
  </si>
  <si>
    <t>POR TBL FLM 30X50MG</t>
  </si>
  <si>
    <t>394327</t>
  </si>
  <si>
    <t>124372</t>
  </si>
  <si>
    <t>Flavamed tablety por.tbl.nob.20x30mg</t>
  </si>
  <si>
    <t>201290</t>
  </si>
  <si>
    <t>MEDRACET 37,5 MG/325 MG</t>
  </si>
  <si>
    <t>POR TBL NOB 30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</si>
  <si>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</si>
  <si>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</si>
  <si>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</si>
  <si>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</si>
  <si>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</si>
  <si>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</si>
  <si>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</si>
  <si>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</si>
  <si>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</si>
  <si>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102427</t>
  </si>
  <si>
    <t>2427</t>
  </si>
  <si>
    <t>ENTIZOL</t>
  </si>
  <si>
    <t>TBL 20X250MG</t>
  </si>
  <si>
    <t>103708</t>
  </si>
  <si>
    <t>3708</t>
  </si>
  <si>
    <t>ZYVOXID</t>
  </si>
  <si>
    <t>INF SOL 10X300ML</t>
  </si>
  <si>
    <t>106264</t>
  </si>
  <si>
    <t>6264</t>
  </si>
  <si>
    <t>SUMETROLIM</t>
  </si>
  <si>
    <t>TBL 20X480MG</t>
  </si>
  <si>
    <t>116600</t>
  </si>
  <si>
    <t>16600</t>
  </si>
  <si>
    <t>UNASYN</t>
  </si>
  <si>
    <t>INJ PLV SOL 1X1.5GM</t>
  </si>
  <si>
    <t>117149</t>
  </si>
  <si>
    <t>17149</t>
  </si>
  <si>
    <t>POR TBL FLM12X375MG</t>
  </si>
  <si>
    <t>147727</t>
  </si>
  <si>
    <t>47727</t>
  </si>
  <si>
    <t>ZINNAT 500 MG</t>
  </si>
  <si>
    <t>TBL OBD 10X500MG</t>
  </si>
  <si>
    <t>155636</t>
  </si>
  <si>
    <t>55636</t>
  </si>
  <si>
    <t>OFLOXIN 200</t>
  </si>
  <si>
    <t>TBL OBD 10X200MG</t>
  </si>
  <si>
    <t>172972</t>
  </si>
  <si>
    <t>72972</t>
  </si>
  <si>
    <t>AMOKSIKLAV 1.2GM</t>
  </si>
  <si>
    <t>INJ SIC 5X1.2GM</t>
  </si>
  <si>
    <t>131656</t>
  </si>
  <si>
    <t>CEFTAZIDIM KABI 2 GM</t>
  </si>
  <si>
    <t>INJ+INF PLV SOL 10X2GM</t>
  </si>
  <si>
    <t>192490</t>
  </si>
  <si>
    <t>92490</t>
  </si>
  <si>
    <t>MACMIROR COMPLEX 500</t>
  </si>
  <si>
    <t>SUP VAG 8</t>
  </si>
  <si>
    <t>101069</t>
  </si>
  <si>
    <t>1069</t>
  </si>
  <si>
    <t>FUNGICIDIN LECIVA</t>
  </si>
  <si>
    <t>113453</t>
  </si>
  <si>
    <t>PIPERACILLIN/TAZOBACTAM KABI 4 G/0,5 G</t>
  </si>
  <si>
    <t>INF PLV SOL 10X4.5GM</t>
  </si>
  <si>
    <t>183926</t>
  </si>
  <si>
    <t>AZEPO 1 G</t>
  </si>
  <si>
    <t>INJ+INF PLV SOL 10X1GM</t>
  </si>
  <si>
    <t>151458</t>
  </si>
  <si>
    <t>CEFUROXIM KABI 1500 MG</t>
  </si>
  <si>
    <t>INJ+INF PLV SOL 10X1.5GM</t>
  </si>
  <si>
    <t>162187</t>
  </si>
  <si>
    <t>CIPROFLOXACIN KABI 400 MG/200 ML INFUZNÍ ROZTOK</t>
  </si>
  <si>
    <t>INF SOL 10X400MG/200ML</t>
  </si>
  <si>
    <t>849655</t>
  </si>
  <si>
    <t>129836</t>
  </si>
  <si>
    <t>Clindamycin Kabi 150mg/ml 10 x 4ml/600mg</t>
  </si>
  <si>
    <t>10 x 4ml /600mg</t>
  </si>
  <si>
    <t>115658</t>
  </si>
  <si>
    <t>15658</t>
  </si>
  <si>
    <t>CIPLOX 500</t>
  </si>
  <si>
    <t>105951</t>
  </si>
  <si>
    <t>5951</t>
  </si>
  <si>
    <t>AMOKSIKLAV 1G</t>
  </si>
  <si>
    <t>TBL OBD 14X1GM</t>
  </si>
  <si>
    <t>185525</t>
  </si>
  <si>
    <t>85525</t>
  </si>
  <si>
    <t>AMOKSIKLAV</t>
  </si>
  <si>
    <t>TBL OBD 21X625MG</t>
  </si>
  <si>
    <t>197000</t>
  </si>
  <si>
    <t>97000</t>
  </si>
  <si>
    <t>METRONIDAZOLE 0.5% POLFA</t>
  </si>
  <si>
    <t>INJ 1X100ML 5MG/1ML</t>
  </si>
  <si>
    <t>126127</t>
  </si>
  <si>
    <t>26127</t>
  </si>
  <si>
    <t>TYGACIL 50 MG</t>
  </si>
  <si>
    <t>INF PLV SOL 10X50MG/5ML</t>
  </si>
  <si>
    <t>50113014</t>
  </si>
  <si>
    <t>164401</t>
  </si>
  <si>
    <t>FLUCONAZOL KABI 2 MG/ML</t>
  </si>
  <si>
    <t>INF SOL 10X100ML/200MG</t>
  </si>
  <si>
    <t>50113011</t>
  </si>
  <si>
    <t>87240</t>
  </si>
  <si>
    <t>Fanhdi 100 I.U/ml(1000 I.U.)GRIFOLS</t>
  </si>
  <si>
    <t>87239</t>
  </si>
  <si>
    <t>Fanhdi 50 I.U./ml(500 I.U) GRIFOLS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</si>
  <si>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</si>
  <si>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</si>
  <si>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</si>
  <si>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</si>
  <si>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</si>
  <si>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</si>
  <si>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</si>
  <si>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</si>
  <si>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100394</t>
  </si>
  <si>
    <t>394</t>
  </si>
  <si>
    <t>ATROPIN BIOTIKA 1MG</t>
  </si>
  <si>
    <t>INJ 10X1ML/1MG</t>
  </si>
  <si>
    <t>169755</t>
  </si>
  <si>
    <t>69755</t>
  </si>
  <si>
    <t>ARDEANUTRISOL G 40</t>
  </si>
  <si>
    <t>INF 1X80ML</t>
  </si>
  <si>
    <t>921459</t>
  </si>
  <si>
    <t>KL ZASYP NA RANY 100G</t>
  </si>
  <si>
    <t>192143</t>
  </si>
  <si>
    <t>DIPROPHOS</t>
  </si>
  <si>
    <t>INJ SUS 5X1ML/7MG</t>
  </si>
  <si>
    <t>16326</t>
  </si>
  <si>
    <t>BRAUNOVIDON GÁZA S MASTÍ</t>
  </si>
  <si>
    <t>DRM LIG IPR 10X7.5X10CM</t>
  </si>
  <si>
    <t>190957</t>
  </si>
  <si>
    <t>90957</t>
  </si>
  <si>
    <t>XANAX</t>
  </si>
  <si>
    <t>TBL 30X0.25MG</t>
  </si>
  <si>
    <t>128216</t>
  </si>
  <si>
    <t>28216</t>
  </si>
  <si>
    <t>LYRICA 75 MG</t>
  </si>
  <si>
    <t>POR CPSDUR14X75MG</t>
  </si>
  <si>
    <t>128217</t>
  </si>
  <si>
    <t>28217</t>
  </si>
  <si>
    <t>POR CPSDUR56X75MG</t>
  </si>
  <si>
    <t>47249</t>
  </si>
  <si>
    <t>INF SOL 10X250ML-PE</t>
  </si>
  <si>
    <t>100802</t>
  </si>
  <si>
    <t>IR OG. OPHTHALMO-SEPTONEX</t>
  </si>
  <si>
    <t>GTT OPH 1X10ML</t>
  </si>
  <si>
    <t>100876</t>
  </si>
  <si>
    <t>876</t>
  </si>
  <si>
    <t>OPHTHALMO-SEPTONEX</t>
  </si>
  <si>
    <t>102133</t>
  </si>
  <si>
    <t>2133</t>
  </si>
  <si>
    <t>FUROSEMID BIOTIKA</t>
  </si>
  <si>
    <t>INJ 5X2ML/20MG</t>
  </si>
  <si>
    <t>102477</t>
  </si>
  <si>
    <t>2477</t>
  </si>
  <si>
    <t>103550</t>
  </si>
  <si>
    <t>3550</t>
  </si>
  <si>
    <t>VEROSPIRON</t>
  </si>
  <si>
    <t>TBL 20X25MG</t>
  </si>
  <si>
    <t>103575</t>
  </si>
  <si>
    <t>3575</t>
  </si>
  <si>
    <t>HEPAROID LECIVA</t>
  </si>
  <si>
    <t>UNG 1X30GM</t>
  </si>
  <si>
    <t>103688</t>
  </si>
  <si>
    <t>3688</t>
  </si>
  <si>
    <t>SUPPOSITORIA GLYCERINI LECIVA</t>
  </si>
  <si>
    <t>SUP 10X2.35GM</t>
  </si>
  <si>
    <t>109159</t>
  </si>
  <si>
    <t>9159</t>
  </si>
  <si>
    <t>HYLAK FORTE</t>
  </si>
  <si>
    <t>GTT 1X100ML</t>
  </si>
  <si>
    <t>110151</t>
  </si>
  <si>
    <t>10151</t>
  </si>
  <si>
    <t>LOPERON CPS</t>
  </si>
  <si>
    <t>POR CPS DUR 10X2MG</t>
  </si>
  <si>
    <t>124067</t>
  </si>
  <si>
    <t>HYDROCORTISON VUAB 100 MG</t>
  </si>
  <si>
    <t>INJ PLV SOL 1X100MG</t>
  </si>
  <si>
    <t>147478</t>
  </si>
  <si>
    <t>47478</t>
  </si>
  <si>
    <t>LORADUR MITE</t>
  </si>
  <si>
    <t>POR TBL NOB 50</t>
  </si>
  <si>
    <t>148578</t>
  </si>
  <si>
    <t>48578</t>
  </si>
  <si>
    <t>TIAPRIDAL</t>
  </si>
  <si>
    <t>POR TBLNOB 50X100MG</t>
  </si>
  <si>
    <t>154424</t>
  </si>
  <si>
    <t>54424</t>
  </si>
  <si>
    <t>PLAQUENIL</t>
  </si>
  <si>
    <t>TBL OBD 60X200MG</t>
  </si>
  <si>
    <t>157586</t>
  </si>
  <si>
    <t>57586</t>
  </si>
  <si>
    <t>ESPUMISAN</t>
  </si>
  <si>
    <t>PORCPSMOL50X40MG-BL</t>
  </si>
  <si>
    <t>166555</t>
  </si>
  <si>
    <t>66555</t>
  </si>
  <si>
    <t>MAGNOSOLV</t>
  </si>
  <si>
    <t>GRA 30X6.1GM(SACKY)</t>
  </si>
  <si>
    <t>187076</t>
  </si>
  <si>
    <t>87076</t>
  </si>
  <si>
    <t>ERDOMED 300MG</t>
  </si>
  <si>
    <t>CPS 20X300MG</t>
  </si>
  <si>
    <t>840220</t>
  </si>
  <si>
    <t>Lactobacillus acidophil.cps.75 bez laktózy</t>
  </si>
  <si>
    <t>843905</t>
  </si>
  <si>
    <t>103391</t>
  </si>
  <si>
    <t>MUCOSOLVAN</t>
  </si>
  <si>
    <t>POR GTT SOL+INH SOL 60ML</t>
  </si>
  <si>
    <t>848632</t>
  </si>
  <si>
    <t>125315</t>
  </si>
  <si>
    <t>INJ SOL 12X2ML/100MG</t>
  </si>
  <si>
    <t>849561</t>
  </si>
  <si>
    <t>125060</t>
  </si>
  <si>
    <t>APO-AMLO 5</t>
  </si>
  <si>
    <t>POR TBL NOB 30X5MG</t>
  </si>
  <si>
    <t>100536</t>
  </si>
  <si>
    <t>536</t>
  </si>
  <si>
    <t>NORADRENALIN LECIVA</t>
  </si>
  <si>
    <t>104336</t>
  </si>
  <si>
    <t>4336</t>
  </si>
  <si>
    <t>CILKANOL</t>
  </si>
  <si>
    <t>CPS 30X300MG</t>
  </si>
  <si>
    <t>111242</t>
  </si>
  <si>
    <t>11242</t>
  </si>
  <si>
    <t>GERATAM 1200</t>
  </si>
  <si>
    <t>TBL OBD 60X1200MG</t>
  </si>
  <si>
    <t>118305</t>
  </si>
  <si>
    <t>18305</t>
  </si>
  <si>
    <t>RINGERFUNDIN B.BRAUN</t>
  </si>
  <si>
    <t>INF SOL10X1000ML PE</t>
  </si>
  <si>
    <t>102587</t>
  </si>
  <si>
    <t>2587</t>
  </si>
  <si>
    <t>GLUKÓZA 40 BRAUN</t>
  </si>
  <si>
    <t>INF 20X10ML-PLA.AMP</t>
  </si>
  <si>
    <t>110555</t>
  </si>
  <si>
    <t>10555</t>
  </si>
  <si>
    <t>AQUA PRO INJECTIONE BRAUN</t>
  </si>
  <si>
    <t>PAR LQF 20X100ML-PE</t>
  </si>
  <si>
    <t>194916</t>
  </si>
  <si>
    <t>94916</t>
  </si>
  <si>
    <t>INJ 5X2ML/15MG</t>
  </si>
  <si>
    <t>102963</t>
  </si>
  <si>
    <t>2963</t>
  </si>
  <si>
    <t>PREDNISON 20 LECIVA</t>
  </si>
  <si>
    <t>TBL 20X20MG(BLISTR)</t>
  </si>
  <si>
    <t>176205</t>
  </si>
  <si>
    <t>180825</t>
  </si>
  <si>
    <t>HYDROCORTISON 10MG</t>
  </si>
  <si>
    <t>177047</t>
  </si>
  <si>
    <t>77047</t>
  </si>
  <si>
    <t>PROTHIADEN 75</t>
  </si>
  <si>
    <t>TBL OBD 30X75MG</t>
  </si>
  <si>
    <t>102439</t>
  </si>
  <si>
    <t>2439</t>
  </si>
  <si>
    <t>MARCAINE 0.5%</t>
  </si>
  <si>
    <t>INJ SOL5X20ML/100MG</t>
  </si>
  <si>
    <t>130229</t>
  </si>
  <si>
    <t>30229</t>
  </si>
  <si>
    <t>PARALEN PLUS</t>
  </si>
  <si>
    <t>TBL OBD 24</t>
  </si>
  <si>
    <t>396473</t>
  </si>
  <si>
    <t>99130</t>
  </si>
  <si>
    <t>ARDEAOSMOSOL MA 20 (Mannitol)</t>
  </si>
  <si>
    <t>INF 1X100 ML</t>
  </si>
  <si>
    <t>118566</t>
  </si>
  <si>
    <t>18566</t>
  </si>
  <si>
    <t>MINIRIN MELT 120 MCG</t>
  </si>
  <si>
    <t>POR LYO 30X120RG</t>
  </si>
  <si>
    <t>121856</t>
  </si>
  <si>
    <t>21856</t>
  </si>
  <si>
    <t>CORYOL 3.125</t>
  </si>
  <si>
    <t>PORTBLNOB30X3.125MG</t>
  </si>
  <si>
    <t>123795</t>
  </si>
  <si>
    <t>23795</t>
  </si>
  <si>
    <t>GLUCOPHAGE 850 MG</t>
  </si>
  <si>
    <t>POR TBLFLM100X850MG</t>
  </si>
  <si>
    <t>849320</t>
  </si>
  <si>
    <t>134270</t>
  </si>
  <si>
    <t>VALSACOMBI 80 MG/12,5 MG</t>
  </si>
  <si>
    <t>POR TBL FLM 28</t>
  </si>
  <si>
    <t>58159</t>
  </si>
  <si>
    <t>SANORIN 1 PM</t>
  </si>
  <si>
    <t>NAS SPR SOL 1X10ML</t>
  </si>
  <si>
    <t>107678</t>
  </si>
  <si>
    <t>KALIUMCHLORID 7.45% BRAUN</t>
  </si>
  <si>
    <t>INF CNC SOL 20X20ML</t>
  </si>
  <si>
    <t>171571</t>
  </si>
  <si>
    <t>CARZAP HCT 16 MG/12,5 MG  TABLETY</t>
  </si>
  <si>
    <t>POR TBL NOB 28</t>
  </si>
  <si>
    <t>202701</t>
  </si>
  <si>
    <t>POR TBL ENT 90X20MG</t>
  </si>
  <si>
    <t>201608</t>
  </si>
  <si>
    <t>ZALDIAR</t>
  </si>
  <si>
    <t>POR TBL FLM 20</t>
  </si>
  <si>
    <t>190968</t>
  </si>
  <si>
    <t>TRIPLIXAM 10 MG/2,5 MG/5 MG</t>
  </si>
  <si>
    <t>850021</t>
  </si>
  <si>
    <t>162932</t>
  </si>
  <si>
    <t>ORCAL NEO 10 MG</t>
  </si>
  <si>
    <t>POR TBL NOB 30X10MG</t>
  </si>
  <si>
    <t>201607</t>
  </si>
  <si>
    <t>POR TBL FLM 10</t>
  </si>
  <si>
    <t>500458</t>
  </si>
  <si>
    <t>B-komplex forte 100tbl. Zentiva</t>
  </si>
  <si>
    <t>214598</t>
  </si>
  <si>
    <t>FLAVOBION</t>
  </si>
  <si>
    <t>POR TBL FLM 50X70MG</t>
  </si>
  <si>
    <t>215606</t>
  </si>
  <si>
    <t>POR CPS ETD 90X20MG</t>
  </si>
  <si>
    <t>119653</t>
  </si>
  <si>
    <t>TBL FLM 60X320MG/60MG</t>
  </si>
  <si>
    <t>210078</t>
  </si>
  <si>
    <t>SIMBRINZA 10 MG/ML + 2 MG/ML</t>
  </si>
  <si>
    <t>OPH GTT SUS 1X5ML</t>
  </si>
  <si>
    <t>216196</t>
  </si>
  <si>
    <t>KLACID 250</t>
  </si>
  <si>
    <t>TBL FLM 14X250MG</t>
  </si>
  <si>
    <t>147251</t>
  </si>
  <si>
    <t>0,9 % SODIUM CHLORIDE KABI</t>
  </si>
  <si>
    <t>1x1000 ml FFlx</t>
  </si>
  <si>
    <t>113767</t>
  </si>
  <si>
    <t>13767</t>
  </si>
  <si>
    <t>CORDARONE</t>
  </si>
  <si>
    <t>POR TBL NOB30X200MG</t>
  </si>
  <si>
    <t>149910</t>
  </si>
  <si>
    <t>49910</t>
  </si>
  <si>
    <t>POR TBL FLM 98X20MG</t>
  </si>
  <si>
    <t>166029</t>
  </si>
  <si>
    <t>66029</t>
  </si>
  <si>
    <t>TBL OBD 10X10MG</t>
  </si>
  <si>
    <t>166759</t>
  </si>
  <si>
    <t>KINITO 50 MG, POTAHOVANÉ TABLETY</t>
  </si>
  <si>
    <t>POR TBL FLM 40X50MG</t>
  </si>
  <si>
    <t>848765</t>
  </si>
  <si>
    <t>107938</t>
  </si>
  <si>
    <t>INJ SOL 6X3ML/150MG</t>
  </si>
  <si>
    <t>849831</t>
  </si>
  <si>
    <t>162008</t>
  </si>
  <si>
    <t>PRESTARIUM NEO COMBI 10 MG/2,5 MG</t>
  </si>
  <si>
    <t>113281</t>
  </si>
  <si>
    <t>13281</t>
  </si>
  <si>
    <t>RECOXA 15</t>
  </si>
  <si>
    <t>POR TBL NOB20X15MG</t>
  </si>
  <si>
    <t>126786</t>
  </si>
  <si>
    <t>26786</t>
  </si>
  <si>
    <t>NOVORAPID 100 U/ML</t>
  </si>
  <si>
    <t>INJ SOL 1X10ML</t>
  </si>
  <si>
    <t>169191</t>
  </si>
  <si>
    <t>69191</t>
  </si>
  <si>
    <t>EUTHYROX 150</t>
  </si>
  <si>
    <t>TBL 100X150RG</t>
  </si>
  <si>
    <t>187425</t>
  </si>
  <si>
    <t>LETROX 50</t>
  </si>
  <si>
    <t>POR TBL NOB 100X50RG II</t>
  </si>
  <si>
    <t>50113006</t>
  </si>
  <si>
    <t>133146</t>
  </si>
  <si>
    <t>33530</t>
  </si>
  <si>
    <t>NUTRISON MULTI FIBRE</t>
  </si>
  <si>
    <t>POR SOL 1X1000ML-VA</t>
  </si>
  <si>
    <t>120605</t>
  </si>
  <si>
    <t>20605</t>
  </si>
  <si>
    <t>COLOMYCIN INJEKCE 1000000 IU</t>
  </si>
  <si>
    <t>INJ PLV SOL 10X1MU</t>
  </si>
  <si>
    <t>847476</t>
  </si>
  <si>
    <t>112782</t>
  </si>
  <si>
    <t xml:space="preserve">GENTAMICIN B.BRAUN 3 MG/ML INFUZNÍ ROZTOK </t>
  </si>
  <si>
    <t>INF SOL 20X80ML</t>
  </si>
  <si>
    <t>111706</t>
  </si>
  <si>
    <t>11706</t>
  </si>
  <si>
    <t>BISEPTOL 480</t>
  </si>
  <si>
    <t>INJ 10X5ML</t>
  </si>
  <si>
    <t>166269</t>
  </si>
  <si>
    <t>VANCOMYCIN MYLAN 1000 MG</t>
  </si>
  <si>
    <t>INF PLV SOL 1X1GM</t>
  </si>
  <si>
    <t>164407</t>
  </si>
  <si>
    <t>INF SOL 10X200ML/400MG</t>
  </si>
  <si>
    <t>50113008</t>
  </si>
  <si>
    <t>0062464</t>
  </si>
  <si>
    <t>Haemocomplettan P 1000mg</t>
  </si>
  <si>
    <t>TRAU: lůžkové oddělení 27</t>
  </si>
  <si>
    <t>TRAU: ambulance</t>
  </si>
  <si>
    <t>TRAU: JIP 27</t>
  </si>
  <si>
    <t>Lékárna - léčiva</t>
  </si>
  <si>
    <t>Lékárna - antibiotika</t>
  </si>
  <si>
    <t>Lékárna - antimykotika</t>
  </si>
  <si>
    <t>394 TO krevní deriváty hemofilici (112 01 003)</t>
  </si>
  <si>
    <t>Lékárna - enterární výživa</t>
  </si>
  <si>
    <t>393 TO krevní deriváty IVLP (112 01 003)</t>
  </si>
  <si>
    <t>3111 - TRAU: lůžkové oddělení 27</t>
  </si>
  <si>
    <t>3131 - TRAU: JIP 27</t>
  </si>
  <si>
    <t>M01AX17 - Nimesulid</t>
  </si>
  <si>
    <t>N05CF02 - Zolpidem</t>
  </si>
  <si>
    <t>R05CB06 - Ambroxol</t>
  </si>
  <si>
    <t>N05BA12 - Alprazolam</t>
  </si>
  <si>
    <t>B01AA03 - Warfarin</t>
  </si>
  <si>
    <t>N02AJ13 - Tramadol a paracetamol</t>
  </si>
  <si>
    <t>A10AB05 - Inzulin aspart</t>
  </si>
  <si>
    <t>C01BD01 - Amiodaron</t>
  </si>
  <si>
    <t>J02AC01 - Flukonazol</t>
  </si>
  <si>
    <t>C07AB05 - Betaxolol</t>
  </si>
  <si>
    <t>B01AB06 - Nadroparin</t>
  </si>
  <si>
    <t>C07AB07 - Bisoprolol</t>
  </si>
  <si>
    <t>V06XX - Potraviny pro zvláštní lékařské účely (PZLÚ)</t>
  </si>
  <si>
    <t>C09AA05 - Ramipril</t>
  </si>
  <si>
    <t>J01XD01 - Metronidazol</t>
  </si>
  <si>
    <t>C09BA04 - Perindopril a diuretika</t>
  </si>
  <si>
    <t>M01AC06 - Meloxikam</t>
  </si>
  <si>
    <t>N02BE01 - Paracetamol</t>
  </si>
  <si>
    <t>N02BB02 - Sodná sůl metamizolu</t>
  </si>
  <si>
    <t>A06AD11 - Laktulóza</t>
  </si>
  <si>
    <t>N06AX11 - Mirtazapin</t>
  </si>
  <si>
    <t>C10AA05 - Atorvastatin</t>
  </si>
  <si>
    <t>N06AB06 - Sertralin</t>
  </si>
  <si>
    <t>G04CA02 - Tamsulosin</t>
  </si>
  <si>
    <t>R03AC02 - Salbutamol</t>
  </si>
  <si>
    <t>H03AA01 - Levothyroxin, sodná sůl</t>
  </si>
  <si>
    <t>R06AE07 - Cetirizin</t>
  </si>
  <si>
    <t>J01AA12 - Tigecyklin</t>
  </si>
  <si>
    <t>A03FA07 - Itopridum</t>
  </si>
  <si>
    <t>J01CR02 - Amoxicilin a enzymový inhibitor</t>
  </si>
  <si>
    <t>A02BC02 - Pantoprazol</t>
  </si>
  <si>
    <t>J01XA01 - Vankomycin</t>
  </si>
  <si>
    <t>A02BC02</t>
  </si>
  <si>
    <t>40MG INJ PLV SOL 1</t>
  </si>
  <si>
    <t>A06AD11</t>
  </si>
  <si>
    <t>667MG/ML POR SOL 1X500ML HDP</t>
  </si>
  <si>
    <t>B01AA03</t>
  </si>
  <si>
    <t>WARFARIN ORION</t>
  </si>
  <si>
    <t>3MG TBL NOB 100</t>
  </si>
  <si>
    <t>B01AB06</t>
  </si>
  <si>
    <t>9500IU/ML INJ SOL 10X5ML</t>
  </si>
  <si>
    <t>9500IU/ML INJ SOL ISP 10X0,6ML</t>
  </si>
  <si>
    <t>9500IU/ML INJ SOL ISP 10X0,4ML</t>
  </si>
  <si>
    <t>C07AB05</t>
  </si>
  <si>
    <t>LOKREN</t>
  </si>
  <si>
    <t>20MG TBL FLM 28</t>
  </si>
  <si>
    <t>C07AB07</t>
  </si>
  <si>
    <t>5MG TBL FLM 30</t>
  </si>
  <si>
    <t>C09AA05</t>
  </si>
  <si>
    <t>TRITACE</t>
  </si>
  <si>
    <t>1,25MG TBL NOB 20</t>
  </si>
  <si>
    <t>C10AA05</t>
  </si>
  <si>
    <t>SORTIS</t>
  </si>
  <si>
    <t>20MG TBL FLM 30</t>
  </si>
  <si>
    <t>20MG TBL FLM 100</t>
  </si>
  <si>
    <t>G04CA02</t>
  </si>
  <si>
    <t>0,4MG CPS RDR 30</t>
  </si>
  <si>
    <t>H03AA01</t>
  </si>
  <si>
    <t>EUTHYROX</t>
  </si>
  <si>
    <t>75MCG TBL NOB 100</t>
  </si>
  <si>
    <t>J01AA12</t>
  </si>
  <si>
    <t>TYGACIL</t>
  </si>
  <si>
    <t>50MG INF PLV SOL 10</t>
  </si>
  <si>
    <t>J01CR02</t>
  </si>
  <si>
    <t>875MG/125MG TBL FLM 21</t>
  </si>
  <si>
    <t>875MG/125MG TBL FLM 14</t>
  </si>
  <si>
    <t>AMOKSIKLAV 625 MG</t>
  </si>
  <si>
    <t>500MG/125MG TBL FLM 21</t>
  </si>
  <si>
    <t>J01XD01</t>
  </si>
  <si>
    <t>METRONIDAZOLE 0,5%-POLPHARMA</t>
  </si>
  <si>
    <t>5MG/ML INF SOL 1X100ML</t>
  </si>
  <si>
    <t>J02AC01</t>
  </si>
  <si>
    <t>FLUCONAZOL KABI</t>
  </si>
  <si>
    <t>2MG/ML INF SOL 10X100ML</t>
  </si>
  <si>
    <t>M01AX17</t>
  </si>
  <si>
    <t>100MG TBL NOB 15</t>
  </si>
  <si>
    <t>100MG TBL NOB 30</t>
  </si>
  <si>
    <t>N02AJ13</t>
  </si>
  <si>
    <t>MEDRACET</t>
  </si>
  <si>
    <t>37,5MG/325MG TBL NOB 30</t>
  </si>
  <si>
    <t>N02BB02</t>
  </si>
  <si>
    <t>NOVALGIN TABLETY</t>
  </si>
  <si>
    <t>500MG TBL FLM 20</t>
  </si>
  <si>
    <t>NOVALGIN INJEKCE</t>
  </si>
  <si>
    <t>500MG/ML INJ SOL 5X5ML</t>
  </si>
  <si>
    <t>N02BE01</t>
  </si>
  <si>
    <t>PARACETAMOL KABI</t>
  </si>
  <si>
    <t>10MG/ML INF SOL 10X100ML</t>
  </si>
  <si>
    <t>N05CF02</t>
  </si>
  <si>
    <t>SANVAL</t>
  </si>
  <si>
    <t>10MG TBL FLM 20</t>
  </si>
  <si>
    <t>10MG TBL FLM 100</t>
  </si>
  <si>
    <t>N06AB06</t>
  </si>
  <si>
    <t>SERTRALIN APOTEX</t>
  </si>
  <si>
    <t>50MG TBL FLM 30</t>
  </si>
  <si>
    <t>N06AX11</t>
  </si>
  <si>
    <t>MIRTAZAPIN ORION</t>
  </si>
  <si>
    <t>15MG POR TBL DIS 30</t>
  </si>
  <si>
    <t>R03AC02</t>
  </si>
  <si>
    <t>100MCG/DÁV INH SUS PSS 200DÁV</t>
  </si>
  <si>
    <t>R05CB06</t>
  </si>
  <si>
    <t>FLAVAMED</t>
  </si>
  <si>
    <t>30MG TBL NOB 20</t>
  </si>
  <si>
    <t>R06AE07</t>
  </si>
  <si>
    <t>10MG TBL FLM 30</t>
  </si>
  <si>
    <t>A03FA07</t>
  </si>
  <si>
    <t>KINITO</t>
  </si>
  <si>
    <t>50MG TBL FLM 40</t>
  </si>
  <si>
    <t>A10AB05</t>
  </si>
  <si>
    <t>NOVORAPID</t>
  </si>
  <si>
    <t>100U/ML INJ SOL 1X10ML</t>
  </si>
  <si>
    <t>C01BD01</t>
  </si>
  <si>
    <t>150MG/3ML INJ SOL 6X3ML</t>
  </si>
  <si>
    <t>200MG TBL NOB 30</t>
  </si>
  <si>
    <t>20MG TBL FLM 98</t>
  </si>
  <si>
    <t>C09BA04</t>
  </si>
  <si>
    <t>PRESTARIUM NEO COMBI</t>
  </si>
  <si>
    <t>10MG/2,5MG TBL FLM 30</t>
  </si>
  <si>
    <t>50MCG TBL NOB 100 II</t>
  </si>
  <si>
    <t>150MCG TBL NOB 100</t>
  </si>
  <si>
    <t>J01XA01</t>
  </si>
  <si>
    <t>VANCOMYCIN MYLAN</t>
  </si>
  <si>
    <t>1000MG INF PLV SOL 1</t>
  </si>
  <si>
    <t>2MG/ML INF SOL 10X200ML</t>
  </si>
  <si>
    <t>M01AC06</t>
  </si>
  <si>
    <t>15MG TBL NOB 20</t>
  </si>
  <si>
    <t>N05BA12</t>
  </si>
  <si>
    <t>0,25MG TBL NOB 30</t>
  </si>
  <si>
    <t>10MG TBL FLM 10</t>
  </si>
  <si>
    <t>V06XX</t>
  </si>
  <si>
    <t>POR SOL 1X1000ML</t>
  </si>
  <si>
    <t>Přehled plnění pozitivního listu - spotřeba léčivých přípravků - orientační přehled</t>
  </si>
  <si>
    <t>31 - Traumatologické oddělení</t>
  </si>
  <si>
    <t>3111 - lůžkové oddělení 27</t>
  </si>
  <si>
    <t>3121 - ambulance</t>
  </si>
  <si>
    <t>3131 - JIP 27</t>
  </si>
  <si>
    <t>HVLP</t>
  </si>
  <si>
    <t>IPLP</t>
  </si>
  <si>
    <t>PZT</t>
  </si>
  <si>
    <t>89301311</t>
  </si>
  <si>
    <t>Standardní lůžková péče Celkem</t>
  </si>
  <si>
    <t>89301312</t>
  </si>
  <si>
    <t>Všeobecná ambulance Celkem</t>
  </si>
  <si>
    <t>89301313</t>
  </si>
  <si>
    <t>Lůžkové oddělení intenzivní péče Celkem</t>
  </si>
  <si>
    <t xml:space="preserve"> </t>
  </si>
  <si>
    <t>* Legenda</t>
  </si>
  <si>
    <t>DIAPZT = Pomůcky pro diabetiky, jejichž název začíná slovem "Pumpa"</t>
  </si>
  <si>
    <t>Čižmář Igor</t>
  </si>
  <si>
    <t>Čurlejová Eva</t>
  </si>
  <si>
    <t>Dospěl Ivo</t>
  </si>
  <si>
    <t>Dráč Pavel</t>
  </si>
  <si>
    <t>Freiwald Jaromír</t>
  </si>
  <si>
    <t>Gregořík Michal</t>
  </si>
  <si>
    <t>Homza Miroslav</t>
  </si>
  <si>
    <t>Knápek Michal</t>
  </si>
  <si>
    <t>Korpa Pavel</t>
  </si>
  <si>
    <t>Kovařík Jan</t>
  </si>
  <si>
    <t>Mysliveček Igor</t>
  </si>
  <si>
    <t>Palčák Ján</t>
  </si>
  <si>
    <t>Sedlák Pavel</t>
  </si>
  <si>
    <t>Skoumal Pavel</t>
  </si>
  <si>
    <t>Špiroch Petr</t>
  </si>
  <si>
    <t>Vinter Radim</t>
  </si>
  <si>
    <t>Zborovjan Peter</t>
  </si>
  <si>
    <t>Jiná kapiláry stabilizující látky</t>
  </si>
  <si>
    <t>20MG TBL ENT 30</t>
  </si>
  <si>
    <t>Nadroparin</t>
  </si>
  <si>
    <t>32059</t>
  </si>
  <si>
    <t>Sodná sůl metamizolu</t>
  </si>
  <si>
    <t>Sultamicilin</t>
  </si>
  <si>
    <t>375MG TBL FLM 12</t>
  </si>
  <si>
    <t>Tramadol a paracetamol</t>
  </si>
  <si>
    <t>138841</t>
  </si>
  <si>
    <t>DORETA</t>
  </si>
  <si>
    <t>37,5MG/325MG TBL FLM 30 I</t>
  </si>
  <si>
    <t>Obvazový materiál, náplasti</t>
  </si>
  <si>
    <t>22441</t>
  </si>
  <si>
    <t>OBINADLO ELASTICKÉ IDEALTEX</t>
  </si>
  <si>
    <t>12CMX5M,1KS</t>
  </si>
  <si>
    <t>32061</t>
  </si>
  <si>
    <t>Amoxicilin a enzymový inhibitor</t>
  </si>
  <si>
    <t>12494</t>
  </si>
  <si>
    <t>AUGMENTIN 1 G</t>
  </si>
  <si>
    <t>875MG/125MG TBL FLM 14 I</t>
  </si>
  <si>
    <t>Ciprofloxacin</t>
  </si>
  <si>
    <t>500MG TBL FLM 10</t>
  </si>
  <si>
    <t>Chlorid draselný</t>
  </si>
  <si>
    <t>500MG TBL ENT 100</t>
  </si>
  <si>
    <t>Klindamycin</t>
  </si>
  <si>
    <t>107135</t>
  </si>
  <si>
    <t>DALACIN C</t>
  </si>
  <si>
    <t>150MG CPS DUR 16</t>
  </si>
  <si>
    <t>132671</t>
  </si>
  <si>
    <t>300MG CPS DUR 16</t>
  </si>
  <si>
    <t>Kyselina aminomethylbenzoová</t>
  </si>
  <si>
    <t>2123</t>
  </si>
  <si>
    <t>PAMBA</t>
  </si>
  <si>
    <t>250MG TBL NOB 10</t>
  </si>
  <si>
    <t>32063</t>
  </si>
  <si>
    <t>9500IU/ML INJ SOL ISP 10X0,8ML</t>
  </si>
  <si>
    <t>Nimesulid</t>
  </si>
  <si>
    <t>12892</t>
  </si>
  <si>
    <t>Různé jiné kombinace železa</t>
  </si>
  <si>
    <t>97402</t>
  </si>
  <si>
    <t>320MG/60MG TBL FLM 50</t>
  </si>
  <si>
    <t>Sulfamethoxazol a trimethoprim</t>
  </si>
  <si>
    <t>400MG/80MG TBL NOB 20</t>
  </si>
  <si>
    <t>Tolperison</t>
  </si>
  <si>
    <t>MYDOCALM</t>
  </si>
  <si>
    <t>150MG TBL FLM 30</t>
  </si>
  <si>
    <t>179328</t>
  </si>
  <si>
    <t>75MG/650MG TBL FLM 40 I</t>
  </si>
  <si>
    <t>Kompresní punčochy a návleky</t>
  </si>
  <si>
    <t>45387</t>
  </si>
  <si>
    <t>PUNČOCHY KOMPRESNÍ LÝTKOVÉ II.K.T.</t>
  </si>
  <si>
    <t>MAXIS COMFORT A-D</t>
  </si>
  <si>
    <t>Ortopedicko protetické pomůcky sériově vyráběné</t>
  </si>
  <si>
    <t>11487</t>
  </si>
  <si>
    <t>ORTÉZA KOLENNÍHO KLOUBU OR32</t>
  </si>
  <si>
    <t>LIMITOVANÝ ROZSAH POHYBU, PEVNÝ RÁM</t>
  </si>
  <si>
    <t>11647</t>
  </si>
  <si>
    <t>LÍMEC KRČNÍ PAN 1.01</t>
  </si>
  <si>
    <t>ANATOMICKY TVAROVANÝ,VELIKOSTI S,M,L,XL,XXL,NÍZKÝ 8CM,VYSOKÝ 10CM</t>
  </si>
  <si>
    <t>11649</t>
  </si>
  <si>
    <t>ORTÉZA RAMENNÍHO KLOUBU UNIFIX PAN 2.02</t>
  </si>
  <si>
    <t>UNIVERZÁLNÍ PRO PRAVÉ A LEVÉ RAMENO,VELIKOSTI S,M,L</t>
  </si>
  <si>
    <t>11652</t>
  </si>
  <si>
    <t>ORTÉZA KLAVIKULÁRNÍ PAN 2.05</t>
  </si>
  <si>
    <t>VELIKOST S,M,L,XL, UNIVERZÁLNÍ PRO PRAVÉ A LEVÉ RAMENO</t>
  </si>
  <si>
    <t>62919</t>
  </si>
  <si>
    <t>ORTÉZA KOLENNÍ FIXAČNÍ S FLEXÍ 20.,PANOPFLEX PAN 7</t>
  </si>
  <si>
    <t>ZADNÍ ANATOMICKY TVAROVANÁ DLAHA A DVĚ BOČNÍ DLAHY VE 20.,VEL.XS,S,M,L,XL</t>
  </si>
  <si>
    <t>93834</t>
  </si>
  <si>
    <t>ORTÉZA ZÁPĚSTÍ EXOFORM</t>
  </si>
  <si>
    <t>S TVAROVATELNOU PALMÁRNÍ DLAHOU</t>
  </si>
  <si>
    <t>140963</t>
  </si>
  <si>
    <t xml:space="preserve">ORTÉZA HLEZENNÍHO KLOUBU LÉČEBNÁ S DLAHAMI-III. A </t>
  </si>
  <si>
    <t>VELIKOST XXS,XS,S,M,L,XL,XXL,XXXL</t>
  </si>
  <si>
    <t>11674</t>
  </si>
  <si>
    <t>ORTÉZA HLEZENNÍHO KLOUBU OR 6D</t>
  </si>
  <si>
    <t>LÉČEBNÁ DYNAMICKÁ</t>
  </si>
  <si>
    <t>136070</t>
  </si>
  <si>
    <t>ZÁVĚS RAMENNÍ</t>
  </si>
  <si>
    <t>DISTANČNÍ PODLOŽKA</t>
  </si>
  <si>
    <t>Kompenzační pomůcky pro tělesně postižené</t>
  </si>
  <si>
    <t>11974</t>
  </si>
  <si>
    <t>BERLE PŘEDLOKETNí SPECIÁLNÍ 222 KL-SC</t>
  </si>
  <si>
    <t>VYMĚKČENÉ DRŽADLO,BAREVNÁ,NASTAVITELNÁ 76-96CM,DO 130KG</t>
  </si>
  <si>
    <t>140360</t>
  </si>
  <si>
    <t>BERLE PODPAŽNÍ DURALOVÁ DPB 10</t>
  </si>
  <si>
    <t>VELIKOST STŘEDNÍ,DLOUHÁ A DĚTSKÁ,130 KG VYMĚKČENÁ RUKOJEŤ A PODPAŽNÍ NÁVLEK</t>
  </si>
  <si>
    <t>23883</t>
  </si>
  <si>
    <t>NÁSTAVEC NA WC PLASTOVÝ 508 A</t>
  </si>
  <si>
    <t>VÝŠKA 15CM</t>
  </si>
  <si>
    <t>Umělé slzy a jiné indiferentní přípravky</t>
  </si>
  <si>
    <t>84325</t>
  </si>
  <si>
    <t>VIDISIC</t>
  </si>
  <si>
    <t>2MG/G OPH GEL 1X10G</t>
  </si>
  <si>
    <t>Cefuroxim</t>
  </si>
  <si>
    <t>CEFUROXIM KABI</t>
  </si>
  <si>
    <t>1500MG INJ+INF PLV SOL 10</t>
  </si>
  <si>
    <t>Diklofenak</t>
  </si>
  <si>
    <t>107922</t>
  </si>
  <si>
    <t>APO-DICLO</t>
  </si>
  <si>
    <t>50MG TBL ENT 30</t>
  </si>
  <si>
    <t>Hydrogenované námelové alkaloidy</t>
  </si>
  <si>
    <t>91032</t>
  </si>
  <si>
    <t>SECATOXIN FORTE</t>
  </si>
  <si>
    <t>2,5MG/ML POR GTT SOL 25ML</t>
  </si>
  <si>
    <t>83459</t>
  </si>
  <si>
    <t>300MG CPS DUR 100</t>
  </si>
  <si>
    <t>Pentoxifylin</t>
  </si>
  <si>
    <t>214618</t>
  </si>
  <si>
    <t>TRENTAL 400</t>
  </si>
  <si>
    <t>400MG TBL PRO 20</t>
  </si>
  <si>
    <t>138839</t>
  </si>
  <si>
    <t>37,5MG/325MG TBL FLM 10 I</t>
  </si>
  <si>
    <t>201612</t>
  </si>
  <si>
    <t>37,5MG/325MG TBL FLM 60X1</t>
  </si>
  <si>
    <t>11662</t>
  </si>
  <si>
    <t>ORTÉZA PRSTŮ RUKY PAN 5.04</t>
  </si>
  <si>
    <t>S DLAHOU, VELIKOST S,M,L, UNIVERZÁLNÍ PRO PRAVOU A LEVOU RUKU</t>
  </si>
  <si>
    <t>39710</t>
  </si>
  <si>
    <t>DLAHA PRO FIXACI PRSTŮ RUKY TYP A</t>
  </si>
  <si>
    <t>VELIKOST A3</t>
  </si>
  <si>
    <t>93530</t>
  </si>
  <si>
    <t>ORTÉZA ZÁDOVÁ LOMBAX DORSO 0845</t>
  </si>
  <si>
    <t>VYSOKÁ ZÁDOVÁ ORTÉZA (ROZSAH TH-LS),KOVOVÉ DLAHY A DOPÍNACÍ TAHY</t>
  </si>
  <si>
    <t>39709</t>
  </si>
  <si>
    <t>VELIKOST A2</t>
  </si>
  <si>
    <t>22322</t>
  </si>
  <si>
    <t>ORTÉZA KOLENNÍHO KLOUBU PEVNÁ</t>
  </si>
  <si>
    <t>S FLEXÍ 0 ST.A,ORTIKA OR 3A,VELIKOSTI XS,S,M,L,XL</t>
  </si>
  <si>
    <t>136063</t>
  </si>
  <si>
    <t>ORTÉZA LOKETNÍ</t>
  </si>
  <si>
    <t>LIMITACE POHYBU 15.,30.,60.,90.,120.</t>
  </si>
  <si>
    <t>75MG/650MG TBL FLM 30 I</t>
  </si>
  <si>
    <t>32058</t>
  </si>
  <si>
    <t>9500IU/ML INJ SOL ISP 10X0,3ML</t>
  </si>
  <si>
    <t>Amlodipin</t>
  </si>
  <si>
    <t>5MG TBL NOB 30</t>
  </si>
  <si>
    <t>Jiná antihistaminika pro systémovou aplikaci</t>
  </si>
  <si>
    <t>2MG TBL NOB 20</t>
  </si>
  <si>
    <t>11657</t>
  </si>
  <si>
    <t>ORTÉZA LOKTE S LIMITACÍ PAN 4.02</t>
  </si>
  <si>
    <t>FLEXE A EXTENZE PO 10 ST. VELIKOST S,M,L, UNIV. PRO PRAVOU A LEVOU RUKU</t>
  </si>
  <si>
    <t>86148</t>
  </si>
  <si>
    <t>AUGMENTIN 625 MG</t>
  </si>
  <si>
    <t>500MG/125MG TBL FLM 21 II</t>
  </si>
  <si>
    <t>15659</t>
  </si>
  <si>
    <t>500MG TBL FLM 50</t>
  </si>
  <si>
    <t>Jiná antibiotika pro lokální aplikaci</t>
  </si>
  <si>
    <t>250IU/100IU/G UNG 10G</t>
  </si>
  <si>
    <t>202700</t>
  </si>
  <si>
    <t>20MG TBL ENT 60</t>
  </si>
  <si>
    <t>Sulfadiazin, stříbrná sůl, kombinace</t>
  </si>
  <si>
    <t>14877</t>
  </si>
  <si>
    <t>IALUGEN PLUS</t>
  </si>
  <si>
    <t>2MG/10MG/G CRM 60G</t>
  </si>
  <si>
    <t>138840</t>
  </si>
  <si>
    <t>37,5MG/325MG TBL FLM 20 I</t>
  </si>
  <si>
    <t>888</t>
  </si>
  <si>
    <t>8CMX5M,V NAPNUTÉM STAVU,DLOUHÝ TAH,1KS</t>
  </si>
  <si>
    <t>4711</t>
  </si>
  <si>
    <t>14CMX5M,V NAPNUTÉM STAVU,DLOUHÝ TAH,1KS</t>
  </si>
  <si>
    <t>78911</t>
  </si>
  <si>
    <t>PÁSKA EPIKONDYLÁRNÍ - TYP 202</t>
  </si>
  <si>
    <t>VELIKOSTI M,L</t>
  </si>
  <si>
    <t>119672</t>
  </si>
  <si>
    <t>DICLOFENAC DUO PHARMASWISS</t>
  </si>
  <si>
    <t>75MG CPS RDR 30 I</t>
  </si>
  <si>
    <t>Diosmin, kombinace</t>
  </si>
  <si>
    <t>132632</t>
  </si>
  <si>
    <t>DETRALEX</t>
  </si>
  <si>
    <t>500MG TBL FLM 60</t>
  </si>
  <si>
    <t>Heparin, kombinace</t>
  </si>
  <si>
    <t>44980</t>
  </si>
  <si>
    <t>CONTRACTUBEX</t>
  </si>
  <si>
    <t>GEL 20G</t>
  </si>
  <si>
    <t>Jodovaný povidon</t>
  </si>
  <si>
    <t>16319</t>
  </si>
  <si>
    <t>BRAUNOVIDON</t>
  </si>
  <si>
    <t>100MG/G UNG 20G</t>
  </si>
  <si>
    <t>16320</t>
  </si>
  <si>
    <t>100MG/G UNG 100G</t>
  </si>
  <si>
    <t>Klarithromycin</t>
  </si>
  <si>
    <t>132644</t>
  </si>
  <si>
    <t>500MG TBL NOB 14</t>
  </si>
  <si>
    <t>100339</t>
  </si>
  <si>
    <t>Organo-heparinoid</t>
  </si>
  <si>
    <t>HEPAROID LÉČIVA</t>
  </si>
  <si>
    <t>2MG/G CRM 30G</t>
  </si>
  <si>
    <t>11668</t>
  </si>
  <si>
    <t>ORTÉZA KOLENNÍ S DVOUOSÝM KLOUBEM PAN 7.05</t>
  </si>
  <si>
    <t>ROZEPINATELNÁ,KRÁTKÁ, VEL. S,M,L,XL,XXL UNIV. P-L</t>
  </si>
  <si>
    <t>78947</t>
  </si>
  <si>
    <t>ORTÉZA KOLENNÍ STABIMED</t>
  </si>
  <si>
    <t>136061</t>
  </si>
  <si>
    <t>ORTÉZA KOLENNÍ</t>
  </si>
  <si>
    <t>PLETENÁ FIT - 2 SPIRÁLOVÉ VÝZTUHY</t>
  </si>
  <si>
    <t>62987</t>
  </si>
  <si>
    <t>ORTÉZA HLEZNA FIXAČNÍ VAKUOVANÁ VACO-ANKLE</t>
  </si>
  <si>
    <t>11975</t>
  </si>
  <si>
    <t>BERLE PŘEDLOKETNí SPECIÁLNÍ 222 KL-AS</t>
  </si>
  <si>
    <t>ANATOMICKY TVAROVANÉ VYMĚKČENÉ DRŽADLO,NASTAVITELNÁ 76-96CM,DO 130KG</t>
  </si>
  <si>
    <t>Ibuprofen</t>
  </si>
  <si>
    <t>147943</t>
  </si>
  <si>
    <t>NUROFEN PRO DĚTI 4% JAHODA</t>
  </si>
  <si>
    <t>40MG/ML POR SUS 100ML</t>
  </si>
  <si>
    <t>Ofloxacin</t>
  </si>
  <si>
    <t>87225</t>
  </si>
  <si>
    <t>200MG TBL FLM 20</t>
  </si>
  <si>
    <t>Paracetamol</t>
  </si>
  <si>
    <t>192086</t>
  </si>
  <si>
    <t>PANADOL PRO DĚTI 24 MG/ML JAHODA</t>
  </si>
  <si>
    <t>24MG/ML POR SUS 100ML I</t>
  </si>
  <si>
    <t>Pitofenon a analgetika</t>
  </si>
  <si>
    <t>500MG/ML+5MG/ML POR GTT SOL 1X</t>
  </si>
  <si>
    <t>93224</t>
  </si>
  <si>
    <t>ORTÉZA ZÁPĚSTÍ A PALCE RUKY PAN 5.05</t>
  </si>
  <si>
    <t>PRAVÁ, LEVÁ, VEL. S,M,L,XL</t>
  </si>
  <si>
    <t>62970</t>
  </si>
  <si>
    <t>BANDÁŽ ZÁPĚSTÍ ELASTICKÁ OR29</t>
  </si>
  <si>
    <t>47728</t>
  </si>
  <si>
    <t>ZINNAT</t>
  </si>
  <si>
    <t>500MG TBL FLM 14</t>
  </si>
  <si>
    <t>Fentermin</t>
  </si>
  <si>
    <t>97374</t>
  </si>
  <si>
    <t>ADIPEX RETARD</t>
  </si>
  <si>
    <t>15MG CPS RML 100</t>
  </si>
  <si>
    <t>11063</t>
  </si>
  <si>
    <t>IBALGIN 600</t>
  </si>
  <si>
    <t>600MG TBL FLM 30</t>
  </si>
  <si>
    <t>Mebeverin</t>
  </si>
  <si>
    <t>215568</t>
  </si>
  <si>
    <t>DUSPATALIN RETARD</t>
  </si>
  <si>
    <t>200MG CPS RDR 30</t>
  </si>
  <si>
    <t>50335</t>
  </si>
  <si>
    <t>Prednison</t>
  </si>
  <si>
    <t>PREDNISON 20 LÉČIVA</t>
  </si>
  <si>
    <t>20MG TBL NOB 20</t>
  </si>
  <si>
    <t>Zolpidem</t>
  </si>
  <si>
    <t>16285</t>
  </si>
  <si>
    <t>STILNOX</t>
  </si>
  <si>
    <t>16286</t>
  </si>
  <si>
    <t>3952</t>
  </si>
  <si>
    <t>DLAHA FIXAČNÍ LOKETNÍHO KLOUBU</t>
  </si>
  <si>
    <t>S VYMEZENÝM ROZSAHEM POHYBU</t>
  </si>
  <si>
    <t>93146</t>
  </si>
  <si>
    <t>ORTÉZA KOLEN. KLOUBU SE STABILIZACÍ PATELY OR 36</t>
  </si>
  <si>
    <t>VELIKOST S,M,L,XL,XXL</t>
  </si>
  <si>
    <t>Erdostein</t>
  </si>
  <si>
    <t>47033</t>
  </si>
  <si>
    <t>ERDOMED</t>
  </si>
  <si>
    <t>35MG/ML POR PLV SUS 100ML</t>
  </si>
  <si>
    <t>70446</t>
  </si>
  <si>
    <t>GEL 50G</t>
  </si>
  <si>
    <t>20MG TBL ENT 90</t>
  </si>
  <si>
    <t>100MG/ML DRM SOL 120ML</t>
  </si>
  <si>
    <t>Sulodexid</t>
  </si>
  <si>
    <t>173401</t>
  </si>
  <si>
    <t>VESSEL DUE F</t>
  </si>
  <si>
    <t>250SU CPS MOL 120</t>
  </si>
  <si>
    <t>173400</t>
  </si>
  <si>
    <t>250SU CPS MOL 60</t>
  </si>
  <si>
    <t>Vápník, kombinace s vitaminem D a/nebo jinými léčivy</t>
  </si>
  <si>
    <t>186538</t>
  </si>
  <si>
    <t>CALTRATE PLUS</t>
  </si>
  <si>
    <t>TBL FLM 90</t>
  </si>
  <si>
    <t>80172</t>
  </si>
  <si>
    <t>GÁZA SKLÁDANÁ KOMPRESY STERILNÍ STERILUX</t>
  </si>
  <si>
    <t>7,5X7,5CM,8 VRSTEV,25X2KS</t>
  </si>
  <si>
    <t>885</t>
  </si>
  <si>
    <t>10CMX5M,V NAPNUTÉM STAVU,DLOUHÝ TAH,1KS</t>
  </si>
  <si>
    <t>11656</t>
  </si>
  <si>
    <t>ORTÉZA LOKTE S KLOUBY PAN 4.01</t>
  </si>
  <si>
    <t>ELASTICKÁ ORTÉZA S JEDNOOSÝMI KLOUBY,VELIKOST S,M,L,XL</t>
  </si>
  <si>
    <t>Azithromycin</t>
  </si>
  <si>
    <t>45010</t>
  </si>
  <si>
    <t>AZITROMYCIN SANDOZ</t>
  </si>
  <si>
    <t>500MG TBL FLM 3</t>
  </si>
  <si>
    <t>84895</t>
  </si>
  <si>
    <t>125MG TBL FLM 10</t>
  </si>
  <si>
    <t>Desloratadin</t>
  </si>
  <si>
    <t>168838</t>
  </si>
  <si>
    <t>DASSELTA</t>
  </si>
  <si>
    <t>5MG TBL FLM 90</t>
  </si>
  <si>
    <t>199680</t>
  </si>
  <si>
    <t>300MG CPS DUR 60</t>
  </si>
  <si>
    <t>Gabapentin</t>
  </si>
  <si>
    <t>84400</t>
  </si>
  <si>
    <t>NEURONTIN</t>
  </si>
  <si>
    <t>Ketoprofen</t>
  </si>
  <si>
    <t>FASTUM</t>
  </si>
  <si>
    <t>25MG/G GEL 100G</t>
  </si>
  <si>
    <t>Omeprazol</t>
  </si>
  <si>
    <t>25366</t>
  </si>
  <si>
    <t>20MG CPS ETD 90</t>
  </si>
  <si>
    <t>Promethazin</t>
  </si>
  <si>
    <t>122197</t>
  </si>
  <si>
    <t>PROTHAZIN</t>
  </si>
  <si>
    <t>25MG TBL FLM 20X1</t>
  </si>
  <si>
    <t>Dienogest a ethinylestradiol</t>
  </si>
  <si>
    <t>181189</t>
  </si>
  <si>
    <t>MISTRA</t>
  </si>
  <si>
    <t>2MG/0,03MG TBL FLM 3X21</t>
  </si>
  <si>
    <t>Formoterol a budesonid</t>
  </si>
  <si>
    <t>180087</t>
  </si>
  <si>
    <t>SYMBICORT TURBUHALER 200 MIKROGRAMŮ/ 6 MIKROGRAMŮ/ INHALACE</t>
  </si>
  <si>
    <t>160MCG/4,5MCG INH PLV 1X120DÁV</t>
  </si>
  <si>
    <t>17926</t>
  </si>
  <si>
    <t>37,5MG/325MG TBL FLM 30</t>
  </si>
  <si>
    <t>201609</t>
  </si>
  <si>
    <t>37,5MG/325MG TBL FLM 30X1</t>
  </si>
  <si>
    <t>136064</t>
  </si>
  <si>
    <t>PEVNÁ 90.</t>
  </si>
  <si>
    <t>63776</t>
  </si>
  <si>
    <t>ORTÉZA HLEZENNÍ VACOPED; SOUPRAVA PRO PACIENTA</t>
  </si>
  <si>
    <t>VAKUOVÝ FIXAČNÍ SYSTÉM, NÁHRADA SÁDRY, VELIKOST S, M, L</t>
  </si>
  <si>
    <t>11811</t>
  </si>
  <si>
    <t>ORTÉZA LOKETNÍ SILISTAB EPI 2305</t>
  </si>
  <si>
    <t>PRUŽNÝ MATERIÁL, SILIK.PELOTY, PŘEDLOKETNÍ EPI PÁSKA</t>
  </si>
  <si>
    <t>89025</t>
  </si>
  <si>
    <t>DICLOFENAC AL 50</t>
  </si>
  <si>
    <t>50MG TBL ENT 50</t>
  </si>
  <si>
    <t>Dosulepin</t>
  </si>
  <si>
    <t>4207</t>
  </si>
  <si>
    <t>PROTHIADEN 25</t>
  </si>
  <si>
    <t>25MG TBL OBD 30</t>
  </si>
  <si>
    <t>Mefenoxalon</t>
  </si>
  <si>
    <t>85656</t>
  </si>
  <si>
    <t>DORSIFLEX</t>
  </si>
  <si>
    <t>Tramadol</t>
  </si>
  <si>
    <t>57793</t>
  </si>
  <si>
    <t>TRAMAL KAPKY 100 MG/1 ML</t>
  </si>
  <si>
    <t>100MG/ML POR GTT SOL 1X96ML</t>
  </si>
  <si>
    <t>39708</t>
  </si>
  <si>
    <t>VELIKOST A1</t>
  </si>
  <si>
    <t>78081</t>
  </si>
  <si>
    <t>ORTÉZA PALCE RUKY OR 10A</t>
  </si>
  <si>
    <t>S DLAHOU</t>
  </si>
  <si>
    <t>Hořčík (různé sole v kombinaci)</t>
  </si>
  <si>
    <t>215978</t>
  </si>
  <si>
    <t>365MG POR GRA SOL SCC 30</t>
  </si>
  <si>
    <t>91193</t>
  </si>
  <si>
    <t>150MG CPS DUR 100</t>
  </si>
  <si>
    <t>172476</t>
  </si>
  <si>
    <t>80685</t>
  </si>
  <si>
    <t>OBINADLO ELASTICKÉ FIXAČNÍ SAMODRŽÍCÍ PEHA-HAFT</t>
  </si>
  <si>
    <t>10CMX4M,V NAPNUTÉM STAVU,DLOUHÝ TAH,1KS</t>
  </si>
  <si>
    <t>11660</t>
  </si>
  <si>
    <t>ORTÉZA ZÁPĚSTÍ DLOUHÁ PAN 5.02</t>
  </si>
  <si>
    <t>S DLAHOU, VELIKOST M,L,XL, PRAVÁ-LEVÁ</t>
  </si>
  <si>
    <t>140202</t>
  </si>
  <si>
    <t>DLAHA PRSTOVÁ OVAL-8</t>
  </si>
  <si>
    <t>VELIKOSTI 2 - 15, P1008-X</t>
  </si>
  <si>
    <t>93841</t>
  </si>
  <si>
    <t>ORTÉZA HLEZNA EQUALIZER WALKER LOW TOP</t>
  </si>
  <si>
    <t>RIGIDNÍ S FIXAČNÍ VLOŽKOU, SNÍŽENÁ VÝŠKA</t>
  </si>
  <si>
    <t>136042</t>
  </si>
  <si>
    <t>ORTÉZA ZÁPĚSTÍ</t>
  </si>
  <si>
    <t>DLOUHÁ, 2 DLAHY, T 22</t>
  </si>
  <si>
    <t>63775</t>
  </si>
  <si>
    <t>ORTÉZA PRO DYNAMICKÉ DLAHOVANÍ ORTEX 029</t>
  </si>
  <si>
    <t>PO SUTUŘE ŠLACH FLEXORŮ RUKY</t>
  </si>
  <si>
    <t>6919</t>
  </si>
  <si>
    <t>ORTÉZA HLEZENNÍHO KLOUBU</t>
  </si>
  <si>
    <t>MALLEOLOC 2 VELIKOSTI NA LEVÉ A PRAVÉ HLEZNO</t>
  </si>
  <si>
    <t>85524</t>
  </si>
  <si>
    <t>AMOKSIKLAV 375 MG</t>
  </si>
  <si>
    <t>250MG/125MG TBL FLM 21</t>
  </si>
  <si>
    <t>125122</t>
  </si>
  <si>
    <t>APO-DICLO SR 100</t>
  </si>
  <si>
    <t>100MG TBL RET 100</t>
  </si>
  <si>
    <t>201992</t>
  </si>
  <si>
    <t>500MG TBL FLM 120</t>
  </si>
  <si>
    <t>10081</t>
  </si>
  <si>
    <t>115318</t>
  </si>
  <si>
    <t>59672</t>
  </si>
  <si>
    <t>TRALGIT SR 100</t>
  </si>
  <si>
    <t>100MG TBL PRO 30</t>
  </si>
  <si>
    <t>59673</t>
  </si>
  <si>
    <t>100MG TBL PRO 50</t>
  </si>
  <si>
    <t>216867</t>
  </si>
  <si>
    <t>TRAMAL RETARD TABLETY 150 MG</t>
  </si>
  <si>
    <t>150MG TBL PRO 50 III</t>
  </si>
  <si>
    <t>179333</t>
  </si>
  <si>
    <t>75MG/650MG TBL FLM 90 I</t>
  </si>
  <si>
    <t>78952</t>
  </si>
  <si>
    <t>ORTÉZA PRSTOVÁ - TYP 309</t>
  </si>
  <si>
    <t>140882</t>
  </si>
  <si>
    <t>ORTÉZA ACHILLOVY ŠLACHY</t>
  </si>
  <si>
    <t>B07</t>
  </si>
  <si>
    <t>Ambroxol</t>
  </si>
  <si>
    <t>100283</t>
  </si>
  <si>
    <t>MUCOSOLVAN JUNIOR</t>
  </si>
  <si>
    <t>3MG/ML SIR 100ML</t>
  </si>
  <si>
    <t>Amidy</t>
  </si>
  <si>
    <t>2684</t>
  </si>
  <si>
    <t>10MG/2MG/G URT GEL 1X20G</t>
  </si>
  <si>
    <t>Antitusika a expektorancia</t>
  </si>
  <si>
    <t>132545</t>
  </si>
  <si>
    <t>STOPTUSSIN</t>
  </si>
  <si>
    <t>0,8MG/20MG/ML SIR 100ML</t>
  </si>
  <si>
    <t>25263</t>
  </si>
  <si>
    <t>225MG POR PLV SOL 10</t>
  </si>
  <si>
    <t>Indometacin</t>
  </si>
  <si>
    <t>100MG SUP 10</t>
  </si>
  <si>
    <t>201970</t>
  </si>
  <si>
    <t>PAMYCON NA PŘÍPRAVU KAPEK</t>
  </si>
  <si>
    <t>33000IU/2500IU DRM PLV SOL 1</t>
  </si>
  <si>
    <t>Měkký parafin a tukové produkty</t>
  </si>
  <si>
    <t>16466</t>
  </si>
  <si>
    <t>EXCIPIAL MAST S MANDLOVÝM OLEJEM</t>
  </si>
  <si>
    <t>UNG 100G</t>
  </si>
  <si>
    <t>Oxymetazolin</t>
  </si>
  <si>
    <t>141763</t>
  </si>
  <si>
    <t>NASIVIN SENSITIVE 0,025 %</t>
  </si>
  <si>
    <t>0,25MG/ML NAS SPR SOL 1X10ML</t>
  </si>
  <si>
    <t>119685</t>
  </si>
  <si>
    <t>NASIVIN 0,025%</t>
  </si>
  <si>
    <t>0,25MG/ML NAS GTT SOL 10ML</t>
  </si>
  <si>
    <t>201127</t>
  </si>
  <si>
    <t>TRAMAL TOBOLKY 50 MG</t>
  </si>
  <si>
    <t>50MG CPS DUR 20 II</t>
  </si>
  <si>
    <t>201611</t>
  </si>
  <si>
    <t>37,5MG/325MG TBL FLM 50X1</t>
  </si>
  <si>
    <t>Bromazepam</t>
  </si>
  <si>
    <t>132763</t>
  </si>
  <si>
    <t>LEXAURIN 1,5</t>
  </si>
  <si>
    <t>1,5MG TBL NOB 30</t>
  </si>
  <si>
    <t>32060</t>
  </si>
  <si>
    <t>9500IU/ML INJ SOL ISP 2X0,6ML</t>
  </si>
  <si>
    <t>500MG TBL NOB 24</t>
  </si>
  <si>
    <t>178235</t>
  </si>
  <si>
    <t>TRAMADOL MYLAN</t>
  </si>
  <si>
    <t>100MG TBL PRO 30 II</t>
  </si>
  <si>
    <t>42777</t>
  </si>
  <si>
    <t>TRALGIT SR 150</t>
  </si>
  <si>
    <t>150MG TBL PRO 50</t>
  </si>
  <si>
    <t>47515</t>
  </si>
  <si>
    <t>CALCICHEW D3</t>
  </si>
  <si>
    <t>500MG/200IU TBL MND 60</t>
  </si>
  <si>
    <t>94744</t>
  </si>
  <si>
    <t>ZOLPINOX</t>
  </si>
  <si>
    <t>78918</t>
  </si>
  <si>
    <t>ORTÉZA BEDERNÍ UNI - TYP 405</t>
  </si>
  <si>
    <t>LEHKÝ BEDERNÍ PÁS,UNIVERSÁLNÍ VELIKOST</t>
  </si>
  <si>
    <t>136038</t>
  </si>
  <si>
    <t>BANDÁŽ KOTNÍKU</t>
  </si>
  <si>
    <t>SILIKONOVÉ PELOTY</t>
  </si>
  <si>
    <t>93851</t>
  </si>
  <si>
    <t>ORTÉZA KOLENNÍHO KLOUBU INNOVATOR COOL</t>
  </si>
  <si>
    <t>S NASTAVITELNÝM ROZSAHEM POHYBU, OBLOUČKOVÁ BANDÁŽ</t>
  </si>
  <si>
    <t>Dále nespecifikované pomůcky</t>
  </si>
  <si>
    <t>136082</t>
  </si>
  <si>
    <t>ROZTOK ELASTOVISKÓZNÍ BIOVISC ORTHO SINGLE</t>
  </si>
  <si>
    <t>INJ 1X3 ML/90 MG, 3% NATRIUM HYALURONÁT,HRAZENA 1 APLIKACE DO 1 KLOUBU/6 MĚS.</t>
  </si>
  <si>
    <t>45011</t>
  </si>
  <si>
    <t>500MG TBL FLM 6</t>
  </si>
  <si>
    <t>89024</t>
  </si>
  <si>
    <t>50MG TBL ENT 20</t>
  </si>
  <si>
    <t>Hydrokortison a antibiotika</t>
  </si>
  <si>
    <t>173196</t>
  </si>
  <si>
    <t>PIMAFUCORT</t>
  </si>
  <si>
    <t>10MG/3,5MG/10MG CRM 15G</t>
  </si>
  <si>
    <t>100273</t>
  </si>
  <si>
    <t>LIPOBASE</t>
  </si>
  <si>
    <t>CRM 100G</t>
  </si>
  <si>
    <t>Sildenafil</t>
  </si>
  <si>
    <t>166801</t>
  </si>
  <si>
    <t>OLVION</t>
  </si>
  <si>
    <t>100MG TBL FLM 8</t>
  </si>
  <si>
    <t>192354</t>
  </si>
  <si>
    <t>Kyselina tiaprofenová</t>
  </si>
  <si>
    <t>96484</t>
  </si>
  <si>
    <t>SURGAM LÉČIVA</t>
  </si>
  <si>
    <t>300MG TBL NOB 20</t>
  </si>
  <si>
    <t>Levocetirizin</t>
  </si>
  <si>
    <t>124343</t>
  </si>
  <si>
    <t>CEZERA</t>
  </si>
  <si>
    <t>5MG TBL FLM 30 I</t>
  </si>
  <si>
    <t>124346</t>
  </si>
  <si>
    <t>5MG TBL FLM 90 I</t>
  </si>
  <si>
    <t>Meloxikam</t>
  </si>
  <si>
    <t>112562</t>
  </si>
  <si>
    <t>15MG TBL NOB 60</t>
  </si>
  <si>
    <t>Moxonidin</t>
  </si>
  <si>
    <t>16926</t>
  </si>
  <si>
    <t>MOXOSTAD</t>
  </si>
  <si>
    <t>0,3MG TBL FLM 100</t>
  </si>
  <si>
    <t>Ramipril</t>
  </si>
  <si>
    <t>56982</t>
  </si>
  <si>
    <t>5MG TBL NOB 50</t>
  </si>
  <si>
    <t>96118</t>
  </si>
  <si>
    <t>250SU CPS MOL 50</t>
  </si>
  <si>
    <t>189079</t>
  </si>
  <si>
    <t>CALCICHEW D3 LEMON</t>
  </si>
  <si>
    <t>500MG/400IU TBL MND 60</t>
  </si>
  <si>
    <t>Jiná</t>
  </si>
  <si>
    <t>*2998</t>
  </si>
  <si>
    <t>Jiný</t>
  </si>
  <si>
    <t>140966</t>
  </si>
  <si>
    <t>ORTÉZA PALCE SE DVĚMA DLAHAMI OR 10A/I</t>
  </si>
  <si>
    <t>VELIKOST XS,S,M,L,XL</t>
  </si>
  <si>
    <t>93655</t>
  </si>
  <si>
    <t>PROTECT.ST PRO</t>
  </si>
  <si>
    <t>22319</t>
  </si>
  <si>
    <t>BERLE PODPAŽNÍ DŘEVĚNÁ BPD 96, VEL.A</t>
  </si>
  <si>
    <t>793141120100</t>
  </si>
  <si>
    <t>Felodipin</t>
  </si>
  <si>
    <t>218116</t>
  </si>
  <si>
    <t>PLENDIL ER</t>
  </si>
  <si>
    <t>10MG TBL PRO 90</t>
  </si>
  <si>
    <t>84398</t>
  </si>
  <si>
    <t>100MG CPS DUR 100</t>
  </si>
  <si>
    <t>Sumatriptan</t>
  </si>
  <si>
    <t>115449</t>
  </si>
  <si>
    <t>SUMATRIPTAN ACTAVIS</t>
  </si>
  <si>
    <t>50MG TBL OBD 6 II</t>
  </si>
  <si>
    <t>17927</t>
  </si>
  <si>
    <t>Standardní lůžková péče</t>
  </si>
  <si>
    <t>Všeobecná ambulance</t>
  </si>
  <si>
    <t>Lůžkové oddělení intenzivní péče</t>
  </si>
  <si>
    <t>Preskripce a záchyt receptů a poukazů - orientační přehled</t>
  </si>
  <si>
    <t>Přehled plnění pozitivního listu (PL) - 
   preskripce léčivých přípravků dle objemu Kč mimo PL</t>
  </si>
  <si>
    <t>N02CC01 - Sumatriptan</t>
  </si>
  <si>
    <t>R06AX27 - Desloratadin</t>
  </si>
  <si>
    <t>N03AX12 - Gabapentin</t>
  </si>
  <si>
    <t>J01FA10 - Azithromycin</t>
  </si>
  <si>
    <t>R06AE09 - Levocetirizin</t>
  </si>
  <si>
    <t>C02AC05 - Moxonidin</t>
  </si>
  <si>
    <t>R03AK07 - Formoterol a budesonid</t>
  </si>
  <si>
    <t>J01FA10</t>
  </si>
  <si>
    <t>N03AX12</t>
  </si>
  <si>
    <t>R03AK07</t>
  </si>
  <si>
    <t>R06AX27</t>
  </si>
  <si>
    <t>C02AC05</t>
  </si>
  <si>
    <t>R06AE09</t>
  </si>
  <si>
    <t>N02CC01</t>
  </si>
  <si>
    <t>Přehled plnění PL - Preskripce léčivých přípravků - orientační přehled</t>
  </si>
  <si>
    <t>3164</t>
  </si>
  <si>
    <t>pracoviště COS</t>
  </si>
  <si>
    <t>pracoviště COS Celkem</t>
  </si>
  <si>
    <t>ZA330</t>
  </si>
  <si>
    <t>Obinadlo fixa crep   8 cm x 4 m 1323100103</t>
  </si>
  <si>
    <t>ZA443</t>
  </si>
  <si>
    <t>Šátek trojcípý NT 136 x 96 x 96 cm 20002</t>
  </si>
  <si>
    <t>ZA446</t>
  </si>
  <si>
    <t>Vata buničitá přířezy 20 x 30 cm 1230200129</t>
  </si>
  <si>
    <t>ZA463</t>
  </si>
  <si>
    <t>Kompresa NT 10 x 20 cm/2 ks sterilní 26620</t>
  </si>
  <si>
    <t>ZA464</t>
  </si>
  <si>
    <t>Kompresa NT 10 x 10 cm/2 ks sterilní 26520</t>
  </si>
  <si>
    <t>ZA467</t>
  </si>
  <si>
    <t>Tyčinka vatová nesterilní 15 cm bal. á 100 ks 9679369</t>
  </si>
  <si>
    <t>ZA537</t>
  </si>
  <si>
    <t>Krytí mepilex heel 13 x 20 cm bal. á 5 ks 288100-01</t>
  </si>
  <si>
    <t>ZA544</t>
  </si>
  <si>
    <t>Krytí inadine nepřilnavé 5,0 x 5,0 cm 1/10 SYS01481EE</t>
  </si>
  <si>
    <t>ZA547</t>
  </si>
  <si>
    <t>Krytí inadine nepřilnavé 9,5 x 9,5 cm 1/10 SYS01512EE</t>
  </si>
  <si>
    <t>ZA562</t>
  </si>
  <si>
    <t>Náplast cosmopor i. v. 6 x 8 cm bal. á 50 ks 9008054</t>
  </si>
  <si>
    <t>ZA563</t>
  </si>
  <si>
    <t>Kompresa AB 20 x 20 cm/1 ks sterilní NT savá 1230114041</t>
  </si>
  <si>
    <t>ZA576</t>
  </si>
  <si>
    <t>Set sterilní pro močovou katetrizaci Mediset bal. á 10 ks 4552710</t>
  </si>
  <si>
    <t>ZA593</t>
  </si>
  <si>
    <t>Tampon sterilní stáčený 20 x 20 cm / 5 ks 28003+</t>
  </si>
  <si>
    <t>ZB084</t>
  </si>
  <si>
    <t>Náplast transpore 2,50 cm x 9,14 m 1527-1</t>
  </si>
  <si>
    <t>ZC100</t>
  </si>
  <si>
    <t>Vata buničitá dělená 2 role / 500 ks 40 x 50 mm 1230200310</t>
  </si>
  <si>
    <t>ZC854</t>
  </si>
  <si>
    <t>Kompresa NT 7,5 x 7,5 cm/2 ks sterilní 26510</t>
  </si>
  <si>
    <t>ZG613</t>
  </si>
  <si>
    <t>Krytí mepitel one 8 x 10 cm  bal. á 5 ks 289200-00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</si>
  <si>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</si>
  <si>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</si>
  <si>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</si>
  <si>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</si>
  <si>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ZI601</t>
  </si>
  <si>
    <t>Náplast curapor 10 x 20 cm 32915 ( náhrada za cosmopor )</t>
  </si>
  <si>
    <t>ZK404</t>
  </si>
  <si>
    <t>Krytí prontosan roztok 350 ml 400416</t>
  </si>
  <si>
    <t>ZL975</t>
  </si>
  <si>
    <t>Pěna renasys-F malý set (S) 66800794</t>
  </si>
  <si>
    <t>ZM000</t>
  </si>
  <si>
    <t>Vata obvazová skládaná 50g 004307667</t>
  </si>
  <si>
    <t>ZL987</t>
  </si>
  <si>
    <t>Soft port 69 cm s koncovkou 15 x 10 cm 66800799</t>
  </si>
  <si>
    <t>ZL978</t>
  </si>
  <si>
    <t>Kanystr renasys GO 300 ml 66800914</t>
  </si>
  <si>
    <t>ZA738</t>
  </si>
  <si>
    <t>Filtr mini spike zelený 4550242</t>
  </si>
  <si>
    <t>ZA746</t>
  </si>
  <si>
    <t>Stříkačka injekční 3-dílná 1 ml L tuberculin Omnifix Solo 9161406V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</si>
  <si>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</si>
  <si>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</si>
  <si>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</si>
  <si>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</si>
  <si>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</si>
  <si>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</si>
  <si>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</si>
  <si>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</si>
  <si>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ZB102</t>
  </si>
  <si>
    <t>Láhev k odsávačce flovac 1l hadice 1,8 m á 45 ks 000-036-020</t>
  </si>
  <si>
    <t>ZB249</t>
  </si>
  <si>
    <t>Sáček močový s křížovou výpustí 2000 ml ZAR-TNU201601</t>
  </si>
  <si>
    <t>ZB756</t>
  </si>
  <si>
    <t>Zkumavka 3 ml K3 edta fialová 454086</t>
  </si>
  <si>
    <t>ZB771</t>
  </si>
  <si>
    <t>Držák jehly základní 450201</t>
  </si>
  <si>
    <t>ZB774</t>
  </si>
  <si>
    <t>Zkumavka červená 5 ml gel 456071</t>
  </si>
  <si>
    <t>ZB775</t>
  </si>
  <si>
    <t>Zkumavka koagulace 4 ml modrá 454329</t>
  </si>
  <si>
    <t>ZD650</t>
  </si>
  <si>
    <t>Aquapak - sterilní voda 340 ml s adaptérem bal. á 20 ks 400340</t>
  </si>
  <si>
    <t>ZD808</t>
  </si>
  <si>
    <t>Kanyla vasofix 22G modrá safety 4269098S-01</t>
  </si>
  <si>
    <t>ZD809</t>
  </si>
  <si>
    <t>Kanyla vasofix 20G růžová safety 4269110S-01</t>
  </si>
  <si>
    <t>ZE159</t>
  </si>
  <si>
    <t>Nádoba na kontaminovaný odpad 2 l 15-0003</t>
  </si>
  <si>
    <t>ZG515</t>
  </si>
  <si>
    <t>Zkumavka močová vacuette 10,5 ml bal. á 50 ks 455007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</si>
  <si>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</si>
  <si>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</si>
  <si>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</si>
  <si>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</si>
  <si>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</si>
  <si>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</si>
  <si>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ZK798</t>
  </si>
  <si>
    <t>Zátka combi modrá 4495152</t>
  </si>
  <si>
    <t>ZL105</t>
  </si>
  <si>
    <t>Nástavec pro odběr moče ke zkumavce vacuete 450251</t>
  </si>
  <si>
    <t>ZL688</t>
  </si>
  <si>
    <t>Proužky Accu-Check Inform IIStrip 50 EU1 á 50 ks 05942861041</t>
  </si>
  <si>
    <t>ZB985</t>
  </si>
  <si>
    <t>Zkumavka močová urin-monovette s pístem 10 ml sterilní bal. á 100 ks 10.252.020</t>
  </si>
  <si>
    <t>ZN297</t>
  </si>
  <si>
    <t>Hadička spojovací Gamaplus 1,8 x 450 LL NO DOP 606301-ND</t>
  </si>
  <si>
    <t>ZO932</t>
  </si>
  <si>
    <t>Zkumavka 13 ml PP 101/16,5 mm bílý uzávěr sterilní 60.540.012</t>
  </si>
  <si>
    <t>ZA715</t>
  </si>
  <si>
    <t>Set infuzní intrafix primeline classic 150 cm 4062957</t>
  </si>
  <si>
    <t>ZE079</t>
  </si>
  <si>
    <t>Set transfúzní non PVC s odvzdušněním a bakteriálním filtrem ZAR-I-TS</t>
  </si>
  <si>
    <t>ZA832</t>
  </si>
  <si>
    <t>Jehla injekční 0,9 x 40 mm žlutá 4657519</t>
  </si>
  <si>
    <t>ZA999</t>
  </si>
  <si>
    <t>Jehla injekční 0,5 x 16 mm oranžová 4657853</t>
  </si>
  <si>
    <t>ZB556</t>
  </si>
  <si>
    <t>Jehla injekční 1,2 x 40 mm růžová 4665120</t>
  </si>
  <si>
    <t>ZB767</t>
  </si>
  <si>
    <t>Jehla vakuová 226/38 mm černá 450075</t>
  </si>
  <si>
    <t>ZM292</t>
  </si>
  <si>
    <t>Rukavice nitril sempercare bez p. M bal. á 200 ks 30803</t>
  </si>
  <si>
    <t>ZA329</t>
  </si>
  <si>
    <t>Obinadlo fixa crep   6 cm x 4 m 1323100102</t>
  </si>
  <si>
    <t>ZA331</t>
  </si>
  <si>
    <t>Obinadlo fixa crep 10 cm x 4 m 1323100104</t>
  </si>
  <si>
    <t>ZA432</t>
  </si>
  <si>
    <t>Obvaz sádrový safix plus 14 cm x 3 m bal. á 20 ks 3327430</t>
  </si>
  <si>
    <t>ZA527</t>
  </si>
  <si>
    <t>Set sterilní pro malé chir.výkony Mediset bal. á 27 ks 4709673</t>
  </si>
  <si>
    <t>ZA557</t>
  </si>
  <si>
    <t>Kompresa gáza 10 x 20 cm/5 ks sterilní 26013</t>
  </si>
  <si>
    <t>ZA601</t>
  </si>
  <si>
    <t>Obinadlo fixa crep 12 cm x 4 m 1323100105</t>
  </si>
  <si>
    <t>ZC725</t>
  </si>
  <si>
    <t>Obvaz ortho-pad 15 cm x 3 m pod sádru á 6 ks 1320105005</t>
  </si>
  <si>
    <t>ZC848</t>
  </si>
  <si>
    <t>Obvaz ortho-pad 10 cm x 3 m pod sádru á 6 ks karton á 120 ks 1320105004</t>
  </si>
  <si>
    <t>ZD668</t>
  </si>
  <si>
    <t>Kompresa gáza 10 x 10 cm/5 ks sterilní 1325019275</t>
  </si>
  <si>
    <t>ZD740</t>
  </si>
  <si>
    <t>Kompresa gáza sterilkompres 7,5 x 7,5 cm/5 ks sterilní 1325019265(1230119225)</t>
  </si>
  <si>
    <t>ZI600</t>
  </si>
  <si>
    <t>Náplast curapor 10 x 15 cm 32914 ( náhrada za cosmopor )</t>
  </si>
  <si>
    <t>ZA556</t>
  </si>
  <si>
    <t>Obvaz sádrový safix plus 10 cm x 3 m bal. á 24 ks 3327410</t>
  </si>
  <si>
    <t>ZA592</t>
  </si>
  <si>
    <t>Obvaz sádrový safix plus   8 cm x 3 m bal. á 30 ks 3327400</t>
  </si>
  <si>
    <t>ZD545</t>
  </si>
  <si>
    <t>Safix longeta sádrová 4 vrstvá 10 x 20 m (332790) 1324702316</t>
  </si>
  <si>
    <t>ZA555</t>
  </si>
  <si>
    <t>Obinadlo sádrové gipsan 14 cm x 3 m bal. á 40 ks 1321701105</t>
  </si>
  <si>
    <t>ZA645</t>
  </si>
  <si>
    <t>Krytí s mastí atrauman 5 x 5 cm bal. á 10 ks 499571</t>
  </si>
  <si>
    <t>ZA430</t>
  </si>
  <si>
    <t>Obinadlo sádrové gipsan 10 cm x 3 m bal. á 60 ks 1321701103</t>
  </si>
  <si>
    <t>ZN476</t>
  </si>
  <si>
    <t>Obinadlo elastické universal 15 cm x 5 m 1323100315</t>
  </si>
  <si>
    <t>ZA538</t>
  </si>
  <si>
    <t>Obinadlo sádrové gipsan 12 cm x 3 m bal. á 48 ks 1321701104</t>
  </si>
  <si>
    <t>ZB068</t>
  </si>
  <si>
    <t>Obvaz ortho-pad 5 cm x 3 m 1320105001</t>
  </si>
  <si>
    <t>ZG708</t>
  </si>
  <si>
    <t>Bandáž evelína pod sádru 1321303123</t>
  </si>
  <si>
    <t>ZA897</t>
  </si>
  <si>
    <t>Nůž na stehy sterilní  krátký bal. á 100 ks 11.000.00.010</t>
  </si>
  <si>
    <t>ZB759</t>
  </si>
  <si>
    <t>Zkumavka červená 8 ml gel 455071</t>
  </si>
  <si>
    <t>ZB979</t>
  </si>
  <si>
    <t>Šití dafilon modrý 4/0 (1.5) bal. á 36 ks C0932205</t>
  </si>
  <si>
    <t>ZM291</t>
  </si>
  <si>
    <t>Rukavice nitril sempercare bez p. S bal. á 200 ks 30802</t>
  </si>
  <si>
    <t>ZM293</t>
  </si>
  <si>
    <t>Rukavice nitril sempercare bez p. L bal. á 200 ks 30804</t>
  </si>
  <si>
    <t>ZN108</t>
  </si>
  <si>
    <t>Rukavice operační gammex latex PF bez pudru 8,0 330048080</t>
  </si>
  <si>
    <t>ZN125</t>
  </si>
  <si>
    <t>Rukavice operační gammex latex PF bez pudru 7,5 330048075</t>
  </si>
  <si>
    <t>ZN040</t>
  </si>
  <si>
    <t>Rukavice operační gammex latex PF bez pudru 8,5 330048085</t>
  </si>
  <si>
    <t>ZA459</t>
  </si>
  <si>
    <t>Kompresa AB 10 x 20 cm/1 ks sterilní NT savá 1230114021</t>
  </si>
  <si>
    <t>ZN478</t>
  </si>
  <si>
    <t>Obinadlo elastické universal 10 cm x 5 m 1323100313</t>
  </si>
  <si>
    <t>ZA691</t>
  </si>
  <si>
    <t>Rampa 3 kohouty discofix 16600C/4085434/</t>
  </si>
  <si>
    <t>ZA713</t>
  </si>
  <si>
    <t>Měřič žilního tlaku 01 646992</t>
  </si>
  <si>
    <t>ZB762</t>
  </si>
  <si>
    <t>Zkumavka červená 6 ml 456092</t>
  </si>
  <si>
    <t>ZB777</t>
  </si>
  <si>
    <t>Zkumavka červená 4 ml gel 454071</t>
  </si>
  <si>
    <t>ZC648</t>
  </si>
  <si>
    <t>Elektroda EKG pěnová pr. 55 mm pro dospělé H-108002</t>
  </si>
  <si>
    <t>ZD748</t>
  </si>
  <si>
    <t>Set sterilní pro žilní katetrizaci a rouškování bal. á 10 ks Kit CVK</t>
  </si>
  <si>
    <t>ZF159</t>
  </si>
  <si>
    <t>Nádoba na kontaminovaný odpad 1 l 15-0002</t>
  </si>
  <si>
    <t>ZH491</t>
  </si>
  <si>
    <t>Stříkačka injekční 3-dílná 50 - 60 ml LL MRG00711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</si>
  <si>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</si>
  <si>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</si>
  <si>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</si>
  <si>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</si>
  <si>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ZK799</t>
  </si>
  <si>
    <t>Zátka combi červená 4495101</t>
  </si>
  <si>
    <t>ZK977</t>
  </si>
  <si>
    <t>Cévka odsávací CH14 s přerušovačem sání P01173a</t>
  </si>
  <si>
    <t>ZB389</t>
  </si>
  <si>
    <t>Kanyla ET 9,0 s manžetou bal. á 10 ks 9590E</t>
  </si>
  <si>
    <t>ZN646</t>
  </si>
  <si>
    <t>Fonendoskop oboustranný různé barvy 710045-s</t>
  </si>
  <si>
    <t>ZK693</t>
  </si>
  <si>
    <t>Aquapak - sterilní voda 1070 ml + adaptér 404128</t>
  </si>
  <si>
    <t>ZO372</t>
  </si>
  <si>
    <t>Konektor bezjehlový OptiSyte JIM:JSM4001</t>
  </si>
  <si>
    <t>ZO765</t>
  </si>
  <si>
    <t>Stříkačka injekční předplněná 0,9% NaCl 10 ml Omniflush bal. á 100 ks EM3513576</t>
  </si>
  <si>
    <t>ZO930</t>
  </si>
  <si>
    <t>Kontejner 100 ml PP 72/62 mm s přiloženým uzávěrem bílé víčko sterilní na tekutý materiál 75.562.105</t>
  </si>
  <si>
    <t>ZC052</t>
  </si>
  <si>
    <t>Tlouček drsný 24 x 115 mm JIZE213A/1</t>
  </si>
  <si>
    <t>ZC048</t>
  </si>
  <si>
    <t>Miska třecí drsná 211a/0 6,0 cm JIZE211A/0</t>
  </si>
  <si>
    <t>ZE027</t>
  </si>
  <si>
    <t>Katetr CVC 1 lumen 5 Fr x 30 cm certofix mono ECO 330 bal. á 10 ks 4160282E</t>
  </si>
  <si>
    <t>ZG139</t>
  </si>
  <si>
    <t>Set infuzní VL ST 00 PVC, silikon 285 cm mod standard bal. á 70 ks; k Agilii  M46441000S</t>
  </si>
  <si>
    <t>ZA833</t>
  </si>
  <si>
    <t>Jehla injekční 0,8 x 40 mm zelená 4657527</t>
  </si>
  <si>
    <t>DG382</t>
  </si>
  <si>
    <t>Bactec Plus Aerobic</t>
  </si>
  <si>
    <t>DG385</t>
  </si>
  <si>
    <t>Bactec Plus Anaerobic</t>
  </si>
  <si>
    <t>DG395</t>
  </si>
  <si>
    <t>Diagnostická souprava AB0 set monoklonální na 30</t>
  </si>
  <si>
    <t>DH594</t>
  </si>
  <si>
    <t>Cartridge complete</t>
  </si>
  <si>
    <t>DH758</t>
  </si>
  <si>
    <t>Bactec Plus Aerobic-plastic</t>
  </si>
  <si>
    <t>DH759</t>
  </si>
  <si>
    <t>Bactec Lytic/ 10 Anaerobic- plastic</t>
  </si>
  <si>
    <t>ZN620</t>
  </si>
  <si>
    <t>Maska kyslíková dospělá s nebulizací a hadičkou 2 m bal. á 100 ks A0400</t>
  </si>
  <si>
    <t>ZN621</t>
  </si>
  <si>
    <t>Nos umělý s portem pro odsávání bal. á 30 ks B0300(6000)</t>
  </si>
  <si>
    <t>ZO538</t>
  </si>
  <si>
    <t>Kohout trojcestný bílý bal. á 50 ks E0500</t>
  </si>
  <si>
    <t>ZA095</t>
  </si>
  <si>
    <t>Cement kostní palacos R + G 2 x 40 g á 2 ks 66017569</t>
  </si>
  <si>
    <t>ZJ528</t>
  </si>
  <si>
    <t>Cement kostní vancogenx 40 g ( vancomycin + gentamicin ) 12A2520</t>
  </si>
  <si>
    <t>ZI421</t>
  </si>
  <si>
    <t>Svorka zajišťovací  pro RIA sterilní 352.260S</t>
  </si>
  <si>
    <t>ZM480</t>
  </si>
  <si>
    <t>Souprava jednorázová pro vakuové míchání cementu 2Mix ASA0320</t>
  </si>
  <si>
    <t>ZI283</t>
  </si>
  <si>
    <t>Elektroda VAPR Premiere 90 DEPuy 227204</t>
  </si>
  <si>
    <t>ZL901</t>
  </si>
  <si>
    <t>Hlava frézovací nitrodřeňová RIA pr. 13.0 mm sterilní 352.252S</t>
  </si>
  <si>
    <t>ZN217</t>
  </si>
  <si>
    <t>Pouzdro na K- dráty pr. 1.2 x 330 mm pro 10 ks drátů resterilizovatelné 34 470-12</t>
  </si>
  <si>
    <t>ZM448</t>
  </si>
  <si>
    <t>Elektroda VAPR 2,3 mm 227213</t>
  </si>
  <si>
    <t>ZG593</t>
  </si>
  <si>
    <t>Vrták 2,0 mm 310.534</t>
  </si>
  <si>
    <t>ZI418</t>
  </si>
  <si>
    <t>Systém trubek RIA pro hnací hřídel RIA pro číslo 314.743 sterilní 314.746S</t>
  </si>
  <si>
    <t>ZI419</t>
  </si>
  <si>
    <t>Těsnění pro hnací hřídel RIA sterilní á 2 ks 351.718.02S</t>
  </si>
  <si>
    <t>ZL549</t>
  </si>
  <si>
    <t>Elektroda VAPR radiofrekvenční 2,3 mm 227211</t>
  </si>
  <si>
    <t>ZD617</t>
  </si>
  <si>
    <t>Vrták 4.3 mm 310.430</t>
  </si>
  <si>
    <t>ZG052</t>
  </si>
  <si>
    <t>Pouzdro na K- dráty pr. 1.6 mm resterilizovatelné 308.206</t>
  </si>
  <si>
    <t>ZO956</t>
  </si>
  <si>
    <t>Punch artroskopický rovný duckling střižná plocha 3,2 x 4,9 mm délka 14 cm 225800402</t>
  </si>
  <si>
    <t>ZO955</t>
  </si>
  <si>
    <t>Grasper artroskopický úchopový rovný úchopová plocha 3,5 x 7 mm 14 cm 225700825</t>
  </si>
  <si>
    <t>ZF874</t>
  </si>
  <si>
    <t>Šablona pro dlahu LC-DCP 3,5 mm 329.870</t>
  </si>
  <si>
    <t>ZF873</t>
  </si>
  <si>
    <t>Šablona pro dlahu LC-DCP 3,5 mm 329.890</t>
  </si>
  <si>
    <t>ZJ154</t>
  </si>
  <si>
    <t>Drát vodící 3,20 mm kalibrovaný 357.129</t>
  </si>
  <si>
    <t>ZF260</t>
  </si>
  <si>
    <t>Fixatér na ruku mini LTX</t>
  </si>
  <si>
    <t>ZL170</t>
  </si>
  <si>
    <t>Aplikátor na kotvy Omnispan jednorázový  228143</t>
  </si>
  <si>
    <t>KG209</t>
  </si>
  <si>
    <t>šroub nosný pr. 11 samořezný D110 273.110</t>
  </si>
  <si>
    <t>KG399</t>
  </si>
  <si>
    <t>šroub zajišťovací stardrive 2,7 mm ( hlava LCP 2.4), délka 20 402.220</t>
  </si>
  <si>
    <t>KG433</t>
  </si>
  <si>
    <t>šroub kortikální pr 3,5 samořezný D26 TI 404.826</t>
  </si>
  <si>
    <t>KG444</t>
  </si>
  <si>
    <t>šroub zajišťovací pr 3,5 samořezný D14 412.103</t>
  </si>
  <si>
    <t>KG448</t>
  </si>
  <si>
    <t>šroub zajišťovací pr 3,5 samořezný D22 412.107</t>
  </si>
  <si>
    <t>KG449</t>
  </si>
  <si>
    <t>šroub zajišťovací pr 3,5 samořezný D24 412.108</t>
  </si>
  <si>
    <t>KG538</t>
  </si>
  <si>
    <t>prut prevotový ten pr 2,5 D440 TAN růžový 475.925</t>
  </si>
  <si>
    <t>ZA010</t>
  </si>
  <si>
    <t>Dlaha LC-DCP 3.5 mm 8 otvorů 223.580</t>
  </si>
  <si>
    <t>ZA011</t>
  </si>
  <si>
    <t>Šroub kortikální 1.5 mm 200.809</t>
  </si>
  <si>
    <t>ZA015</t>
  </si>
  <si>
    <t>Šroub kortikální 1.5 mm 200.808</t>
  </si>
  <si>
    <t>ZA016</t>
  </si>
  <si>
    <t>Šroub kortikální 1.5 mm 200.812</t>
  </si>
  <si>
    <t>ZA041</t>
  </si>
  <si>
    <t>Šroub zajišťovací VA stardrive 3.5 mm 213.016</t>
  </si>
  <si>
    <t>ZA050</t>
  </si>
  <si>
    <t>Šroub zajišťovací VA stardrive 3.5 mm 213.045</t>
  </si>
  <si>
    <t>ZA057</t>
  </si>
  <si>
    <t>Šroub zajišťovací stardrive 5.0 mm 212.222</t>
  </si>
  <si>
    <t>ZA115</t>
  </si>
  <si>
    <t>Kotvička mitek easy s návlekem GII 212450</t>
  </si>
  <si>
    <t>ZA136</t>
  </si>
  <si>
    <t>Šroub zajišťovací stardrive 5.0 mm 212.214</t>
  </si>
  <si>
    <t>ZA140</t>
  </si>
  <si>
    <t>Šroub zajišťovací stardrive 5.0 mm 212.224</t>
  </si>
  <si>
    <t>ZA141</t>
  </si>
  <si>
    <t>Šroub zajišťovací stardrive 5.0 mm 212.225</t>
  </si>
  <si>
    <t>ZA294</t>
  </si>
  <si>
    <t>Šroub zaslepovací Targon KB200T</t>
  </si>
  <si>
    <t>ZA295</t>
  </si>
  <si>
    <t>Šroub zajištovací 4,5 mm Targon KB332T</t>
  </si>
  <si>
    <t>ZA297</t>
  </si>
  <si>
    <t>Hřeb targon PF nagel 12 x 180 mm 135° KD024T</t>
  </si>
  <si>
    <t>ZA306</t>
  </si>
  <si>
    <t>Hlava zaslepovací DFN pro vrtulku 451.895</t>
  </si>
  <si>
    <t>ZA308</t>
  </si>
  <si>
    <t>Systém kotvící pro koleno RIGIDFIX 210133</t>
  </si>
  <si>
    <t>ZA387</t>
  </si>
  <si>
    <t>Šroub kanylovaný 3.5 x 38 mm 26-433-38-09</t>
  </si>
  <si>
    <t>ZA390</t>
  </si>
  <si>
    <t>Šroub kanylovaný 3.5 x 44 mm 26-433-44-09</t>
  </si>
  <si>
    <t>ZB375</t>
  </si>
  <si>
    <t>Šroub kortikální 3.5 mm 204.818</t>
  </si>
  <si>
    <t>ZB397</t>
  </si>
  <si>
    <t>Šroub kortikální 3.5 mm 204.816</t>
  </si>
  <si>
    <t>ZB887</t>
  </si>
  <si>
    <t>Šroub kortikální 3.5 mm 204.812</t>
  </si>
  <si>
    <t>ZC160</t>
  </si>
  <si>
    <t>Pouzdro skluzné PF Targon KD185T</t>
  </si>
  <si>
    <t>ZC170</t>
  </si>
  <si>
    <t>Pouzdro skluzné PF Targon KD186T</t>
  </si>
  <si>
    <t>ZC171</t>
  </si>
  <si>
    <t>Šroub antirotační Targon KD208T</t>
  </si>
  <si>
    <t>ZC173</t>
  </si>
  <si>
    <t>Šroub skluzný PF 10,5 x 70 mm Targon KD115T</t>
  </si>
  <si>
    <t>ZC182</t>
  </si>
  <si>
    <t>Šroub antirotační Targon KD207T</t>
  </si>
  <si>
    <t>ZC187</t>
  </si>
  <si>
    <t>Šroub antirotační Targon KD205T</t>
  </si>
  <si>
    <t>ZC207</t>
  </si>
  <si>
    <t>Šroub kortikální 1.5 mm 200.813</t>
  </si>
  <si>
    <t>ZC223</t>
  </si>
  <si>
    <t>Šroub fixační PH 4,5 mm Targon KB078T</t>
  </si>
  <si>
    <t>ZC226</t>
  </si>
  <si>
    <t>Šroub fixační PH 4,5 mm Targon KB084T</t>
  </si>
  <si>
    <t>ZC230</t>
  </si>
  <si>
    <t>Šroub fixační PH 4,5 mm Targon KB080T</t>
  </si>
  <si>
    <t>ZC240</t>
  </si>
  <si>
    <t>Šroub zajišťovací 4,5 mm Targon KB336T</t>
  </si>
  <si>
    <t>ZC241</t>
  </si>
  <si>
    <t>Šroub zajišťovací 4,5 mm Targon KB340T</t>
  </si>
  <si>
    <t>ZC270</t>
  </si>
  <si>
    <t>Šroub kortikální 1.5 mm 200.814</t>
  </si>
  <si>
    <t>ZC421</t>
  </si>
  <si>
    <t>Šroub kortikální 3.5 mm 204.820</t>
  </si>
  <si>
    <t>ZC437</t>
  </si>
  <si>
    <t>Šroub kortikální 3.5 mm 204.822</t>
  </si>
  <si>
    <t>ZC707</t>
  </si>
  <si>
    <t>Hřeb targon PF nagel 14 x 180 mm 135° KD044T</t>
  </si>
  <si>
    <t>ZD197</t>
  </si>
  <si>
    <t>Šroub antirotační Targon KD209T</t>
  </si>
  <si>
    <t>ZD266</t>
  </si>
  <si>
    <t>Šroub kortikální 3,5 x 14 mm CS14000</t>
  </si>
  <si>
    <t>ZD297</t>
  </si>
  <si>
    <t>Hřeb se závity zamykatelný 2,5 x 24 mm TP24000</t>
  </si>
  <si>
    <t>ZD327</t>
  </si>
  <si>
    <t>Šroub kortikální 3,5 x 12 mm CS12000</t>
  </si>
  <si>
    <t>ZF282</t>
  </si>
  <si>
    <t>Šroub kortikální 3.5 mm 204.850</t>
  </si>
  <si>
    <t>ZG307</t>
  </si>
  <si>
    <t>Drát Kirschnerův 1.60 mm á 10 ks 292.160.10</t>
  </si>
  <si>
    <t>ZH346</t>
  </si>
  <si>
    <t>Šroub schanzův seldrill 4.0/3.0 mm 294.772</t>
  </si>
  <si>
    <t>KG402</t>
  </si>
  <si>
    <t>šroub zajišťovací stardrive 2,7 mm ( hlava LCP 2.4), délka 26 402.226</t>
  </si>
  <si>
    <t>KG428</t>
  </si>
  <si>
    <t>šroub kortikální pr 3,5 samořezný D16 TI 404.816</t>
  </si>
  <si>
    <t>KG429</t>
  </si>
  <si>
    <t>šroub kortikální pr 3,5 samořezný D18 TI 404.818</t>
  </si>
  <si>
    <t>KG443</t>
  </si>
  <si>
    <t>šroub zajišťovací pr 3,5 samořezný D12 412.102</t>
  </si>
  <si>
    <t>KG502</t>
  </si>
  <si>
    <t>dlaha DHP 2,7/3,5 mediální pravá 7 otv T 441.286</t>
  </si>
  <si>
    <t>KG539</t>
  </si>
  <si>
    <t>prut prevotový ten pr 3,0 D440 TAN zlatý 475.930</t>
  </si>
  <si>
    <t>ZA040</t>
  </si>
  <si>
    <t>Šroub zajišťovací VA stardrive 3.5 mm 213.012</t>
  </si>
  <si>
    <t>ZA046</t>
  </si>
  <si>
    <t>Šroub zajišťovací VA stardrive 3.5 mm 213.028</t>
  </si>
  <si>
    <t>ZA051</t>
  </si>
  <si>
    <t>Šroub zajišťovací VA stardrive 3.5 mm 213.050</t>
  </si>
  <si>
    <t>ZA307</t>
  </si>
  <si>
    <t>Hlava zaslepovací DFN pro zajišťovací šrouby 6.0 mm 451.896</t>
  </si>
  <si>
    <t>ZA389</t>
  </si>
  <si>
    <t>Šroub kanylovaný 3.5 x 42 mm 26-433-42-09</t>
  </si>
  <si>
    <t>ZB716</t>
  </si>
  <si>
    <t>Šroub kortikální 3.5 mm 204.836</t>
  </si>
  <si>
    <t>ZC007</t>
  </si>
  <si>
    <t>Šroub kortikální 3.5 mm 204.828</t>
  </si>
  <si>
    <t>ZC172</t>
  </si>
  <si>
    <t>Pouzdro skluzné PF Targon KD187T</t>
  </si>
  <si>
    <t>ZC221</t>
  </si>
  <si>
    <t>Podložka 7.0/3.6 mm pro šrouby 2.7-4.0 mm 219.980</t>
  </si>
  <si>
    <t>ZC282</t>
  </si>
  <si>
    <t>Šroub antirotační Targon KD206T</t>
  </si>
  <si>
    <t>ZC420</t>
  </si>
  <si>
    <t>Šroub kortikální 3.5 mm 204.830</t>
  </si>
  <si>
    <t>ZD372</t>
  </si>
  <si>
    <t>Šroub zajišťovací VA stardrive 3.5 mm 213.032</t>
  </si>
  <si>
    <t>ZE297</t>
  </si>
  <si>
    <t>Šroub kortikální 3 mm/16 mm stabilní 716-110-030-016</t>
  </si>
  <si>
    <t>ZE333</t>
  </si>
  <si>
    <t>Šroub kortikální 3 mm/14 mm stabilní 716-110-030-014</t>
  </si>
  <si>
    <t>ZE657</t>
  </si>
  <si>
    <t>Dlaha LC-DCP 3.5 mm 10 otvorů 223.600</t>
  </si>
  <si>
    <t>ZF870</t>
  </si>
  <si>
    <t>Šroub kortikální 3.5 mm 204.834</t>
  </si>
  <si>
    <t>ZF871</t>
  </si>
  <si>
    <t>Šroub kortikální 3.5 mm 204.848</t>
  </si>
  <si>
    <t>ZG118</t>
  </si>
  <si>
    <t>Šroub spongiózní 4.0 mm 207.016</t>
  </si>
  <si>
    <t>ZG251</t>
  </si>
  <si>
    <t>Čep zajišťovací 3.9 mm L34 258.340</t>
  </si>
  <si>
    <t>ZG746</t>
  </si>
  <si>
    <t>Šroub zajišťovací plný závit O5 x 40 mm 1896-5040</t>
  </si>
  <si>
    <t>ZG786</t>
  </si>
  <si>
    <t>Šroub zajišťovací plný závit O5 x 35 mm 1896-5035</t>
  </si>
  <si>
    <t>ZH047</t>
  </si>
  <si>
    <t>Šroub zajišťovací VA stardrive 3.5 mm 213.024</t>
  </si>
  <si>
    <t>ZH781</t>
  </si>
  <si>
    <t>Šroub zamykací HD7 2,5 x 18 mm A-5750.18/1</t>
  </si>
  <si>
    <t>ZH782</t>
  </si>
  <si>
    <t>Šroub zamykací HD7 2,5 x 22 mm A-5750.22/1</t>
  </si>
  <si>
    <t>ZH847</t>
  </si>
  <si>
    <t>Šroub kortikální HD7 2,5 x 16 mm A-5700.16/1</t>
  </si>
  <si>
    <t>ZH849</t>
  </si>
  <si>
    <t>Šroub zamykací HD7 2,5 x 20 mm A-5750.20/1</t>
  </si>
  <si>
    <t>ZI857</t>
  </si>
  <si>
    <t>Hlava expert zaslepovací 12.0 mm 04.003.000</t>
  </si>
  <si>
    <t>ZK985</t>
  </si>
  <si>
    <t>Šroub kortikální uzamykatelný smart-drive 2.5 x 18 mm 26-905-18-09</t>
  </si>
  <si>
    <t>ZK993</t>
  </si>
  <si>
    <t>Šroub kortikální uzamykatelný smart-drive 2.5 x 20 mm 26-905-20-09</t>
  </si>
  <si>
    <t>ZL009</t>
  </si>
  <si>
    <t>Šroub kortikální uzamykatelný smart-drive 2.5 x 22 mm 26-905-22-09</t>
  </si>
  <si>
    <t>KG213</t>
  </si>
  <si>
    <t>hřeb PFN pr. 11 130° D240 ocel 273.131</t>
  </si>
  <si>
    <t>ZH657</t>
  </si>
  <si>
    <t>Šroub spongiózní 4.0 mm 207.022</t>
  </si>
  <si>
    <t>ZC180</t>
  </si>
  <si>
    <t>Hřeb targon PF 10 x 220 mm 135° KD014T</t>
  </si>
  <si>
    <t>ZA157</t>
  </si>
  <si>
    <t>Hlava zaslepovací expert pro hřeby tibiální 10 mm 04.004.002</t>
  </si>
  <si>
    <t>ZD555</t>
  </si>
  <si>
    <t>Kotvička mitek mini 2/0 TMplus 212033</t>
  </si>
  <si>
    <t>ZC238</t>
  </si>
  <si>
    <t>Šroub kortikální smart-drive 2.5 x 12 mm 26-906-12-09</t>
  </si>
  <si>
    <t>ZC807</t>
  </si>
  <si>
    <t>Šroub zajišťovací stardrive 4.0 mm 04.005.426</t>
  </si>
  <si>
    <t>ZD025</t>
  </si>
  <si>
    <t>Šroub zajišťovací VA stardrive 3.5 mm 213.030</t>
  </si>
  <si>
    <t>ZH780</t>
  </si>
  <si>
    <t>Šroub zamykací HD7 2,5 x 16 mm A-5750.16/1</t>
  </si>
  <si>
    <t>ZF875</t>
  </si>
  <si>
    <t>Šroub spongiózní 4.0 mm 207.020</t>
  </si>
  <si>
    <t>ZD514</t>
  </si>
  <si>
    <t>Hřeb se závity zamykatelný 2,5 x 16 mm TP16000</t>
  </si>
  <si>
    <t>ZC225</t>
  </si>
  <si>
    <t>Šroub zajišťovací 3,5 mm Targon KB527T</t>
  </si>
  <si>
    <t>ZC215</t>
  </si>
  <si>
    <t>Šroub zajišťovací 3,5 mm Targon KB524T</t>
  </si>
  <si>
    <t>ZC224</t>
  </si>
  <si>
    <t>Hřeb PH nagel 10/8 Targon KE054T</t>
  </si>
  <si>
    <t>ZL094</t>
  </si>
  <si>
    <t>Šroub zaslepovací PH 0 mm Targon KB610T</t>
  </si>
  <si>
    <t>ZD305</t>
  </si>
  <si>
    <t>Hřeb se závity zamykatelný 2,5 x 20 mm TP20000</t>
  </si>
  <si>
    <t>ZF720</t>
  </si>
  <si>
    <t>Šroub kanylovaný 3.5 x 40 mm 26-433-40-09</t>
  </si>
  <si>
    <t>ZG120</t>
  </si>
  <si>
    <t>Čep zajišťovací 3.9 mm L40 258.400</t>
  </si>
  <si>
    <t>ZA105</t>
  </si>
  <si>
    <t>Čep zajišťovací 3.9 mm L42 258.420</t>
  </si>
  <si>
    <t>KG432</t>
  </si>
  <si>
    <t>šroub kortikální pr 3,5 samořezný D24 TI 404.824</t>
  </si>
  <si>
    <t>ZG700</t>
  </si>
  <si>
    <t>Dlaha pro fibulu 9 otvorová s háčkem LA09 798-110-101-009</t>
  </si>
  <si>
    <t>KG452</t>
  </si>
  <si>
    <t>šroub zajišťovací pr 3,5 samořezný D30 412.111</t>
  </si>
  <si>
    <t>KG397</t>
  </si>
  <si>
    <t>šroub zajišťovací stardrive 2,7 mm ( hlava LCP 2.4), délka 16 402.216</t>
  </si>
  <si>
    <t>ZB189</t>
  </si>
  <si>
    <t>kotva lupine loop+ancho 210709</t>
  </si>
  <si>
    <t>ZE780</t>
  </si>
  <si>
    <t>Kotvička mitek mini 4/0 212866</t>
  </si>
  <si>
    <t>ZD269</t>
  </si>
  <si>
    <t>Hřeb se závity zamykatelný 2,5 x 22 mm TP22000</t>
  </si>
  <si>
    <t>ZD595</t>
  </si>
  <si>
    <t>Dlaha anatomická DVR short DVRASL</t>
  </si>
  <si>
    <t>ZF645</t>
  </si>
  <si>
    <t>Šroub kortikální 3.5 mm 204.824</t>
  </si>
  <si>
    <t>ZE300</t>
  </si>
  <si>
    <t>Šroub kortikální 3 mm/18 mm nestabilní 716-115-030-018</t>
  </si>
  <si>
    <t>ZD793</t>
  </si>
  <si>
    <t>Podložka TI 3,5 mm 26-435-99-09</t>
  </si>
  <si>
    <t>ZA392</t>
  </si>
  <si>
    <t>Šroub kanylovaný 3.5 x 50 mm 26-433-50-09</t>
  </si>
  <si>
    <t>ZB810</t>
  </si>
  <si>
    <t>Šroub kompresní HBS2 mini 17 mm 26-820-17-09</t>
  </si>
  <si>
    <t>ZA045</t>
  </si>
  <si>
    <t>Šroub zajišťovací VA stardrive 3.5 mm 213.026</t>
  </si>
  <si>
    <t>ZG784</t>
  </si>
  <si>
    <t>Hřeb trochanterický 180 O11 x 180 mm x 130° sada 3130-1180S</t>
  </si>
  <si>
    <t>ZG785</t>
  </si>
  <si>
    <t>Hlava zaslepovací Gamma3 3005-1100S</t>
  </si>
  <si>
    <t>ZC214</t>
  </si>
  <si>
    <t>Šroub zajišťovací 3,5 mm Targon KB521T</t>
  </si>
  <si>
    <t>ZC229</t>
  </si>
  <si>
    <t>Šroub fixační PH 4,5 mm Targon KB076T</t>
  </si>
  <si>
    <t>ZD274</t>
  </si>
  <si>
    <t>Dlaha anatomická DVR short DVRASR</t>
  </si>
  <si>
    <t>ZD535</t>
  </si>
  <si>
    <t>Hřeb se závity zamykatelný 2,5 x 18 mm TP18000</t>
  </si>
  <si>
    <t>ZD265</t>
  </si>
  <si>
    <t>Dlaha anatomická DVR standard DVRAL</t>
  </si>
  <si>
    <t>ZG598</t>
  </si>
  <si>
    <t>Hřeb trochanterický 180 O11 x 180 mm x 125° sada 3125-1180S</t>
  </si>
  <si>
    <t>ZD646</t>
  </si>
  <si>
    <t>Šroub zajišťovací stardrive 2.7 mm 402.214</t>
  </si>
  <si>
    <t>ZF252</t>
  </si>
  <si>
    <t>Šroub zajišťovací stardrive 5.0 mm 212.217</t>
  </si>
  <si>
    <t>ZG748</t>
  </si>
  <si>
    <t>Šroub nosný O10,5 x 105 mm 3060-0105S</t>
  </si>
  <si>
    <t>ZH690</t>
  </si>
  <si>
    <t>Dlaha LCP 2,7 / 3,5 mm na laterální distální fibulu 04.112.137</t>
  </si>
  <si>
    <t>ZC910</t>
  </si>
  <si>
    <t>Hřeb expert tibiální 8.0 mm 04.024.249</t>
  </si>
  <si>
    <t>ZI460</t>
  </si>
  <si>
    <t>Šroub zajišťovací stardrive 5.0 mm 04.005.536</t>
  </si>
  <si>
    <t>ZD302</t>
  </si>
  <si>
    <t>Šroub zajišťovací stardrive 3,5 mm 412.106</t>
  </si>
  <si>
    <t>ZD155</t>
  </si>
  <si>
    <t>Šroub zajišťovací stardrive 5.0 mm 212.215</t>
  </si>
  <si>
    <t>ZC505</t>
  </si>
  <si>
    <t>Šroub kortikální 3.5 mm 204.855</t>
  </si>
  <si>
    <t>ZA745</t>
  </si>
  <si>
    <t>Dlaha anatomická DVR wide DVRAWL</t>
  </si>
  <si>
    <t>ZD450</t>
  </si>
  <si>
    <t>Dlaha anatomická DVR narw DVRANL</t>
  </si>
  <si>
    <t>KH293</t>
  </si>
  <si>
    <t>šroub kortikální pr 3,5 samořezný D28 TI 404.828</t>
  </si>
  <si>
    <t>ZG601</t>
  </si>
  <si>
    <t>Hřeb trochanterický 180 O11 x 180 mm x 120° sada 3120-1180S</t>
  </si>
  <si>
    <t>ZH146</t>
  </si>
  <si>
    <t>Dlaha LCP distální tibie 3.5 mm mediální bez výběžku 02.112.526</t>
  </si>
  <si>
    <t>ZA386</t>
  </si>
  <si>
    <t>Šroub kanylovaný 3.5 x 36 mm 26-433-36-09</t>
  </si>
  <si>
    <t>ZD510</t>
  </si>
  <si>
    <t>Šroub zajišťovací 4,5 mm Targon KB352T</t>
  </si>
  <si>
    <t>ZF540</t>
  </si>
  <si>
    <t>Šroub kortikální 1.3 mm 200.692</t>
  </si>
  <si>
    <t>ZA080</t>
  </si>
  <si>
    <t>Hřeb UTN tibiální 9.0 mm kompletní se zaslepovací havou plný 279.680</t>
  </si>
  <si>
    <t>ZE440</t>
  </si>
  <si>
    <t>Šroub kortikální 3 mm/12 mm stabilní 716-110-030-012</t>
  </si>
  <si>
    <t>ZG899</t>
  </si>
  <si>
    <t>Šroub nosný O10,5 x 100 mm 3060-0100S</t>
  </si>
  <si>
    <t>ZD050</t>
  </si>
  <si>
    <t>Drát vodící 3.20 mm 357.399</t>
  </si>
  <si>
    <t>ZH020</t>
  </si>
  <si>
    <t>Šroub kortikální 3,5 mm pánevní 204.670</t>
  </si>
  <si>
    <t>ZF265</t>
  </si>
  <si>
    <t>Dlaha tibie proximální LCP laterální 4.5/5.0 8 otv. 240.040</t>
  </si>
  <si>
    <t>ZG602</t>
  </si>
  <si>
    <t>Šroub nosný O10,5 x 85 mm 3060-0085S</t>
  </si>
  <si>
    <t>ZE913</t>
  </si>
  <si>
    <t>Dlaha pro fibulu 11 otvorová 798-110-101-011</t>
  </si>
  <si>
    <t>ZC206</t>
  </si>
  <si>
    <t>Dlaha adaptační T 1.5 mm 3 otv. 246.231</t>
  </si>
  <si>
    <t>ZM961</t>
  </si>
  <si>
    <t>Šroub kortikální samořezný 2,7 x 14 mm 397129702544</t>
  </si>
  <si>
    <t>ZM303</t>
  </si>
  <si>
    <t>Šroub kompresní HBS2 mini 18 mm 26-820-18-09</t>
  </si>
  <si>
    <t>ZE105</t>
  </si>
  <si>
    <t>Hřeb PH nagel 10/7 Targon KE026T</t>
  </si>
  <si>
    <t>ZD267</t>
  </si>
  <si>
    <t>Šroub kortikální 3,5 x 16 mm CS16000</t>
  </si>
  <si>
    <t>ZC209</t>
  </si>
  <si>
    <t>Hřeb PH nagel 10/8 Targon KE004T</t>
  </si>
  <si>
    <t>ZK935</t>
  </si>
  <si>
    <t>Šroub kompresní HBS2 midi 20 mm 26-810-20-09</t>
  </si>
  <si>
    <t>ZJ739</t>
  </si>
  <si>
    <t>Podložka pod kanylovaný šroub Canos pr. 2.3/2.7 mm 26-423-99-09</t>
  </si>
  <si>
    <t>ZH783</t>
  </si>
  <si>
    <t>Šroub kortikální HD7 2,5 x 14 mm A-5700.14</t>
  </si>
  <si>
    <t>ZF887</t>
  </si>
  <si>
    <t>Šroub kompresní HBS2 mini 22 mm 26-820-22-09</t>
  </si>
  <si>
    <t>ZF877</t>
  </si>
  <si>
    <t>Šroub kompresní HBS2 mini 20 mm 26-820-20-09</t>
  </si>
  <si>
    <t>ZG599</t>
  </si>
  <si>
    <t>Šroub nosný O10,5 x 95 mm 3060-0095S</t>
  </si>
  <si>
    <t>ZA026</t>
  </si>
  <si>
    <t>Dlaha adaptační 1.5 mm 12 otv. 246.191</t>
  </si>
  <si>
    <t>ZF899</t>
  </si>
  <si>
    <t>Šroub kortikální smart-drive 2.5 x 15 mm 26-906-15-09</t>
  </si>
  <si>
    <t>KG453</t>
  </si>
  <si>
    <t>šroub zajišťovací pr 3,5 samořezný D35 412.114</t>
  </si>
  <si>
    <t>ZA130</t>
  </si>
  <si>
    <t>Šroub zajišťovací stardrive 5.0 mm 212.207</t>
  </si>
  <si>
    <t>ZA137</t>
  </si>
  <si>
    <t>Šroub zajišťovací stardrive 5.0 mm 212.216</t>
  </si>
  <si>
    <t>ZA385</t>
  </si>
  <si>
    <t>Šroub kanylovaný canos 3,5 x 34 mm 26-433-34-09</t>
  </si>
  <si>
    <t>ZF858</t>
  </si>
  <si>
    <t>Šroub kortikální smart-drive 2.5 x 14 mm 26-906-14-09</t>
  </si>
  <si>
    <t>ZH779</t>
  </si>
  <si>
    <t>Šroub zamykací HD7 2,5 x 14 mm A-5750.14/1</t>
  </si>
  <si>
    <t>ZH846</t>
  </si>
  <si>
    <t>Hřeb targon PF-L 10 x 420 mm 130° KD089T</t>
  </si>
  <si>
    <t>ZH848</t>
  </si>
  <si>
    <t>Šroub kortikální HD7 2,5 x 12 mm A-5700.12</t>
  </si>
  <si>
    <t>ZJ226</t>
  </si>
  <si>
    <t>Dlaha targon FN dlaha 130° KO802T</t>
  </si>
  <si>
    <t>ZJ228</t>
  </si>
  <si>
    <t>Šroub teleskopický targon FN 90 mm KO824T</t>
  </si>
  <si>
    <t>ZJ772</t>
  </si>
  <si>
    <t>Šroub zamykací HD7 2,5 x 12 mm A-5750.12/1</t>
  </si>
  <si>
    <t>ZL127</t>
  </si>
  <si>
    <t>Šroub teleskopický targon FN 100 mm KO826T</t>
  </si>
  <si>
    <t>ZD451</t>
  </si>
  <si>
    <t>Šroub kortikální 3,5 x 10 mm CS10000</t>
  </si>
  <si>
    <t>ZF895</t>
  </si>
  <si>
    <t>Šroub kompresní HBS2 mini 23 mm 26-820-23-09</t>
  </si>
  <si>
    <t>ZH000</t>
  </si>
  <si>
    <t>Šroub kompresní HBS2 mini 30 mm 26-820-30-09</t>
  </si>
  <si>
    <t>ZI577</t>
  </si>
  <si>
    <t>Válec chronOS pr.14 mm délka 25 mm 07.720.035</t>
  </si>
  <si>
    <t>ZE296</t>
  </si>
  <si>
    <t>Šroub kortikální 3 mm/18 mm stabilní 716-110-030-018</t>
  </si>
  <si>
    <t>ZA155</t>
  </si>
  <si>
    <t>Hlava zaslepovací expert pro hřeby tibiální   5 mm 04.004.000</t>
  </si>
  <si>
    <t>KG503</t>
  </si>
  <si>
    <t>dlaha DHP 2,7/3,5 mediální levá 7 otv T 441.287</t>
  </si>
  <si>
    <t>ZD509</t>
  </si>
  <si>
    <t>Šroub zajišťovací 4,5 mm Targon KB348T</t>
  </si>
  <si>
    <t>ZH016</t>
  </si>
  <si>
    <t>Šroub zajišťovací stardrive 5.0 mm 04.005.548</t>
  </si>
  <si>
    <t>ZE046</t>
  </si>
  <si>
    <t>Šroub zajišťovací VA stardrive 3.5 mm 02.127.146</t>
  </si>
  <si>
    <t>ZK741</t>
  </si>
  <si>
    <t>Šroub zajišťovací VA stardrive 3.5 mm 02.127.130</t>
  </si>
  <si>
    <t>ZL003</t>
  </si>
  <si>
    <t>Šroub zajišťovací VA stardrive 3.5 mm 02.127.134</t>
  </si>
  <si>
    <t>KG183</t>
  </si>
  <si>
    <t>šroub antirotační pr. 6,5 samořezný 234.075</t>
  </si>
  <si>
    <t>ZB629</t>
  </si>
  <si>
    <t>Šroub zaslepovací 10 mm Targon KB618T</t>
  </si>
  <si>
    <t>ZF287</t>
  </si>
  <si>
    <t>Dlaha LCP tvaru třetiny válce 3.5 mm 241.371</t>
  </si>
  <si>
    <t>ZG603</t>
  </si>
  <si>
    <t>Šroub spongiózní 3 mm/18 mm stabilní 716-100-030-018</t>
  </si>
  <si>
    <t>ZG606</t>
  </si>
  <si>
    <t>Šroub kortikální 3 mm/22 mm nestabilní 716-115-030-022</t>
  </si>
  <si>
    <t>ZF827</t>
  </si>
  <si>
    <t>Šroub spongiózní 3 mm/14 mm stabilní 716-100-030-014</t>
  </si>
  <si>
    <t>ZK990</t>
  </si>
  <si>
    <t>Dlaha radiální IXOS P4 úhlově stabilní 26-914-11-09</t>
  </si>
  <si>
    <t>ZN872</t>
  </si>
  <si>
    <t>Šroub zamykací spongiozní TI rekonstrukční pr. 4,0 mm délka 36 mm 28.30.036</t>
  </si>
  <si>
    <t>ZB346</t>
  </si>
  <si>
    <t>Šroub kompresní HBS2 mini 22 mm 26-830-22-09</t>
  </si>
  <si>
    <t>ZE082</t>
  </si>
  <si>
    <t>Šroub zajišťovací 45 mm Targon KB545t</t>
  </si>
  <si>
    <t>ZA159</t>
  </si>
  <si>
    <t>Šroub zajišťovací stardrive 4.0 mm 04.005.424</t>
  </si>
  <si>
    <t>ZC139</t>
  </si>
  <si>
    <t>Šroub zajišťovací stardrive 4.0 mm 04.005.430</t>
  </si>
  <si>
    <t>ZD024</t>
  </si>
  <si>
    <t>Šroub zajišťovací VA stardrive 3.5 mm 213.042</t>
  </si>
  <si>
    <t>ZE818</t>
  </si>
  <si>
    <t>Šroub schanzův seldrill 5.0 mm 294.785</t>
  </si>
  <si>
    <t>ZA043</t>
  </si>
  <si>
    <t>Šroub zajišťovací VA stardrive 3.5 mm 213.020</t>
  </si>
  <si>
    <t>ZG039</t>
  </si>
  <si>
    <t>Šroub schanzův seldrill 5.0 mm 294.784</t>
  </si>
  <si>
    <t>ZA049</t>
  </si>
  <si>
    <t>Šroub zajišťovací VA stardrive 3.5 mm 213.040</t>
  </si>
  <si>
    <t>ZC349</t>
  </si>
  <si>
    <t>Šroub kortikální 3.5 mm 204.826</t>
  </si>
  <si>
    <t>ZE819</t>
  </si>
  <si>
    <t>Šroub schanzův seldrill 5.0 mm 294.786</t>
  </si>
  <si>
    <t>ZD074</t>
  </si>
  <si>
    <t>Šroub zajišťovací VA stardrive 3.5 mm 213.035</t>
  </si>
  <si>
    <t>ZE459</t>
  </si>
  <si>
    <t>Šroub zajišťovací sponginózní 5.0 mm 04.015.560</t>
  </si>
  <si>
    <t>ZA014</t>
  </si>
  <si>
    <t>Šroub kortikální 1.5 mm 200.806</t>
  </si>
  <si>
    <t>ZA732</t>
  </si>
  <si>
    <t>Šroub kortikální 3.5 mm 204.814</t>
  </si>
  <si>
    <t>ZK392</t>
  </si>
  <si>
    <t>Dlaha LCP distální tibie 3.5 mm mediální bez výběžku 02.112.515</t>
  </si>
  <si>
    <t>ZG119</t>
  </si>
  <si>
    <t>Šroub spongiózní 4.0 mm 207.018</t>
  </si>
  <si>
    <t>ZA063</t>
  </si>
  <si>
    <t>Dlaha philos proximální humerus 3,5 3 otv. 241.901</t>
  </si>
  <si>
    <t>ZA134</t>
  </si>
  <si>
    <t>Šroub zajišťovací stardrive 5.0 mm 212.212</t>
  </si>
  <si>
    <t>ZH043</t>
  </si>
  <si>
    <t>Šroub zajišťovací stardrive 5.0 mm 04.005.550</t>
  </si>
  <si>
    <t>ZF503</t>
  </si>
  <si>
    <t>Dlaha LCP-DF 4.5/5.0 mm 222.255</t>
  </si>
  <si>
    <t>ZG383</t>
  </si>
  <si>
    <t>Šroub kortikální 1.3 mm 200.688</t>
  </si>
  <si>
    <t>ZA133</t>
  </si>
  <si>
    <t>Šroub zajišťovací stardrive 5.0 mm 212.211</t>
  </si>
  <si>
    <t>ZG338</t>
  </si>
  <si>
    <t>Podložka 13.0/6.6 mm pro šrouby 4.5 - 7.3 mm 419.990</t>
  </si>
  <si>
    <t>ZF268</t>
  </si>
  <si>
    <t>Šroub kortikální 3.5 mm 204.840</t>
  </si>
  <si>
    <t>ZC269</t>
  </si>
  <si>
    <t>Šroub zajišťovací VA stardrive 3.5 mm 213.014</t>
  </si>
  <si>
    <t>ZC503</t>
  </si>
  <si>
    <t>Šroub kortikální 3.5 mm 204.845</t>
  </si>
  <si>
    <t>ZA073</t>
  </si>
  <si>
    <t>Čep zajišťovací 3.9 mm L38 258.380</t>
  </si>
  <si>
    <t>ZD339</t>
  </si>
  <si>
    <t>Dlaha uzamykatelná 3.5 mm patní kost 241.623</t>
  </si>
  <si>
    <t>ZA048</t>
  </si>
  <si>
    <t>Šroub zajišťovací VA stardrive 3.5 mm 213.038</t>
  </si>
  <si>
    <t>ZC099</t>
  </si>
  <si>
    <t>Šroub kortikální 1.3 mm 200.691</t>
  </si>
  <si>
    <t>ZA072</t>
  </si>
  <si>
    <t>Čep zajišťovací 3.9 mm L36 258.360</t>
  </si>
  <si>
    <t>ZD648</t>
  </si>
  <si>
    <t>Šroub zajišťovací stardrive 3,5 mm 412.102</t>
  </si>
  <si>
    <t>ZD329</t>
  </si>
  <si>
    <t>Šroub zajišťovací stardrive 3,5 mm 412.104</t>
  </si>
  <si>
    <t>ZA104</t>
  </si>
  <si>
    <t>Čep zajišťovací 4.9 mm 459.340</t>
  </si>
  <si>
    <t>ZD379</t>
  </si>
  <si>
    <t>Šroub zajišťovací stardrive 2.7 mm 402.216</t>
  </si>
  <si>
    <t>ZD628</t>
  </si>
  <si>
    <t>Šroub zajišťovací stardrive 3,5 mm 412.103</t>
  </si>
  <si>
    <t>ZA302</t>
  </si>
  <si>
    <t>Šroub zajišťovací DFN 6.0 mm L70 450.866</t>
  </si>
  <si>
    <t>ZD438</t>
  </si>
  <si>
    <t>Šroub zajišťovací stardrive 2.7 mm 402.218</t>
  </si>
  <si>
    <t>ZC208</t>
  </si>
  <si>
    <t>Šroub kortikální 1.5 mm 200.811</t>
  </si>
  <si>
    <t>ZA012</t>
  </si>
  <si>
    <t>Šroub kortikální 1.5 mm 200.810</t>
  </si>
  <si>
    <t>ZC504</t>
  </si>
  <si>
    <t>Šroub kortikální 3.5 mm 204.842</t>
  </si>
  <si>
    <t>ZA150</t>
  </si>
  <si>
    <t>Šroub zajišťovací stardrive 2.7 mm 402.220</t>
  </si>
  <si>
    <t>ZF519</t>
  </si>
  <si>
    <t>Šroub kortikální 3.5 mm 204.860</t>
  </si>
  <si>
    <t>ZN838</t>
  </si>
  <si>
    <t>Dlaha LCP tvaru třetiny válce 3.5 mm 241.381</t>
  </si>
  <si>
    <t>ZA984</t>
  </si>
  <si>
    <t>Šroub kortikální 3.5 mm 204.832</t>
  </si>
  <si>
    <t>ZA042</t>
  </si>
  <si>
    <t>Šroub zajišťovací VA stardrive 3.5 mm 213.018</t>
  </si>
  <si>
    <t>ZE182</t>
  </si>
  <si>
    <t>Šroub zajišťovací VA stardrive 3.5 mm 02.127.124</t>
  </si>
  <si>
    <t>ZF288</t>
  </si>
  <si>
    <t>Dlaha LCP tvaru třetiny válce 3.5 mm 241.361</t>
  </si>
  <si>
    <t>ZG588</t>
  </si>
  <si>
    <t>Šroub zajišťovací stardrive 5.0 mm 04.005.532</t>
  </si>
  <si>
    <t>ZM114</t>
  </si>
  <si>
    <t>Šroub kortikální stardrive 2.7 mm 202.876</t>
  </si>
  <si>
    <t>ZH539</t>
  </si>
  <si>
    <t>Dlaha přímá LCP 3,5 mm 8 otvorů 223.581</t>
  </si>
  <si>
    <t>ZN800</t>
  </si>
  <si>
    <t>Dlaha rekonstrukční J 3,5 s nízkým profilem levá 14 otv. 02.100.365</t>
  </si>
  <si>
    <t>ZE299</t>
  </si>
  <si>
    <t>Šroub kortikální 3 mm/16 mm nestabilní 716-115-030-016</t>
  </si>
  <si>
    <t>ZC138</t>
  </si>
  <si>
    <t>Šroub zajišťovací stardrive 4.0 mm 04.005.428</t>
  </si>
  <si>
    <t>ZD199</t>
  </si>
  <si>
    <t>Šroub zajišťovací VA stardrive 3.5 mm 02.127.190</t>
  </si>
  <si>
    <t>ZC094</t>
  </si>
  <si>
    <t>Šroub zajišťovací VA stardrive 3.5 mm 02.127.185</t>
  </si>
  <si>
    <t>ZE029</t>
  </si>
  <si>
    <t>Šroub zajišťovací VA stardrive 3.5 mm 02.127.122</t>
  </si>
  <si>
    <t>KG435</t>
  </si>
  <si>
    <t>šroub kortikální pr 3,5 samořezný D30 TI 404.830</t>
  </si>
  <si>
    <t>KG401</t>
  </si>
  <si>
    <t>šroub zajišťovací stardrive 2,7 mm ( hlava LCP 2.4), délka 24 402.224</t>
  </si>
  <si>
    <t>KG450</t>
  </si>
  <si>
    <t>šroub zajišťovací pr 3,5 samořezný D26 412.109</t>
  </si>
  <si>
    <t>KG406</t>
  </si>
  <si>
    <t>šroub zajišťovací stardrive 2,7 mm ( hlava LCP 2.4), délka 34 402.234</t>
  </si>
  <si>
    <t>KG430</t>
  </si>
  <si>
    <t>šroub kortikální pr 3,5 samořezný D20 TI 404.820</t>
  </si>
  <si>
    <t>KG396</t>
  </si>
  <si>
    <t>šroub zajišťovací stardrive 2,7 mm ( hlava LCP 2.4), délka 14 402.214</t>
  </si>
  <si>
    <t>KG411</t>
  </si>
  <si>
    <t>šroub zajišťovací stardrive 2,7 mm ( hlava LCP 2.4), délka 44 402.244</t>
  </si>
  <si>
    <t>KG441</t>
  </si>
  <si>
    <t>šroub kortikální pr 3,5 samořezný D60 TI 404.860</t>
  </si>
  <si>
    <t>KG446</t>
  </si>
  <si>
    <t>šroub zajišťovací pr 3,5 samořezný D18 412.105</t>
  </si>
  <si>
    <t>KG409</t>
  </si>
  <si>
    <t>šroub zajišťovací stardrive 2,7 mm ( hlava LCP 2.4), délka 40 402.240</t>
  </si>
  <si>
    <t>KG447</t>
  </si>
  <si>
    <t>šroub zajišťovací pr 3,5 samořezný D20 412.106</t>
  </si>
  <si>
    <t>ZO035</t>
  </si>
  <si>
    <t>Dlaha LCP tibie proximální dorzální mediální 3,5 mm 02.120.702</t>
  </si>
  <si>
    <t>KG210</t>
  </si>
  <si>
    <t>šroub nosný pr. 11 samořezný D115 273.115</t>
  </si>
  <si>
    <t>KG451</t>
  </si>
  <si>
    <t>šroub zajišťovací pr 3,5 samořezný D28 412.110</t>
  </si>
  <si>
    <t>KG500</t>
  </si>
  <si>
    <t>dlaha DHP 2,7/3,5 mediální pravá 5 otv T 441.284</t>
  </si>
  <si>
    <t>KG445</t>
  </si>
  <si>
    <t>šroub zajišťovací pr 3,5 samořezný D16 412.104</t>
  </si>
  <si>
    <t>KG485</t>
  </si>
  <si>
    <t>dlaha DHP 2,7/3,5 dorso-lat levá 5 otv. 441.265</t>
  </si>
  <si>
    <t>KG478</t>
  </si>
  <si>
    <t>dlaha LCP 3,5 na olekranon levá 8 otv. D 436.509</t>
  </si>
  <si>
    <t>KG431</t>
  </si>
  <si>
    <t>šroub kortikální pr 3,5 samořezný D22 TI 404.822</t>
  </si>
  <si>
    <t>ZK744</t>
  </si>
  <si>
    <t>Šroub zajišťovací VA stardrive 3.5 mm 02.127.175</t>
  </si>
  <si>
    <t>KG195</t>
  </si>
  <si>
    <t>čep zajišťovací pr. 4,9 samořezný 259.380</t>
  </si>
  <si>
    <t>KG537</t>
  </si>
  <si>
    <t>prut prevotový ten pr 2,0 D440 TAN zelený 475.920</t>
  </si>
  <si>
    <t>ZC988</t>
  </si>
  <si>
    <t>Čep zajišťovací 3.9 mm L46 258.460</t>
  </si>
  <si>
    <t>ZC909</t>
  </si>
  <si>
    <t>Šroub zajišťovací stardrive 4.0 mm 04.005.432</t>
  </si>
  <si>
    <t>ZA391</t>
  </si>
  <si>
    <t>Šroub kanylovaný 3.5 x 48 mm 26-433-48-09</t>
  </si>
  <si>
    <t>ZA054</t>
  </si>
  <si>
    <t>Šroub zajišťovací stardrive 5.0 mm 212.209</t>
  </si>
  <si>
    <t>ZA139</t>
  </si>
  <si>
    <t>Šroub zajišťovací stardrive 5.0 mm 212.223</t>
  </si>
  <si>
    <t>ZH334</t>
  </si>
  <si>
    <t>Čepel spinální pro DFN 450.889</t>
  </si>
  <si>
    <t>ZI287</t>
  </si>
  <si>
    <t>Hřeb DFN femorální distální 9.0 mm L300 451.705</t>
  </si>
  <si>
    <t>ZI499</t>
  </si>
  <si>
    <t>Dlaha přímá LCP 3,5 mm 10 otvorů 223.601</t>
  </si>
  <si>
    <t>ZG587</t>
  </si>
  <si>
    <t>Šroub zajišťovací stardrive 5.0 mm 04.005.530</t>
  </si>
  <si>
    <t>ZH048</t>
  </si>
  <si>
    <t>Šroub zajišťovací stardrive 5.0 mm 04.005.522</t>
  </si>
  <si>
    <t>ZG099</t>
  </si>
  <si>
    <t>Šroub spongiózní 4.0 mm 207.024</t>
  </si>
  <si>
    <t>ZK573</t>
  </si>
  <si>
    <t>Dlaha volární na distální radius 2.5 korekční  A-4750.17</t>
  </si>
  <si>
    <t>ZA142</t>
  </si>
  <si>
    <t>Šroub zajišťovací stardrive 5.0 mm 212.226</t>
  </si>
  <si>
    <t>ZA053</t>
  </si>
  <si>
    <t>Šroub zajišťovací stardrive 5.0 mm 212.204</t>
  </si>
  <si>
    <t>ZO111</t>
  </si>
  <si>
    <t>Kotva ramenní vstřebatelná Swive Lock pro Tenodesis 7 mm AR-1662BC-7</t>
  </si>
  <si>
    <t>KG540</t>
  </si>
  <si>
    <t>prut prevotový ten pr 3,5 D440 TAN světlemodrý 475.935</t>
  </si>
  <si>
    <t>KG214</t>
  </si>
  <si>
    <t>hřeb PFN pr. 12 130° D240 ocel 273.132</t>
  </si>
  <si>
    <t>KG185</t>
  </si>
  <si>
    <t>šroub antirotační pr. 6,5 samořezný 234.085</t>
  </si>
  <si>
    <t>KG404</t>
  </si>
  <si>
    <t>šroub zajišťovací stardrive 2,7 mm ( hlava LCP 2.4), délka 30 402.230</t>
  </si>
  <si>
    <t>ZA311</t>
  </si>
  <si>
    <t>Hřeb PH nagel 10/7 Targon KE074T</t>
  </si>
  <si>
    <t>ZD301</t>
  </si>
  <si>
    <t>Šroub zajišťovací stardrive 3.5 mm 412.108</t>
  </si>
  <si>
    <t>ZH784</t>
  </si>
  <si>
    <t>Dlaha volární 2.5 mm adaptivní A-4750.61</t>
  </si>
  <si>
    <t>ZA267</t>
  </si>
  <si>
    <t>Šroub kortikální 3.5 mm 404.818</t>
  </si>
  <si>
    <t>ZC231</t>
  </si>
  <si>
    <t>Šroub fixační PH 4,5 mm Targon KB082T</t>
  </si>
  <si>
    <t>ZK924</t>
  </si>
  <si>
    <t>Šroub kompresní HBS2 midi 24 mm 26-810-24-09</t>
  </si>
  <si>
    <t>ZB938</t>
  </si>
  <si>
    <t>Hřeb se závity zamykatelný 2,5 x 26 mm TP26000</t>
  </si>
  <si>
    <t>ZL050</t>
  </si>
  <si>
    <t>Šroub kompresní HBS2 mini 24 mm 26-820-24-09</t>
  </si>
  <si>
    <t>ZA132</t>
  </si>
  <si>
    <t>Šroub zajišťovací stardrive 5.0 mm 212.210</t>
  </si>
  <si>
    <t>ZC996</t>
  </si>
  <si>
    <t>Hřeb targon PF nagel 10 x 180 mm 135° KD004T</t>
  </si>
  <si>
    <t>ZC168</t>
  </si>
  <si>
    <t>Pouzdro skluzné PF Targon KD183T</t>
  </si>
  <si>
    <t>ZC211</t>
  </si>
  <si>
    <t>Šroub fixační PH 4,5 mm Targon KB070T</t>
  </si>
  <si>
    <t>ZA301</t>
  </si>
  <si>
    <t>Šroub zajišťovací DFN 6.0 mm L65 450.865</t>
  </si>
  <si>
    <t>ZB897</t>
  </si>
  <si>
    <t>Čep zajišťovací 4.9 mm 459.360</t>
  </si>
  <si>
    <t>ZH227</t>
  </si>
  <si>
    <t>Kotvička zavrtávací vstřebatelná 5,5 mm 222233</t>
  </si>
  <si>
    <t>ZM979</t>
  </si>
  <si>
    <t>Šroub kortikální uzamykatelný 2,7 x 12 mm 397129701934</t>
  </si>
  <si>
    <t>KG405</t>
  </si>
  <si>
    <t>šroub zajišťovací stardrive 2,7 mm ( hlava LCP 2.4), délka 32 402.232</t>
  </si>
  <si>
    <t>ZO157</t>
  </si>
  <si>
    <t>Kotva ramenní FASTak s držadlem Suture Anchor 2,8 a 11,7 mm AR-1324HF</t>
  </si>
  <si>
    <t>ZI595</t>
  </si>
  <si>
    <t>Šroub zajišťovací stardrive 5.0 mm 04.005.538</t>
  </si>
  <si>
    <t>ZL024</t>
  </si>
  <si>
    <t>Šroub kortikální uzamykatelný smart-drive 2.5 x 24 mm 26-905-24-09</t>
  </si>
  <si>
    <t>ZE704</t>
  </si>
  <si>
    <t>Šroub zajišťovací stardrive 5.0 mm 04.005.520</t>
  </si>
  <si>
    <t>ZM978</t>
  </si>
  <si>
    <t>Dlaha radiální distální volární 6 x 3 otvory 55 mm levá 397129788713</t>
  </si>
  <si>
    <t>ZG802</t>
  </si>
  <si>
    <t>Šroub kortikální 3,5 mm 204.660</t>
  </si>
  <si>
    <t>ZK689</t>
  </si>
  <si>
    <t>Dlaha LCP metafyzální distální bérec 3,5 / 4,5 / 5,0 mm 224.776</t>
  </si>
  <si>
    <t>ZN703</t>
  </si>
  <si>
    <t>Šroub teleskopický Targon FN 110 + 10 mm KO828T</t>
  </si>
  <si>
    <t>ZF828</t>
  </si>
  <si>
    <t>Šroub spongiózní 3 mm/16 mm stabilní 716-100-030-016</t>
  </si>
  <si>
    <t>ZL391</t>
  </si>
  <si>
    <t>Dlaha na distální ulnu 2.5 mm Y 2/5 otvorů A-4750.91</t>
  </si>
  <si>
    <t>ZD022</t>
  </si>
  <si>
    <t>Šroub zajišťovací stardrive 2.7 mm 402.222</t>
  </si>
  <si>
    <t>ZI704</t>
  </si>
  <si>
    <t>Dlaha LCP distální tibie 3.5 mm mediální bez výběžku 02.112.519</t>
  </si>
  <si>
    <t>ZM944</t>
  </si>
  <si>
    <t>Hřeb expert femorální laterální 9.0 mm 04.003.256</t>
  </si>
  <si>
    <t>ZI459</t>
  </si>
  <si>
    <t>Šroub zajišťovací stardrive 5.0 mm 04.005.534</t>
  </si>
  <si>
    <t>ZD319</t>
  </si>
  <si>
    <t>Dlaha LCP 4.5 / 5.0 mm 226.601</t>
  </si>
  <si>
    <t>ZD160</t>
  </si>
  <si>
    <t>Šroub spongiózní 4.0 mm 207.026</t>
  </si>
  <si>
    <t>KG484</t>
  </si>
  <si>
    <t>dlaha DHP 2,7/3,5 dorso-lat pravá 5 otv. 441.264</t>
  </si>
  <si>
    <t>KG475</t>
  </si>
  <si>
    <t>dlaha LCP 3,5 na olekranon pravá 4 otv. D 436.504</t>
  </si>
  <si>
    <t>KG458</t>
  </si>
  <si>
    <t>šroub zajišťovací pr 3,5 samořezný D60 412.124</t>
  </si>
  <si>
    <t>ZE437</t>
  </si>
  <si>
    <t>Dlaha na klíční kost 11 otv. 750-100-011-011</t>
  </si>
  <si>
    <t>ZH352</t>
  </si>
  <si>
    <t>Šroub kortikální 3.5 mm 404.824</t>
  </si>
  <si>
    <t>ZG041</t>
  </si>
  <si>
    <t>Šroub kortikální 3 mm/24 mm nestabilní 716-115-030-024</t>
  </si>
  <si>
    <t>ZE095</t>
  </si>
  <si>
    <t>Šroub kanylovaný canos 3,5 x 26 mm 26-433-26-09</t>
  </si>
  <si>
    <t>ZA156</t>
  </si>
  <si>
    <t>Hlava zaslepovací expert pro hřeby tibiální   5 mm 04.004.001</t>
  </si>
  <si>
    <t>ZI285</t>
  </si>
  <si>
    <t>Šroub zajišťovací stardrive 2.7 mm 402.210</t>
  </si>
  <si>
    <t>ZE705</t>
  </si>
  <si>
    <t>Šroub zajišťovací stardrive 5.0 mm 04.005.528</t>
  </si>
  <si>
    <t>ZI861</t>
  </si>
  <si>
    <t>Hlava expert zaslepovací 12.0 mm 04.003.001</t>
  </si>
  <si>
    <t>ZH006</t>
  </si>
  <si>
    <t>Šroub zajišťovací stardrive 5.0 mm 04.005.542</t>
  </si>
  <si>
    <t>ZF860</t>
  </si>
  <si>
    <t>Šroub zajišťovací VA stardrive 3.5 mm 213.060</t>
  </si>
  <si>
    <t>ZI380</t>
  </si>
  <si>
    <t>Šroub zajišťovací stardrive 5.0 mm 212.218</t>
  </si>
  <si>
    <t>ZM853</t>
  </si>
  <si>
    <t>Drát K Medin 1,5 x 160 mm bal. á 10 ks 397129092480</t>
  </si>
  <si>
    <t>ZM854</t>
  </si>
  <si>
    <t>Drát K Medin 1,8 x 160 mm á 10 ks 397129092490</t>
  </si>
  <si>
    <t>ZC287</t>
  </si>
  <si>
    <t>Dlaha LCP proximální tibie 4.5/5.0 240.045</t>
  </si>
  <si>
    <t>ZA131</t>
  </si>
  <si>
    <t>Šroub zajišťovací stardrive 5.0 mm 212.208</t>
  </si>
  <si>
    <t>KG194</t>
  </si>
  <si>
    <t>čep zajišťovací pr. 4,9 samořezný 259.360</t>
  </si>
  <si>
    <t>ZA313</t>
  </si>
  <si>
    <t>Šroub fixační PH 4,5 mm Targon KB072T</t>
  </si>
  <si>
    <t>ZC213</t>
  </si>
  <si>
    <t>Šroub fixační PH 4,5 mm Targon KB074T</t>
  </si>
  <si>
    <t>ZA058</t>
  </si>
  <si>
    <t>Šroub zajišťovací VA stardrive 3.5 mm 213.010</t>
  </si>
  <si>
    <t>ZC204</t>
  </si>
  <si>
    <t>Šroub zajišťovací DFN 6.0 mm L60 450.864</t>
  </si>
  <si>
    <t>ZI505</t>
  </si>
  <si>
    <t>Dlaha přímá LCP 3,5 mm 7 otvorů 223.571</t>
  </si>
  <si>
    <t>ZF572</t>
  </si>
  <si>
    <t>Kotouč s cerklážním drátem 1,00 mm L10 291.050</t>
  </si>
  <si>
    <t>ZC141</t>
  </si>
  <si>
    <t>Šroub zajišťovací stardrive 4.0 mm 04.005.436</t>
  </si>
  <si>
    <t>ZD165</t>
  </si>
  <si>
    <t>Hřeb expert tibiální 9.0 mm 04.024.349</t>
  </si>
  <si>
    <t>ZF095</t>
  </si>
  <si>
    <t>Šroub kanylovaný canos 3,5 x 24 mm 26-433-24-09</t>
  </si>
  <si>
    <t>ZF951</t>
  </si>
  <si>
    <t>Dlaha radiální IXOS P4 wave 26-914-22-09</t>
  </si>
  <si>
    <t>ZE094</t>
  </si>
  <si>
    <t>Šroub kanylovaný canos 3,5 x 22 mm 26-433-22-09</t>
  </si>
  <si>
    <t>ZA292</t>
  </si>
  <si>
    <t>Šroub schanzův 5.0 mm L175/50 294.550</t>
  </si>
  <si>
    <t>ZO418</t>
  </si>
  <si>
    <t>Hřeb humerální H 8 mm 240 mm KE312T</t>
  </si>
  <si>
    <t>ZC142</t>
  </si>
  <si>
    <t>Šroub zajišťovací stardrive 4.0 mm 04.005.438</t>
  </si>
  <si>
    <t>ZK734</t>
  </si>
  <si>
    <t>Hřeb expert femorální laterální 10.0 mm 04.003.257</t>
  </si>
  <si>
    <t>ZH041</t>
  </si>
  <si>
    <t>Šroub zajišťovací stardrive 5.0 mm 04.005.526</t>
  </si>
  <si>
    <t>ZN732</t>
  </si>
  <si>
    <t>Šroub kompresní DartFire 2,5 mm x 18 mm D2N250-18</t>
  </si>
  <si>
    <t>ZD277</t>
  </si>
  <si>
    <t>Šroub zamykatelný 2,5 x 24 mm FP24</t>
  </si>
  <si>
    <t>ZG240</t>
  </si>
  <si>
    <t>Šroub kortikální 4.5 mm 214.852</t>
  </si>
  <si>
    <t>ZG584</t>
  </si>
  <si>
    <t>Šroub zajišťovací stardrive 5.0 mm 04.005.524</t>
  </si>
  <si>
    <t>ZK878</t>
  </si>
  <si>
    <t>Šroub kompresní HBS2 midi 17 mm 26-800-17-09</t>
  </si>
  <si>
    <t>ZG660</t>
  </si>
  <si>
    <t>Hřeb UTN tibiální 8.0 mm kompletní se zaslepovací hlavou plný 278.630</t>
  </si>
  <si>
    <t>ZF105</t>
  </si>
  <si>
    <t>Hřeb PH nagel 10/7 Targon KE023T</t>
  </si>
  <si>
    <t>KG236</t>
  </si>
  <si>
    <t>hřeb expert TN pr. 10 kanylovaný D330 TAN 04.004.446</t>
  </si>
  <si>
    <t>KJ736</t>
  </si>
  <si>
    <t>systém kotvící pro koleno TOOGLELOC ZIPLoop nastavitelná smyčka 904755</t>
  </si>
  <si>
    <t>KG419</t>
  </si>
  <si>
    <t>šroub kortikální stardrive 2,7 mm, délka 14 402.874</t>
  </si>
  <si>
    <t>ZO642</t>
  </si>
  <si>
    <t>Šroub kortikální ti smart - drive dvouzávitový 2,0 x 10 mm standard, samořezný 26-020-10-91</t>
  </si>
  <si>
    <t>ZO641</t>
  </si>
  <si>
    <t>Šroub kortikální ti smart - drive dvouzávitový 2,0 x 9 mm standard, samořezný 26-020-09-91</t>
  </si>
  <si>
    <t>ZO643</t>
  </si>
  <si>
    <t>Šroub kortikální ti smart - drive dvouzávitový 2,0 x 11 mm standard, samořezný 26-020-11-91</t>
  </si>
  <si>
    <t>ZO611</t>
  </si>
  <si>
    <t>Šroub kortikální ti smart - drive dvouzávitový 1,5 x 12 mm standard, samořezný 26-015-12-91</t>
  </si>
  <si>
    <t>ZO615</t>
  </si>
  <si>
    <t>Šroub kortikální ti smart - drive dvouzávitový 1,5 x 16 mm standard, samořezný 26-015-16-91</t>
  </si>
  <si>
    <t>ZO612</t>
  </si>
  <si>
    <t>Šroub kortikální ti smart - drive dvouzávitový 1,5 x 13 mm standard, samořezný 26-015-13-91</t>
  </si>
  <si>
    <t>ZO613</t>
  </si>
  <si>
    <t>Šroub kortikální ti smart - drive dvouzávitový 1,5 x 14 mm standard, samořezný 26-015-14-91</t>
  </si>
  <si>
    <t>ZA384</t>
  </si>
  <si>
    <t>Šroub kanylovaný canos 3,5 x 32 mm 26-433-32-09</t>
  </si>
  <si>
    <t>ZO768</t>
  </si>
  <si>
    <t>Hlava zaslepovací pro Targon PH a H KB615T</t>
  </si>
  <si>
    <t>ZO554</t>
  </si>
  <si>
    <t>Dlaha metakarpální a falangeální linos ti, anatomická, variabilní úhel, 2/5 otv. T-tvar, tl. 0,8 mm, d. 31,5 mm 26-108-08-09</t>
  </si>
  <si>
    <t>ZM007</t>
  </si>
  <si>
    <t>Hřeb DFN femorální distální 9.0 mm L340 451.707</t>
  </si>
  <si>
    <t>ZP047</t>
  </si>
  <si>
    <t>Šroub kortikální samořezný HA 3,5 x 60 mm 397129795411</t>
  </si>
  <si>
    <t>ZP040</t>
  </si>
  <si>
    <t>Šroub kortikální samořezný HA 3,5 x 16 mm 397129795241</t>
  </si>
  <si>
    <t>ZP041</t>
  </si>
  <si>
    <t>Šroub kortikální samořezný HA 3,5 x 46 mm 397129795451</t>
  </si>
  <si>
    <t>ZG238</t>
  </si>
  <si>
    <t>Šroub kortikální 4.5 mm 214.834</t>
  </si>
  <si>
    <t>ZH034</t>
  </si>
  <si>
    <t>Šroub kortikální 4.5 mm 214.830</t>
  </si>
  <si>
    <t>ZG580</t>
  </si>
  <si>
    <t>Šroub spongiózní 4.0 mm 207.014</t>
  </si>
  <si>
    <t>ZP045</t>
  </si>
  <si>
    <t>Šroub kortikální samořezný HA 3,5 x 48 mm 397129795461</t>
  </si>
  <si>
    <t>ZD565</t>
  </si>
  <si>
    <t>Šroub kortikální 3.5 mm 404.822</t>
  </si>
  <si>
    <t>ZD961</t>
  </si>
  <si>
    <t>Drát K-Wire 1.60 mm 492.160</t>
  </si>
  <si>
    <t>ZP027</t>
  </si>
  <si>
    <t>Šroub kortikální stardrive 2.7 mm 202.884</t>
  </si>
  <si>
    <t>ZP061</t>
  </si>
  <si>
    <t>Šroub kortikální TI pr. 4,0 mm délka 36 mm 28.30.136</t>
  </si>
  <si>
    <t>ZP092</t>
  </si>
  <si>
    <t>Šroub kortikální 4,0 x 26 mm pro ANKLE FIX 28.30.126</t>
  </si>
  <si>
    <t>ZA071</t>
  </si>
  <si>
    <t>Čep zajišťovací 3.9 mm L26 258.260</t>
  </si>
  <si>
    <t>ZF845</t>
  </si>
  <si>
    <t>Čep zajišťovací 3.9 mm L50 258.500</t>
  </si>
  <si>
    <t>ZP039</t>
  </si>
  <si>
    <t>Šroub kortikální samořezný HA 3,5 x 14 mm 397129795231</t>
  </si>
  <si>
    <t>ZD252</t>
  </si>
  <si>
    <t>Šroub kortikální stardrive 2.7 mm 402.880</t>
  </si>
  <si>
    <t>ZD687</t>
  </si>
  <si>
    <t>Šroub zamykatelný 2,5 x 10 mm FP10</t>
  </si>
  <si>
    <t>ZD304</t>
  </si>
  <si>
    <t>Šroub kortikální 3,5 x 18 mm CS18000</t>
  </si>
  <si>
    <t>ZE301</t>
  </si>
  <si>
    <t>Šroub kortikální 3 mm/20 mm nestabilní 716-115-030-020</t>
  </si>
  <si>
    <t>ZN055</t>
  </si>
  <si>
    <t>Šroub uzamykatelný samořezný 2,4 x 22 mm 397129701384</t>
  </si>
  <si>
    <t>ZM960</t>
  </si>
  <si>
    <t>Šroub uzamykatelný samořezný 2,4 x 20 mm 397129701374</t>
  </si>
  <si>
    <t>ZN056</t>
  </si>
  <si>
    <t>Šroub kortikální samořezný 2,7 x 16 mm 397129702554</t>
  </si>
  <si>
    <t>ZI311</t>
  </si>
  <si>
    <t>Čep zajišťovací 4.9 mm 459.320</t>
  </si>
  <si>
    <t>ZP091</t>
  </si>
  <si>
    <t>Šroub zamykací 4,0 x mm x 34 mm pro ANKLE FIX 28.30.034</t>
  </si>
  <si>
    <t>ZP089</t>
  </si>
  <si>
    <t>Šroub zamykací 4,0 x 28 mm pro ANKLE FIX 28.30.028</t>
  </si>
  <si>
    <t>ZK903</t>
  </si>
  <si>
    <t>Šroub kortikální uzamykatelný smart-drive 2.5 x 15 mm 26-905-15-09</t>
  </si>
  <si>
    <t>ZL004</t>
  </si>
  <si>
    <t>Šroub zajišťovací VA stardrive 3.5 mm 02.127.140</t>
  </si>
  <si>
    <t>ZL479</t>
  </si>
  <si>
    <t>Šroub zajišťovací VA stardrive 3.5 mm 02.127.136</t>
  </si>
  <si>
    <t>ZL191</t>
  </si>
  <si>
    <t>Šroub zajišťovací VA stardrive 3.5 mm 02.127.142</t>
  </si>
  <si>
    <t>ZA303</t>
  </si>
  <si>
    <t>Šroub zajišťovací DFN 6.0 mm L80 450.868</t>
  </si>
  <si>
    <t>ZP063</t>
  </si>
  <si>
    <t>Šroub zajišťovací Stardrive pr. 6.0 mm, délka 80 mm, pro hřeby nitrodřeňové, slitina titanu (TAN), tyrkysový 04.005.670</t>
  </si>
  <si>
    <t>ZA129</t>
  </si>
  <si>
    <t>Šroub zajišťovací stardrive 5.0 mm 212.206</t>
  </si>
  <si>
    <t>ZE279</t>
  </si>
  <si>
    <t>Šroub zajišťovací VA stardrive 3.5 mm 02.127.150</t>
  </si>
  <si>
    <t>KG395</t>
  </si>
  <si>
    <t>šroub zajišťovací stardrive 2,7 mm ( hlava LCP 2.4), délka 12 402.212</t>
  </si>
  <si>
    <t>ZK918</t>
  </si>
  <si>
    <t>Šroub zajišťovací 5.0 mm 02.221.512</t>
  </si>
  <si>
    <t>ZK917</t>
  </si>
  <si>
    <t>Šroub zajišťovací 5.0 mm 02.221.510</t>
  </si>
  <si>
    <t>ZM981</t>
  </si>
  <si>
    <t>Šroub uzamykatelný samořezný 2,4 x 18 mm 397129701364</t>
  </si>
  <si>
    <t>ZF545</t>
  </si>
  <si>
    <t>Šroub zajišťovací stardrive 2.7 mm 402.244</t>
  </si>
  <si>
    <t>ZP064</t>
  </si>
  <si>
    <t>Hlava zaslepovací tibie úhlově stabilní  Expert pro hřeb pro artrodézu hlezna, pro spirální čepel, slitina titanu (TAN), zlatá, sterilní 04.008.000S</t>
  </si>
  <si>
    <t>ZI498</t>
  </si>
  <si>
    <t>Dlaha přímá LCP 3,5 mm 9 otvorů 223.591</t>
  </si>
  <si>
    <t>ZI702</t>
  </si>
  <si>
    <t>Dlaha přímá LCP 3,5 mm 12 otvorů 223.621</t>
  </si>
  <si>
    <t>ZD501</t>
  </si>
  <si>
    <t>Šroub zajišťovací stardrive 3,5 mm 412.109</t>
  </si>
  <si>
    <t>ZP090</t>
  </si>
  <si>
    <t>Šroub zamykací 4,0 x mm x 32 mm pro ANKLE FIX 28.30.032</t>
  </si>
  <si>
    <t>ZD142</t>
  </si>
  <si>
    <t>Šroub kanylovaný 3.5 mm 205.250</t>
  </si>
  <si>
    <t>ZM856</t>
  </si>
  <si>
    <t>Drát K Medin 2,5 x 160 mm á 10 ks 397129092510</t>
  </si>
  <si>
    <t>ZP017</t>
  </si>
  <si>
    <t>Vrták pr. 2,7 mm pro PH Targon KH183R</t>
  </si>
  <si>
    <t>ZP048</t>
  </si>
  <si>
    <t>Dlaha radiální distální volární 6 x 4 otvory pravá 397129788813</t>
  </si>
  <si>
    <t>ZH019</t>
  </si>
  <si>
    <t>Dlaha rekonstrukční LCP 3,5 rovná s kombinovaným otvorem 8 otv. 245.081</t>
  </si>
  <si>
    <t>ZD320</t>
  </si>
  <si>
    <t>Dlaha LCP 4.5 / 5.0 mm 226.581</t>
  </si>
  <si>
    <t>ZM855</t>
  </si>
  <si>
    <t>Drát K Medin 2,0 x 160 mm bal. á 10 ks 397129092500</t>
  </si>
  <si>
    <t>ZP096</t>
  </si>
  <si>
    <t>Drát vodící Charlotte 2,5 mm x 230 mm 44182523</t>
  </si>
  <si>
    <t>ZF884</t>
  </si>
  <si>
    <t>Šroub kompresní HBS2 mini 21 mm 26-820-21-09</t>
  </si>
  <si>
    <t>ZL052</t>
  </si>
  <si>
    <t>Šroub kompresní HBS2 mini 26 mm 26-820-26-09</t>
  </si>
  <si>
    <t>ZA062</t>
  </si>
  <si>
    <t>Dlaha rekonstrukční LCP 3,5 rovná s kombinovaným otvorem 10 otv. 245.101</t>
  </si>
  <si>
    <t>ZG315</t>
  </si>
  <si>
    <t>Dlaha LCP 4.5 / 5.0 mm 229.411</t>
  </si>
  <si>
    <t>ZP057</t>
  </si>
  <si>
    <t>Šroub kyčelní stardrive pr. 6.5 mm pro Expert LFN 115 mm 04.003.033</t>
  </si>
  <si>
    <t>ZP065</t>
  </si>
  <si>
    <t>Vrtulka jistící femur spirální čepel pro Expert hřeb femorální retrográdní, délka 80 mm, slitina titanu (TAN), zlatá 04.013.048</t>
  </si>
  <si>
    <t>ZO921</t>
  </si>
  <si>
    <t>Čepel spinální pro DFN 450.885</t>
  </si>
  <si>
    <t>ZK738</t>
  </si>
  <si>
    <t>Šroub Milagro interferenční vstřebatelný 9 x 30 mm pro rekonstrukci křížového vazu 231825 (mitek)</t>
  </si>
  <si>
    <t>ZN243</t>
  </si>
  <si>
    <t>Šroub Milagro interferenční vstřebatelný 7 x 23 mm pro rekonstrukci křížového vazu 231800</t>
  </si>
  <si>
    <t>ZD921</t>
  </si>
  <si>
    <t>Dlaha anatomická DVR ext DVRAXL</t>
  </si>
  <si>
    <t>KG479</t>
  </si>
  <si>
    <t>dlaha LCP 2,4 vol n/dist-rad prod 441.145</t>
  </si>
  <si>
    <t>ZD123</t>
  </si>
  <si>
    <t>Hřeb DFN femorální distální 10.0 mm L380 451.729</t>
  </si>
  <si>
    <t>ZG811</t>
  </si>
  <si>
    <t>Hřeb DFN femorální distální 10.0 mm L340 451.727</t>
  </si>
  <si>
    <t>ZK512</t>
  </si>
  <si>
    <t>Hřeb expert femorální laterální 10.0 mm 04.003.361</t>
  </si>
  <si>
    <t>ZP066</t>
  </si>
  <si>
    <t>Hřeb Expert pro artrodézu hlezna úhlově stabilní pr. 12,0 mm, pravý, kanylovaný, délka 240 mm, slitina titanu (TAN), světle zelený, sterilní 04.008.228S</t>
  </si>
  <si>
    <t>KG261</t>
  </si>
  <si>
    <t>hřeb TN pr. 9 masivní D330 TAN 04.024.346</t>
  </si>
  <si>
    <t>ZI878</t>
  </si>
  <si>
    <t>Hřeb UTN tibiální 9.0 mm kompletní se zaslepovací hlavou plný 279.630</t>
  </si>
  <si>
    <t>ZH631</t>
  </si>
  <si>
    <t>Hřeb UTN tibiální 9.0 mm kompletní se zaslepovací hlavou plný 279.700</t>
  </si>
  <si>
    <t>ZL281</t>
  </si>
  <si>
    <t>Dlaha LCP distální tibie 3.5 mm anterolaterální 241.441</t>
  </si>
  <si>
    <t>ZP016</t>
  </si>
  <si>
    <t>Dlaha LCP tibie proximální posteromediální tibiální 3,5 mm 02.120.704</t>
  </si>
  <si>
    <t>ZP036</t>
  </si>
  <si>
    <t>Dlaha tibiální proximální mediální LCP 3,5 239.964</t>
  </si>
  <si>
    <t>ZI301</t>
  </si>
  <si>
    <t>Dlaha volární na distální radius 2.5 korekční  A-4750.18</t>
  </si>
  <si>
    <t>ZP088</t>
  </si>
  <si>
    <t>Dlaha pro dézu hlezna ANKLE FIX standard levá 28.14.101</t>
  </si>
  <si>
    <t>ZH049</t>
  </si>
  <si>
    <t>Hřeb expert TN pr. 10 mm 04.004.449</t>
  </si>
  <si>
    <t>ZC227</t>
  </si>
  <si>
    <t>Hřeb PH nagel 10/7 Targon KE071T</t>
  </si>
  <si>
    <t>ZO982</t>
  </si>
  <si>
    <t>Dlaha VA-LCP 3,5 mm proximální tibie 02.127.320</t>
  </si>
  <si>
    <t>ZP095</t>
  </si>
  <si>
    <t>Šroub kompresní 7,0mm Charlotte 70 mm x 16 mm závit 44177016</t>
  </si>
  <si>
    <t>KJ204</t>
  </si>
  <si>
    <t>dlaha humerální distální LCP etraartikulární pravá 6 otv. délka 158 mm, titan 04.104.006</t>
  </si>
  <si>
    <t>KJ205</t>
  </si>
  <si>
    <t>dlaha humerální distální LCP etraartikulární levá 6 otv. délka 158 mm, titan 04.104.026</t>
  </si>
  <si>
    <t>KG486</t>
  </si>
  <si>
    <t>dlaha DHP 2,7/3,5 dorso-lat pravá 7 otv. 441.266</t>
  </si>
  <si>
    <t>KH904</t>
  </si>
  <si>
    <t>stapler kožní PMR35-X</t>
  </si>
  <si>
    <t>KI081</t>
  </si>
  <si>
    <t>stapler kožní, široké svorky PMW35-X</t>
  </si>
  <si>
    <t>ZP032</t>
  </si>
  <si>
    <t>Obturátor pro artroskopický trokar (AR-3373-0302) 3,0 mm (Obturator Conical w/handle for 3,0 mm HF Scope Sheath System) AR-3375-0311</t>
  </si>
  <si>
    <t>ZP031</t>
  </si>
  <si>
    <t>Trokar artroskopický 3,0 mm 2 kohouty (Sheath, HF, TAP/FEN, 2 Stopcock for 3,0 mm Scope) AR-3372-0302</t>
  </si>
  <si>
    <t>ZP030</t>
  </si>
  <si>
    <t>Optika artroskopická na loket Arthrex úhel pohledu 30° průměr 3 mm délka 138 mm  HD autoklávovatelná AR-3350-3030</t>
  </si>
  <si>
    <t>ZE197</t>
  </si>
  <si>
    <t>Šití mopylen monofil modrý 4/0 USP bal. á 36 ks 7148</t>
  </si>
  <si>
    <t>ZF055</t>
  </si>
  <si>
    <t>Šití vicryl plus vi 2-0 bal. á 36 ks VCP466H</t>
  </si>
  <si>
    <t>ZD307</t>
  </si>
  <si>
    <t>Šití vicryl plus vi 2-0 bal. á 36 ks VCP969H</t>
  </si>
  <si>
    <t>ZO462</t>
  </si>
  <si>
    <t>Systém kotvící pro koleno ACL šití Fiber Wire 0 (3,5 metric) bal. á 12 ks AR-7250</t>
  </si>
  <si>
    <t>ZH588</t>
  </si>
  <si>
    <t>ChronOS strips 100 x 25 x 6 mm 07.801.111S</t>
  </si>
  <si>
    <t>ZI609</t>
  </si>
  <si>
    <t>ChronOS strips   50 x 25 x 3 mm 07.801.100S</t>
  </si>
  <si>
    <t>ZL171</t>
  </si>
  <si>
    <t>Kotva Omnispan na meniscus 0° 228140</t>
  </si>
  <si>
    <t>KJ731</t>
  </si>
  <si>
    <t>krytí hemostatické SEPTOCOLLE houbička kolagenní vstřebatelná s ATB 5 x 8 cm 3020020001</t>
  </si>
  <si>
    <t>ZD953</t>
  </si>
  <si>
    <t>Implantát šlachový tendon spacer TCTU1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</si>
  <si>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</si>
  <si>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</si>
  <si>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</si>
  <si>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</si>
  <si>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</si>
  <si>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</si>
  <si>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</si>
  <si>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</si>
  <si>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</si>
  <si>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</si>
  <si>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50115064</t>
  </si>
  <si>
    <t>529 SZM šicí materiál (112 02 106)</t>
  </si>
  <si>
    <t>50115040</t>
  </si>
  <si>
    <t>505 SZM laboratorní sklo a materiál (112 02 140)</t>
  </si>
  <si>
    <t>50115070</t>
  </si>
  <si>
    <t>513 SZM katetry (112 02 101)</t>
  </si>
  <si>
    <t>50115020</t>
  </si>
  <si>
    <t>Diagnostika (112 04 004, 132 01 004)</t>
  </si>
  <si>
    <t>50115079</t>
  </si>
  <si>
    <t>542 SZM Intenzivní péče (112 02 100)</t>
  </si>
  <si>
    <t>TRAU: pracoviště COS</t>
  </si>
  <si>
    <t>50115004</t>
  </si>
  <si>
    <t>506 SZM umělé tělní náhrady kovové (112 02 030)</t>
  </si>
  <si>
    <t>50115080</t>
  </si>
  <si>
    <t>523 SZM staplery, endosk., optika, extraktory (112 02 102)</t>
  </si>
  <si>
    <t>50115011</t>
  </si>
  <si>
    <t>515 SZM umělé tělní náhrady ostatní (112 02 030)</t>
  </si>
  <si>
    <t>Spotřeba zdravotnického materiálu - orientační přehled</t>
  </si>
  <si>
    <t>ON Data</t>
  </si>
  <si>
    <t>Specializovaná ambulantní péče</t>
  </si>
  <si>
    <t>503 - Pracoviště úrazové chirurgie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</si>
  <si>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</si>
  <si>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</si>
  <si>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</si>
  <si>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</si>
  <si>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</si>
  <si>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Doležel Michal</t>
  </si>
  <si>
    <t>Zdravotní výkony vykázané na pracovišti v rámci ambulantní péče dle lékařů *</t>
  </si>
  <si>
    <t>06</t>
  </si>
  <si>
    <t>503</t>
  </si>
  <si>
    <t>1</t>
  </si>
  <si>
    <t>0000502</t>
  </si>
  <si>
    <t>MESOCAIN 1%</t>
  </si>
  <si>
    <t>0055824</t>
  </si>
  <si>
    <t>0067547</t>
  </si>
  <si>
    <t>0089869</t>
  </si>
  <si>
    <t>0192143</t>
  </si>
  <si>
    <t>0146684</t>
  </si>
  <si>
    <t>10% GLUCOSE IN WATER FOR INJECTION FRESENIUS</t>
  </si>
  <si>
    <t>V</t>
  </si>
  <si>
    <t>09237</t>
  </si>
  <si>
    <t>OŠETŘENÍ A PŘEVAZ RÁNY VČETNĚ OŠETŘENÍ KOŽNÍCH A P</t>
  </si>
  <si>
    <t>09241</t>
  </si>
  <si>
    <t>OŠETŘENÍ A PŘEVAZ RÁNY, KOŽNÍCH A PODKOŽNÍCH AFEKC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</si>
  <si>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</si>
  <si>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</si>
  <si>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</si>
  <si>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</si>
  <si>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</si>
  <si>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</si>
  <si>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51023</t>
  </si>
  <si>
    <t>KONTROLNÍ VYŠETŘENÍ CHIRURGEM</t>
  </si>
  <si>
    <t>51853</t>
  </si>
  <si>
    <t>CIRKULÁRNÍ SÁDROVÝ OBVAZ - PRSTY, RUKA, PŘEDLOKTÍ</t>
  </si>
  <si>
    <t>51859</t>
  </si>
  <si>
    <t>FIXAČNÍ SÁDROVÁ DLAHA - NOHA, BÉREC</t>
  </si>
  <si>
    <t>51863</t>
  </si>
  <si>
    <t>FIXAČNÍ SÁDROVÁ DLAHA CELÉ DOLNÍ KONČETINY</t>
  </si>
  <si>
    <t>51869</t>
  </si>
  <si>
    <t>SEJMUTÍ CIRKULÁRNÍ SÁDROVÉ FIXACE NA KONČETINÁCH</t>
  </si>
  <si>
    <t>51877</t>
  </si>
  <si>
    <t>PŘILOŽENÍ LÉČEBNÉ POMŮCKY - ORTÉZY</t>
  </si>
  <si>
    <t>53023</t>
  </si>
  <si>
    <t>KONTROLNÍ VYŠETŘENÍ TRAUMATOLOGEM</t>
  </si>
  <si>
    <t>61129</t>
  </si>
  <si>
    <t>EXCIZE KOŽNÍ LÉZE, SUTURA OD 2 DO 10 CM</t>
  </si>
  <si>
    <t>61209</t>
  </si>
  <si>
    <t>TENOLÝZA FLEXORU</t>
  </si>
  <si>
    <t>61219</t>
  </si>
  <si>
    <t>TENOLÝZA EXTENZORU</t>
  </si>
  <si>
    <t>61247</t>
  </si>
  <si>
    <t>OPERACE KARPÁLNÍHO TUNELU</t>
  </si>
  <si>
    <t>66813</t>
  </si>
  <si>
    <t>ODSTRANĚNÍ OSTEOSYNTETICKÉHO MATERIÁLU</t>
  </si>
  <si>
    <t>66823</t>
  </si>
  <si>
    <t>ODSTRANĚNÍ ZEVNÍHO FIXATÉRU</t>
  </si>
  <si>
    <t>66833</t>
  </si>
  <si>
    <t>ODSTRANĚNÍ CIZÍHO TĚLESA Z RÁNY</t>
  </si>
  <si>
    <t>66949</t>
  </si>
  <si>
    <t>PUNKCE KLOUBNÍ S APLIKACÍ LÉČIVA</t>
  </si>
  <si>
    <t>71653</t>
  </si>
  <si>
    <t>ZAVŘENÁ REPOZICE FRAKTURY KŮSTEK NOSNÍCH</t>
  </si>
  <si>
    <t>09543</t>
  </si>
  <si>
    <t>Signalni kod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</si>
  <si>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</si>
  <si>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</si>
  <si>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</si>
  <si>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</si>
  <si>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</si>
  <si>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</si>
  <si>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</si>
  <si>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</si>
  <si>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51861</t>
  </si>
  <si>
    <t>CIRKULÁRNÍ SÁDROVÝ OBVAZ - NOHA, BÉREC</t>
  </si>
  <si>
    <t>61115</t>
  </si>
  <si>
    <t xml:space="preserve">REVIZE, EXCIZE A SUTURA PORANĚNÍ KŮŽE A PODKOŽÍ A </t>
  </si>
  <si>
    <t>51851</t>
  </si>
  <si>
    <t>FIXAČNÍ SÁDROVÁ DLAHA - RUKA, PŘEDLOKTÍ</t>
  </si>
  <si>
    <t>09219</t>
  </si>
  <si>
    <t xml:space="preserve">INTRAVENÓZNÍ INJEKCE U DOSPĚLÉHO ČI DÍTĚTE NAD 10 </t>
  </si>
  <si>
    <t>53022</t>
  </si>
  <si>
    <t>CÍLENÉ VYŠETŘENÍ TRAUMATOLOGEM</t>
  </si>
  <si>
    <t>53115</t>
  </si>
  <si>
    <t>ZAVŘENÁ REPOZICE LUXACE KARPU NEBO INTRAARTIKULÁRN</t>
  </si>
  <si>
    <t>61245</t>
  </si>
  <si>
    <t>FENESTRACE ŠLACHOVÉ POCHVY</t>
  </si>
  <si>
    <t>09239</t>
  </si>
  <si>
    <t>SUTURA RÁNY A PODKOŽÍ DO 5 CM</t>
  </si>
  <si>
    <t>09115</t>
  </si>
  <si>
    <t>ODBĚR BIOLOGICKÉHO MATERIÁLU JINÉHO NEŽ KREV NA KV</t>
  </si>
  <si>
    <t>51811</t>
  </si>
  <si>
    <t>ABSCES NEBO HEMATOM SUBKUTANNÍ, PILONIDÁLNÍ, INTRA</t>
  </si>
  <si>
    <t>51855</t>
  </si>
  <si>
    <t>FIXAČNÍ SÁDROVÁ DLAHA CELÉ HORNÍ KONČETINY</t>
  </si>
  <si>
    <t>66837</t>
  </si>
  <si>
    <t>EXSTIRPACE BURZY NEBO GANGLIA - POVRCHOVÁ</t>
  </si>
  <si>
    <t>53411</t>
  </si>
  <si>
    <t>NÁPLASŤOVÁ FIXACE ZLOMENINY KOSTNÍHO ČLÁNKU NEBO M</t>
  </si>
  <si>
    <t>51870</t>
  </si>
  <si>
    <t>DOTOČENÍ SÁDROVÉHO OBVAZU</t>
  </si>
  <si>
    <t>51817</t>
  </si>
  <si>
    <t>OŠETŘENÍ NEHTU NA RUCE, NOZE (FENESTRACE, PARCIÁLN</t>
  </si>
  <si>
    <t>53117</t>
  </si>
  <si>
    <t>ZAVŘENÁ REPOZICE LUXACE LOKETNÍHO KLOUBU NEBO HLAV</t>
  </si>
  <si>
    <t>51865</t>
  </si>
  <si>
    <t>CIRKULÁRNÍ SÁDROVÝ OBVAZ NA DOLNÍ KONČETINĚ</t>
  </si>
  <si>
    <t>66421</t>
  </si>
  <si>
    <t>BIOPSIE, INCIZE A DRENÁŽ NA RUCE ČI ZÁPĚSTÍ</t>
  </si>
  <si>
    <t>51867</t>
  </si>
  <si>
    <t>PŘIPEVNĚNÍ NÁŠLAPNÉHO PODPATKU NA STÁVAJÍCÍ SÁDROV</t>
  </si>
  <si>
    <t>66811</t>
  </si>
  <si>
    <t>INJEKCE DO BURZY, GANGLIA, POCHVY ŠLACHOVÉ</t>
  </si>
  <si>
    <t>51857</t>
  </si>
  <si>
    <t xml:space="preserve">CIRKULÁRNÍ SÁDROVÝ OBVAZ - CELÁ HORNÍ KONČETINA - </t>
  </si>
  <si>
    <t>53111</t>
  </si>
  <si>
    <t>ZAVŘENÁ REPOZICE ZLOMENINY NEBO LUXACE JEDNÉ FALAN</t>
  </si>
  <si>
    <t>66825</t>
  </si>
  <si>
    <t>UPRAVENÍ ZEVNÍHO FIXATÉRU</t>
  </si>
  <si>
    <t>61211</t>
  </si>
  <si>
    <t>REKONSTRUKCE ŠLACHOVÉHO POUTKA</t>
  </si>
  <si>
    <t>09234</t>
  </si>
  <si>
    <t>OŠETŘENÍ NEHTU, INCIZE SUBKUTÁNNÍHO ABSCESU NEBO H</t>
  </si>
  <si>
    <t>52109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</si>
  <si>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</si>
  <si>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lékaře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</si>
  <si>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</si>
  <si>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</si>
  <si>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</si>
  <si>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</si>
  <si>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</si>
  <si>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</si>
  <si>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</si>
  <si>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10 - Dětská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</si>
  <si>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</si>
  <si>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</si>
  <si>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</si>
  <si>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</si>
  <si>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</si>
  <si>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</si>
  <si>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</si>
  <si>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26 - Oddělení rehabilitace</t>
  </si>
  <si>
    <t>30 - Oddělení geriatrie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</si>
  <si>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</si>
  <si>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</si>
  <si>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</si>
  <si>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</si>
  <si>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</si>
  <si>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</si>
  <si>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</si>
  <si>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</si>
  <si>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</si>
  <si>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10</t>
  </si>
  <si>
    <t>66127</t>
  </si>
  <si>
    <t>MANIPULACE V CELKOVÉ NEBO LOKÁLNÍ ANESTÉZII</t>
  </si>
  <si>
    <t>5F3</t>
  </si>
  <si>
    <t>12</t>
  </si>
  <si>
    <t>13</t>
  </si>
  <si>
    <t>16</t>
  </si>
  <si>
    <t>17</t>
  </si>
  <si>
    <t>18</t>
  </si>
  <si>
    <t>20</t>
  </si>
  <si>
    <t>21</t>
  </si>
  <si>
    <t>26</t>
  </si>
  <si>
    <t>30</t>
  </si>
  <si>
    <t>501</t>
  </si>
  <si>
    <t>51423</t>
  </si>
  <si>
    <t>DIVULZE ANU EV. S VYNĚTÍM CIZÍHO TĚLESA A MANUÁLNÍ</t>
  </si>
  <si>
    <t>51111</t>
  </si>
  <si>
    <t>OPERACE CYSTY NEBO HEMANGIOMU NEBO LIPOMU NEBO PIL</t>
  </si>
  <si>
    <t>62310</t>
  </si>
  <si>
    <t>NEKREKTOMIE DO 1% POVRCHU TĚLA</t>
  </si>
  <si>
    <t>61225</t>
  </si>
  <si>
    <t>NEUROLÝZA</t>
  </si>
  <si>
    <t>62610</t>
  </si>
  <si>
    <t>ODBĚR DERMOEPIDERMÁLNÍHO ŠTĚPU DO 1 % POVRCHU TĚLA</t>
  </si>
  <si>
    <t>5F1</t>
  </si>
  <si>
    <t>51343</t>
  </si>
  <si>
    <t>LOKÁLNÍ EXCIZE JATER NEBO OŠETŘENÍ MALÉ TRHLINY JA</t>
  </si>
  <si>
    <t>51353</t>
  </si>
  <si>
    <t>PUNKCE, ODSÁTÍ TENKÉHO STŘEVA, MANIPULACE SE STŘEV</t>
  </si>
  <si>
    <t>51394</t>
  </si>
  <si>
    <t>UZÁVĚR STĚNY BŘIŠNÍ PO EVISCERACI</t>
  </si>
  <si>
    <t>54990</t>
  </si>
  <si>
    <t>ODBĚR ŽILNÍHO ŠTĚPU</t>
  </si>
  <si>
    <t>57251</t>
  </si>
  <si>
    <t>KLÍNOVITÁ RESEKCE PLIC NEBO ENUKLEACE TUMORU</t>
  </si>
  <si>
    <t>54190</t>
  </si>
  <si>
    <t>OSTATNÍ REKONSTRUKCE TEPEN A BY-PASSY</t>
  </si>
  <si>
    <t>51386</t>
  </si>
  <si>
    <t>SUTURA EV. EXCIZE A SUTURA LÉZE STĚNY ŽALUDKU NEBO</t>
  </si>
  <si>
    <t>APENDEKTOMIE NEBO OPERAČNÍ DRENÁŽ PERIAPENDIKULÁRN</t>
  </si>
  <si>
    <t>57215</t>
  </si>
  <si>
    <t>RESEKCE HRUDNÍ STĚNY</t>
  </si>
  <si>
    <t>57235</t>
  </si>
  <si>
    <t>TORAKOTOMIE PROSTÁ NEBO S BIOPSIÍ, EVAKUACÍ HEMATO</t>
  </si>
  <si>
    <t>57221</t>
  </si>
  <si>
    <t>OPERAČNÍ STABILIZACE HRUDNÍKU PO ÚRAZE - JEDNA STR</t>
  </si>
  <si>
    <t>57237</t>
  </si>
  <si>
    <t>SUTURA RUPTUTY BRÁNICE TORAKOTOMICKÝM PŘÍSTUPEM</t>
  </si>
  <si>
    <t>0003952</t>
  </si>
  <si>
    <t>AMIKIN 500 MG</t>
  </si>
  <si>
    <t>0008807</t>
  </si>
  <si>
    <t>0011706</t>
  </si>
  <si>
    <t>0011785</t>
  </si>
  <si>
    <t>AMIKIN 1 G</t>
  </si>
  <si>
    <t>0016600</t>
  </si>
  <si>
    <t>0025746</t>
  </si>
  <si>
    <t>INVANZ</t>
  </si>
  <si>
    <t>0053922</t>
  </si>
  <si>
    <t>CIPHIN PRO INFUSIONE 200 MG/100 ML</t>
  </si>
  <si>
    <t>0058092</t>
  </si>
  <si>
    <t>CEFAZOLIN SANDOZ</t>
  </si>
  <si>
    <t>HAEMOCOMPLETTAN P</t>
  </si>
  <si>
    <t>0068998</t>
  </si>
  <si>
    <t>AMPICILIN 1,0 BIOTIKA</t>
  </si>
  <si>
    <t>0072972</t>
  </si>
  <si>
    <t>AMOKSIKLAV 1,2 G</t>
  </si>
  <si>
    <t>0076354</t>
  </si>
  <si>
    <t>FORTUM</t>
  </si>
  <si>
    <t>0076360</t>
  </si>
  <si>
    <t>ZINACEF</t>
  </si>
  <si>
    <t>0083050</t>
  </si>
  <si>
    <t>SEFOTAK 1 G</t>
  </si>
  <si>
    <t>0087239</t>
  </si>
  <si>
    <t>FANHDI</t>
  </si>
  <si>
    <t>0087240</t>
  </si>
  <si>
    <t>0092290</t>
  </si>
  <si>
    <t>EDICIN</t>
  </si>
  <si>
    <t>0094176</t>
  </si>
  <si>
    <t>CEFOTAXIME LEK</t>
  </si>
  <si>
    <t>0096414</t>
  </si>
  <si>
    <t>GENTAMICIN LEK 80 MG/2 ML</t>
  </si>
  <si>
    <t>0097000</t>
  </si>
  <si>
    <t>0144328</t>
  </si>
  <si>
    <t>GARAMYCIN SCHWAMM</t>
  </si>
  <si>
    <t>0151458</t>
  </si>
  <si>
    <t>0162187</t>
  </si>
  <si>
    <t>0164350</t>
  </si>
  <si>
    <t>TAZOCIN 4 G/0,5 G</t>
  </si>
  <si>
    <t>0164401</t>
  </si>
  <si>
    <t>0162496</t>
  </si>
  <si>
    <t>TAZIP</t>
  </si>
  <si>
    <t>0156835</t>
  </si>
  <si>
    <t>MEROPENEM KABI</t>
  </si>
  <si>
    <t>0202911</t>
  </si>
  <si>
    <t>DILIZOLEN</t>
  </si>
  <si>
    <t>2</t>
  </si>
  <si>
    <t>0007917</t>
  </si>
  <si>
    <t>Erytrocyty bez buffy coatu</t>
  </si>
  <si>
    <t>0007955</t>
  </si>
  <si>
    <t>Erytrocyty deleukotizované</t>
  </si>
  <si>
    <t>0007963</t>
  </si>
  <si>
    <t>Erytrocyty z aferézy</t>
  </si>
  <si>
    <t>0107936</t>
  </si>
  <si>
    <t>Trombocyty z buffy coatu směsné, deleukotizované</t>
  </si>
  <si>
    <t>0207921</t>
  </si>
  <si>
    <t>Plazma čerstvá zmrazená</t>
  </si>
  <si>
    <t>3</t>
  </si>
  <si>
    <t>0001018</t>
  </si>
  <si>
    <t>ŠROUB SAMOŘEZNÝ KORTIKÁLNÍ MALÝ FRAGMENTY OCEL</t>
  </si>
  <si>
    <t>0001027</t>
  </si>
  <si>
    <t>0001052</t>
  </si>
  <si>
    <t>DLAHA LC-DCP ROVNÁ MALÉ FRAGMENT OCEL</t>
  </si>
  <si>
    <t>0001054</t>
  </si>
  <si>
    <t>0001137</t>
  </si>
  <si>
    <t>ŠROUB SAMOŘEZNÝ KORTIKÁLNÍ RUKA OCEL</t>
  </si>
  <si>
    <t>0001154</t>
  </si>
  <si>
    <t>0001203</t>
  </si>
  <si>
    <t>0001288</t>
  </si>
  <si>
    <t>DLAHA ADAPTAČNÍ  MINI FRAGMENT OCEL TITAN</t>
  </si>
  <si>
    <t>0001291</t>
  </si>
  <si>
    <t>DLAHA LC-DCP ROVNÁ MINI FRAGMENT OCEL</t>
  </si>
  <si>
    <t>0001308</t>
  </si>
  <si>
    <t>DLAHA ADAPTAČNÍ  MINI FRAGMENT OCEL</t>
  </si>
  <si>
    <t>0001588</t>
  </si>
  <si>
    <t>ŠROUB SAMOŘEZNÝ KORTIKÁLNÍ MALÝ FRAGMENTY TITAN</t>
  </si>
  <si>
    <t>0001719</t>
  </si>
  <si>
    <t>DRÁT CERKLÁŽNÍ OCEL</t>
  </si>
  <si>
    <t>0001739</t>
  </si>
  <si>
    <t>DRÁT KIRSCHNERŮV OCEL</t>
  </si>
  <si>
    <t>0001740</t>
  </si>
  <si>
    <t>0001948</t>
  </si>
  <si>
    <t>ŠROUB SAMOŘEZNÝ KANYLOVANÝ OCEL</t>
  </si>
  <si>
    <t>0002062</t>
  </si>
  <si>
    <t>ZASLEPOVACÍ HLAVA TIBIE OCEL</t>
  </si>
  <si>
    <t>0002264</t>
  </si>
  <si>
    <t>FIXÁTOR ZEVNÍ TRUBKOVÝ, SYNTHES</t>
  </si>
  <si>
    <t>0002370</t>
  </si>
  <si>
    <t>FIXÁTOR ZEVNÍ JEDNOROVINNÝ/DVOUROVINNÝ TRUBKOVÝ, S</t>
  </si>
  <si>
    <t>0002408</t>
  </si>
  <si>
    <t>0002425</t>
  </si>
  <si>
    <t>0002968</t>
  </si>
  <si>
    <t>DLAHA ROVNÁ REKONSTRUKČNÍ PÁNEV MALÝ FRAGMENT OCEL</t>
  </si>
  <si>
    <t>0003008</t>
  </si>
  <si>
    <t>0004070</t>
  </si>
  <si>
    <t>ŠROUB LCP A VA-LCP SAMOŘEZNÝ MALÝ FRAGMENT OCEL</t>
  </si>
  <si>
    <t>0004073</t>
  </si>
  <si>
    <t>0004077</t>
  </si>
  <si>
    <t>0004080</t>
  </si>
  <si>
    <t>0004085</t>
  </si>
  <si>
    <t>0004614</t>
  </si>
  <si>
    <t>DLAHA LCP HUMERUS PROXIMÁLNÍ MALÝ FRAGMENT OCEL</t>
  </si>
  <si>
    <t>0006837</t>
  </si>
  <si>
    <t>ŠROUB KORTIKÁLNÍ SAMOVRTNÝ                 101XX</t>
  </si>
  <si>
    <t>0006853</t>
  </si>
  <si>
    <t>FIXÁTOR ZEVNÍ JEDNOROVINNÝ ZÁPĚSTÍ PENNIG II</t>
  </si>
  <si>
    <t>0006854</t>
  </si>
  <si>
    <t>0010457</t>
  </si>
  <si>
    <t>ČEP SAMOŘEZNÝ JISTÍCÍ OCEL</t>
  </si>
  <si>
    <t>0010484</t>
  </si>
  <si>
    <t>0010678</t>
  </si>
  <si>
    <t>HŘEB STANDARDNÍ TIBIE OCEL TITAN</t>
  </si>
  <si>
    <t>0010767</t>
  </si>
  <si>
    <t>0010768</t>
  </si>
  <si>
    <t>0017333</t>
  </si>
  <si>
    <t>DLAHA MALÝ FRAGMENT OCEL</t>
  </si>
  <si>
    <t>0017413</t>
  </si>
  <si>
    <t>ŠROUB SPONGIOZNÍ MALÝ FRAGMENT OCEL</t>
  </si>
  <si>
    <t>0017419</t>
  </si>
  <si>
    <t>PODLOŽKA OCEL</t>
  </si>
  <si>
    <t>0017422</t>
  </si>
  <si>
    <t>ŠROUB KORTIKÁLNÍ VELKÝ FRAGMENT OCEL</t>
  </si>
  <si>
    <t>0017424</t>
  </si>
  <si>
    <t>0017486</t>
  </si>
  <si>
    <t>ŠROUB VELKÝ FRAGMENT MALEOLÁRNÍ OCEL</t>
  </si>
  <si>
    <t>0017492</t>
  </si>
  <si>
    <t>ŠROUB KANYLOVANÝ MALÝ FRAGMENT OCEL</t>
  </si>
  <si>
    <t>0017735</t>
  </si>
  <si>
    <t>0017743</t>
  </si>
  <si>
    <t>0017745</t>
  </si>
  <si>
    <t>0017746</t>
  </si>
  <si>
    <t>0017748</t>
  </si>
  <si>
    <t>0017749</t>
  </si>
  <si>
    <t>0017751</t>
  </si>
  <si>
    <t>0018678</t>
  </si>
  <si>
    <t>CEMENT KOSTNÍ PALACOS R - 40 + GENTAMICINUM  2X40G</t>
  </si>
  <si>
    <t>0024982</t>
  </si>
  <si>
    <t xml:space="preserve">KOTVIČKA TITANOVÁ PRO CHIR.RUKY MINI,MINI LS,MINI </t>
  </si>
  <si>
    <t>0024993</t>
  </si>
  <si>
    <t>KOTVIČKA TITANOVÁ GII SNAP-PAK PRO STABILIZACI RAM</t>
  </si>
  <si>
    <t>0027737</t>
  </si>
  <si>
    <t>DLAHA LCP ROVNÁ MALÝ FRAGMENT OCEL</t>
  </si>
  <si>
    <t>0027766</t>
  </si>
  <si>
    <t>DLAHA LCP ROVNÁ VELKÝ FRAGMENT OCEL</t>
  </si>
  <si>
    <t>0027807</t>
  </si>
  <si>
    <t>DLAHA ROVNÁ LCP REKONSTRUKČNÍ MALÝ FRAGMENT OCEL</t>
  </si>
  <si>
    <t>0027816</t>
  </si>
  <si>
    <t>0030400</t>
  </si>
  <si>
    <t>ŠROUB LCP SAMOŘEZNÝ VELKÝ FRAGMENT OCEL</t>
  </si>
  <si>
    <t>0030409</t>
  </si>
  <si>
    <t>0030415</t>
  </si>
  <si>
    <t>0030454</t>
  </si>
  <si>
    <t>ŠROUB LCP SAMOŘEZNÝ MALÝ FRAGMENT TITAN</t>
  </si>
  <si>
    <t>0030458</t>
  </si>
  <si>
    <t>0030462</t>
  </si>
  <si>
    <t>0030617</t>
  </si>
  <si>
    <t>STAPLER KOŽNÍ ROYAL - 35W</t>
  </si>
  <si>
    <t>0030647</t>
  </si>
  <si>
    <t>SÍŤKA SURGIPRO MESH</t>
  </si>
  <si>
    <t>0030724</t>
  </si>
  <si>
    <t>DLAHA LCP PATNÍ OCEL MALÝ FRAGMENT TITAN</t>
  </si>
  <si>
    <t>0031337</t>
  </si>
  <si>
    <t>0031437</t>
  </si>
  <si>
    <t>DLAHA LCP A VA-LCP HUMERUS DISTÁLNÍ MALÝ FRAGMENT</t>
  </si>
  <si>
    <t>0031468</t>
  </si>
  <si>
    <t>DLAHA LCP TIBIE PROXIMÁLNÍ OCEL MALÝ FRAGMENT TITA</t>
  </si>
  <si>
    <t>0031469</t>
  </si>
  <si>
    <t>0031495</t>
  </si>
  <si>
    <t>DLAHA LCP FEMUR DISTÁLNÍ VELKÝ FRAGMENT OCEL TITAN</t>
  </si>
  <si>
    <t>0031591</t>
  </si>
  <si>
    <t>NÁHRADA RAMENNÍHO KLOUBU 1350.15.010 - 030</t>
  </si>
  <si>
    <t>0031597</t>
  </si>
  <si>
    <t>NÁHRADA RAMENNÍHO KLOUBU 1306.15.120 - 200</t>
  </si>
  <si>
    <t>0031604</t>
  </si>
  <si>
    <t>NÁHRADA RAM. KLOUBU 1330.15.270 A 1331.15.270</t>
  </si>
  <si>
    <t>0031605</t>
  </si>
  <si>
    <t>NÁHRADA RAM. KLOUBU 1330.15.27. A 1331.15.27.</t>
  </si>
  <si>
    <t>0031933</t>
  </si>
  <si>
    <t>ZASLEPOVACÍ HLAVA TIBIE ÚHLOVĚ STABILNÍ TITAN</t>
  </si>
  <si>
    <t>0031938</t>
  </si>
  <si>
    <t>HŘEB KANYLOVANÝ TIBIE UHLOVĚ STABILNÍ TITAN</t>
  </si>
  <si>
    <t>0031983</t>
  </si>
  <si>
    <t>ŠROUB STARDRIVE ZAJIŠŤOVACÍ TITAN</t>
  </si>
  <si>
    <t>0034884</t>
  </si>
  <si>
    <t>0035002</t>
  </si>
  <si>
    <t>ŠROUB STARDRIVE SAMOŘEZNÝ SPONGIOZNÍ ZAJIŠŤOVACÍ T</t>
  </si>
  <si>
    <t>0035016</t>
  </si>
  <si>
    <t>HŘEB TIBIE UHLOVĚ STABILNÍ TITAN</t>
  </si>
  <si>
    <t>0039430</t>
  </si>
  <si>
    <t>ŠROUB HERBERT, TI</t>
  </si>
  <si>
    <t>0042049</t>
  </si>
  <si>
    <t>DLAHA VOLÁRNÍ KOREKČNÍ,  APTUS RADIUS 2,5</t>
  </si>
  <si>
    <t>0042393</t>
  </si>
  <si>
    <t>ŠROUB KORTIKÁLNÍ HEXA DRIVE 7, APTUS RADIUS 2,5</t>
  </si>
  <si>
    <t>0042394</t>
  </si>
  <si>
    <t>0043151</t>
  </si>
  <si>
    <t>ŠTĚP ALLOGENNÍ KOSTNÍ SPONGIOZNÍ ZMRAZENÝ  HLAVICE</t>
  </si>
  <si>
    <t>0056292</t>
  </si>
  <si>
    <t>KATETR BALÓNKOVÝ FOGARTY EMBOLEKTOMICKÝ - 120805F</t>
  </si>
  <si>
    <t>0067020</t>
  </si>
  <si>
    <t xml:space="preserve">IMPLANTÁT SPINÁLNÍ SYSTÉM CERVIFIX                </t>
  </si>
  <si>
    <t>0067160</t>
  </si>
  <si>
    <t>IMPLANTÁT ORBITÁLNÍ PDS ZX3,ZX4,ZX7 VSTŘEBATELNÝ</t>
  </si>
  <si>
    <t>0069290</t>
  </si>
  <si>
    <t>PIN VSTŘEBATELNÝ OTPS</t>
  </si>
  <si>
    <t>0069500</t>
  </si>
  <si>
    <t>KANYLA TRACHEOSTOMICKÁ  S NÍZKOTLAKOU  MANŽETOU</t>
  </si>
  <si>
    <t>0070576</t>
  </si>
  <si>
    <t xml:space="preserve">KOTVIČKA VSTŘEBATELNÁ LUPINE LOOP PRO STABILIZACI </t>
  </si>
  <si>
    <t>0070613</t>
  </si>
  <si>
    <t>NÁHRADA LOKETNÍHO KLOUBU EXPLOR</t>
  </si>
  <si>
    <t>0070614</t>
  </si>
  <si>
    <t>0070845</t>
  </si>
  <si>
    <t>DLAHA HÁČKOVÁ LCP KLÍČNÍ KOST TITAN</t>
  </si>
  <si>
    <t>0070875</t>
  </si>
  <si>
    <t>ČEP SAMOŘEZNÝ JISTÍCÍ TITAN</t>
  </si>
  <si>
    <t>0070958</t>
  </si>
  <si>
    <t>ŠROUB NOSNÝ FEMUR PROXIMÁLNÍ OCEL</t>
  </si>
  <si>
    <t>0070959</t>
  </si>
  <si>
    <t>HŘEB FEMUR PROXIMÁLNÍ DLOUHÝ OCEL</t>
  </si>
  <si>
    <t>0070964</t>
  </si>
  <si>
    <t>ŠROUB SAMOŘEZNÝ ANTIROTAČNÍ FEMUR PROXIMÁLNÍ OCEL</t>
  </si>
  <si>
    <t>0071602</t>
  </si>
  <si>
    <t>FIXÁTOR ZEVNÍ JEDNOROVINNÝ/DVOUROVINNÝ TRUBKOVÝ SY</t>
  </si>
  <si>
    <t>0073578</t>
  </si>
  <si>
    <t>ŠROUB SAMOŘEZNÝ KORTIKÁLNÍ MINI FRAGMENT TITAN</t>
  </si>
  <si>
    <t>0073615</t>
  </si>
  <si>
    <t>DLAHA ADAPTAČNÍ  MINI FRAGMENT MINI FRAGMENT TITAN</t>
  </si>
  <si>
    <t>0073660</t>
  </si>
  <si>
    <t>0073679</t>
  </si>
  <si>
    <t>0074312</t>
  </si>
  <si>
    <t>ŠROUB KOMPRESNÍ ZAVÍRACÍ TARGON</t>
  </si>
  <si>
    <t>0074314</t>
  </si>
  <si>
    <t>ŠROUB ZAJIŠŤOVACÍ  TITANOVÝ TARGON</t>
  </si>
  <si>
    <t>0074721</t>
  </si>
  <si>
    <t>HŘEB FEMORÁLNÍ PROXIMÁLNÍ TITANOVÝ DLOUHÝ TARGON P</t>
  </si>
  <si>
    <t>0074722</t>
  </si>
  <si>
    <t>HŘEB FEMORÁLNÍ PROXIMÁLNÍ TITANOVÝ KRÁTKÝ TARGON P</t>
  </si>
  <si>
    <t>0074723</t>
  </si>
  <si>
    <t>ŠROUB ZAJIŠŤOVACÍ, SAMOŘEZNÝ, UZAMYKATELNÝ TI TARG</t>
  </si>
  <si>
    <t>0076890</t>
  </si>
  <si>
    <t>ŠROUB SAMOŘEZNÝ JISTÍCÍ FEMUR DISTÁLNÍ TITAN</t>
  </si>
  <si>
    <t>0076900</t>
  </si>
  <si>
    <t>VRTULKA JISTÍCÍ FEMUR DISTÁLNÍ TITAN</t>
  </si>
  <si>
    <t>0076924</t>
  </si>
  <si>
    <t>HŘEB FEMUR DISTÁLNÍ KANYLOVANÝ UHLOVĚ STABILNÍ TIT</t>
  </si>
  <si>
    <t>0076929</t>
  </si>
  <si>
    <t>ZASLEPOVACÍ HLAVA FEMUR DISTÁLNÍ TITAN</t>
  </si>
  <si>
    <t>0077114</t>
  </si>
  <si>
    <t>KOTVIČKA PRO SUTURU MENISKU VSTŘEBATELNÁ MITEK OMN</t>
  </si>
  <si>
    <t>0077116</t>
  </si>
  <si>
    <t>ŠROUB INTERFERENČNÍ TITANOVÝ KUROSAKA PRO REKONSTR</t>
  </si>
  <si>
    <t>0077170</t>
  </si>
  <si>
    <t>HŘEBÍK PRO REKONSTRUKCI KŘÍŽOVÉHO VAZU RIGIDFIX VS</t>
  </si>
  <si>
    <t>0077759</t>
  </si>
  <si>
    <t>HŘEB HUMERÁLNÍ PROXIMÁLNÍ NITRODŘEŇOVÝ TITANOVÝ TA</t>
  </si>
  <si>
    <t>0077760</t>
  </si>
  <si>
    <t>HŘEB HUMERÁLNÍ NITRODŘEŇOVÝ TITANOVÝ TARGON H</t>
  </si>
  <si>
    <t>0077761</t>
  </si>
  <si>
    <t>ŠROUB ZAJIŠŤOVACÍ  TITANOVÝ TARGON PH/H</t>
  </si>
  <si>
    <t>0077762</t>
  </si>
  <si>
    <t>0081999</t>
  </si>
  <si>
    <t>NPWT-V.A.C. GRANUFOAM (PU PĚNA) VELIKOST S</t>
  </si>
  <si>
    <t>0082000</t>
  </si>
  <si>
    <t>NPWT-V.A.C. GRANUFOAM (PU PĚNA) VELIKOST M</t>
  </si>
  <si>
    <t>0082079</t>
  </si>
  <si>
    <t>KRYTÍ COM 30 OBVAZOVÁ TEXTÍLIE KOMBINOVANÁ</t>
  </si>
  <si>
    <t>0083068</t>
  </si>
  <si>
    <t>DLAHA STERNÁLNÍ TITAN</t>
  </si>
  <si>
    <t>0083227</t>
  </si>
  <si>
    <t>DLAHA LCP TIBIE DISTÁLNÍ ANTEROLATERÁLNÍ MALÝ FRAG</t>
  </si>
  <si>
    <t>0083228</t>
  </si>
  <si>
    <t>DLAHA LCP TIBIE DISTÁLNÍ MEDIÁLNÍ MALÝ FRAGMENT OC</t>
  </si>
  <si>
    <t>0083233</t>
  </si>
  <si>
    <t>0083241</t>
  </si>
  <si>
    <t>DLAHA LCP A VA-LCP OLEKRANON MALÝ FRAGMENT OCEL TI</t>
  </si>
  <si>
    <t>0083242</t>
  </si>
  <si>
    <t>DLAHA LCP OLEKRANON MALÝ FRAGMENT OCEL TITAN</t>
  </si>
  <si>
    <t>0083525</t>
  </si>
  <si>
    <t>NÁSTAVEC K SHAVERU FRÉZA FMS NESTERILNÍ</t>
  </si>
  <si>
    <t>0083991</t>
  </si>
  <si>
    <t>ŠROUB ZAMYKACÍ HEXA DRIVE 7, APTUS RADIUS 2,5</t>
  </si>
  <si>
    <t>0083992</t>
  </si>
  <si>
    <t>0091804</t>
  </si>
  <si>
    <t>IMPLANTÁT KOSTNÍ UMĚLÁ NÁHRADA ŠTĚPU  CHRONOS STRI</t>
  </si>
  <si>
    <t>0091805</t>
  </si>
  <si>
    <t>0096072</t>
  </si>
  <si>
    <t>IMPLANTÁT KOSTNÍ UMĚLÁ NÁHRADA TKÁNĚ  PEROSSAL  IN</t>
  </si>
  <si>
    <t>0097023</t>
  </si>
  <si>
    <t>DLAHA LCP METAFYZÁRNÍ MALÝ FRAGMENT OCEL TITAN</t>
  </si>
  <si>
    <t>0097029</t>
  </si>
  <si>
    <t>0097590</t>
  </si>
  <si>
    <t>ŠROUB INTERFERENČNÍ VSTŘEBATELNÝ MILAGRO PRO REKON</t>
  </si>
  <si>
    <t>0097790</t>
  </si>
  <si>
    <t>DLAHA LCP HUMERUS DISTÁLNÍ MALÝ FRAGMENT TITAN</t>
  </si>
  <si>
    <t>0097804</t>
  </si>
  <si>
    <t>0097808</t>
  </si>
  <si>
    <t>ŠROUB LCP SAMOŘEZNÝ MALÝ FRAGMNET TITAN</t>
  </si>
  <si>
    <t>0097876</t>
  </si>
  <si>
    <t>PODLOŽKA MALÝ FRAGMENT TITAN</t>
  </si>
  <si>
    <t>0098626</t>
  </si>
  <si>
    <t>PODLOŽKA TI</t>
  </si>
  <si>
    <t>0098648</t>
  </si>
  <si>
    <t>ŠROUB KANYLOVANÝ TI T-DRIVE</t>
  </si>
  <si>
    <t>0098656</t>
  </si>
  <si>
    <t>0098685</t>
  </si>
  <si>
    <t>0098686</t>
  </si>
  <si>
    <t>DRÁT TI; VRTACÍ; VODÍCÍ</t>
  </si>
  <si>
    <t>0099076</t>
  </si>
  <si>
    <t>HŘEB FEMORÁLNÍ PROXIMÁLNÍ, TI</t>
  </si>
  <si>
    <t>0099081</t>
  </si>
  <si>
    <t>ŠROUB KOTVÍCÍ, TI</t>
  </si>
  <si>
    <t>0099484</t>
  </si>
  <si>
    <t>ŠROUB ZAJIŠŤ.,PLNÝ ZÁVIT,PR. 5MM, TI</t>
  </si>
  <si>
    <t>0099754</t>
  </si>
  <si>
    <t>0099756</t>
  </si>
  <si>
    <t>HŘEB KANYLOVANÝ FEMUR LATERÁLNÍ TITAN</t>
  </si>
  <si>
    <t>0099934</t>
  </si>
  <si>
    <t>ŠROUB SAMOVRTNÝ KANYLOVANÝ VELKÝ FRAGMENT TITAN</t>
  </si>
  <si>
    <t>0105304</t>
  </si>
  <si>
    <t>DLAHA FIBULÁRNÍ, ÚHL.STAB.,TI</t>
  </si>
  <si>
    <t>0105308</t>
  </si>
  <si>
    <t>0105310</t>
  </si>
  <si>
    <t>0105312</t>
  </si>
  <si>
    <t>ŠROUB SPONGIÓZNÍ, HS3.0, SAMOŘEZNÝ, ÚHL.STAB.,TI</t>
  </si>
  <si>
    <t>0105325</t>
  </si>
  <si>
    <t>ŠROUB KORTIKÁLNÍ, HS3.0, SAMOŘEZNÝ, ÚHL.STAB.,TI</t>
  </si>
  <si>
    <t>0105326</t>
  </si>
  <si>
    <t>0105474</t>
  </si>
  <si>
    <t>NÁHRADA RAMENNÍ SMR HLAVICE HUMERÁLNÍ PR. 42,44,46</t>
  </si>
  <si>
    <t>0105745</t>
  </si>
  <si>
    <t xml:space="preserve">DLAHA RADIÁLNÍ VOLÁRNÍ PRO FIXACI FRAK.V DISTÁLNÍ </t>
  </si>
  <si>
    <t>0105747</t>
  </si>
  <si>
    <t>0105749</t>
  </si>
  <si>
    <t>ŠROUB KORTIKÁLNÍ/HLADKÝ PRO FIXACI FRAK.V DIST.ČÁS</t>
  </si>
  <si>
    <t>0105752</t>
  </si>
  <si>
    <t>ŠROUB HLADKÝ ALPS PRO FIXACI FRAKTURY V DISTÁLNÍ Č</t>
  </si>
  <si>
    <t>0106875</t>
  </si>
  <si>
    <t>ŠROUB KORTIKÁLNÍ, HS3.0, SAMOŘEZNÝ, TI</t>
  </si>
  <si>
    <t>0106876</t>
  </si>
  <si>
    <t>0106877</t>
  </si>
  <si>
    <t>0107118</t>
  </si>
  <si>
    <t>DLAHA LCP S/BEZ VARIABILNÍM ÚHLEM KLÍČNÍ KOST MALÝ</t>
  </si>
  <si>
    <t>0108027</t>
  </si>
  <si>
    <t>KOTVIČKA VSTŘEBATELNÁ HEALIX BR PRO SUTURU RC</t>
  </si>
  <si>
    <t>0108134</t>
  </si>
  <si>
    <t xml:space="preserve">ŠROUB VSTŘEBATELNÝ INTERFERENČNÍ PRO REKONSTRUKCI </t>
  </si>
  <si>
    <t>0108136</t>
  </si>
  <si>
    <t>DLAŽKA, TI, FEMORÁLNÍ FIXAČNÍ, NÁHRADA AC LIGAMENT</t>
  </si>
  <si>
    <t>0108142</t>
  </si>
  <si>
    <t>DLAHA VOLÁRNÍ WATERSHED, APTUS RADIUS 2,5</t>
  </si>
  <si>
    <t>0108764</t>
  </si>
  <si>
    <t>DLAHA LCP FIBULA DISTÁLNÍ MALÝ FRAGMENT OCEL TITAN</t>
  </si>
  <si>
    <t>0108768</t>
  </si>
  <si>
    <t>ŠROUB SAMOVRTNÝ STERNÁLNÍ TITAN</t>
  </si>
  <si>
    <t>0111971</t>
  </si>
  <si>
    <t>ŠROUB KORTIKÁLNÍ TI SMART-DRIVE</t>
  </si>
  <si>
    <t>0111972</t>
  </si>
  <si>
    <t>ŠROUB UZAMYKATELNÝ KORTIKÁLNÍ TI SMART-DRIVE</t>
  </si>
  <si>
    <t>0111983</t>
  </si>
  <si>
    <t>ŠROUB KOMPRESNÍ HBS2 TI T-DRIVE</t>
  </si>
  <si>
    <t>0111995</t>
  </si>
  <si>
    <t>DLAHA RADIÁLNÍ IXOS P4 TI, UHL.STABIL.</t>
  </si>
  <si>
    <t>0111996</t>
  </si>
  <si>
    <t>DLAHA RADIÁLNÍ IXOS P4 WAVE TI, UHL.STABIL.</t>
  </si>
  <si>
    <t>0112074</t>
  </si>
  <si>
    <t>CEMENT KOSTNÍ VANCOGENX VANCOMYCIN+GENTAMICIN 1X40</t>
  </si>
  <si>
    <t>0112572</t>
  </si>
  <si>
    <t>DRÁT HBS2 TI</t>
  </si>
  <si>
    <t>0163241</t>
  </si>
  <si>
    <t xml:space="preserve">IMPLANTÁT MAXILLOFACIÁLNÍ STŘEDNÍ OBLIČEJOVÁ ETÁŽ </t>
  </si>
  <si>
    <t>0163243</t>
  </si>
  <si>
    <t>0163251</t>
  </si>
  <si>
    <t>0163440</t>
  </si>
  <si>
    <t>IMPLANTÁT MANDIBULÁRNÍ DOLNÍ ČELIST FIXAČNÍ MATRIX</t>
  </si>
  <si>
    <t>0111984</t>
  </si>
  <si>
    <t>0109054</t>
  </si>
  <si>
    <t xml:space="preserve">ŠROUB HLADKÝ PRO FIXACI FRAKTURY V DISTÁLNÍ ČÁSTI </t>
  </si>
  <si>
    <t>0001736</t>
  </si>
  <si>
    <t>0013054</t>
  </si>
  <si>
    <t>STAPLER KOŽNÍ, 35 NEREZ.OCEL. NÁPLNÍ PMW35,PMR35</t>
  </si>
  <si>
    <t>0082421</t>
  </si>
  <si>
    <t>NPWT-VIVANOMED (PU PĚNA) VELIKOST M</t>
  </si>
  <si>
    <t>0031475</t>
  </si>
  <si>
    <t>DLAHA LCP MALÝ FRAGMENT OCEL</t>
  </si>
  <si>
    <t>0024990</t>
  </si>
  <si>
    <t>KOTVIČKA TITANOVÁ EASY PRO SUTURU RC</t>
  </si>
  <si>
    <t>0062220</t>
  </si>
  <si>
    <t>SÍŤKA VICRYLOVÁ VM96</t>
  </si>
  <si>
    <t>0111985</t>
  </si>
  <si>
    <t>0097835</t>
  </si>
  <si>
    <t>DRÁT VODÍCÍ</t>
  </si>
  <si>
    <t>0111988</t>
  </si>
  <si>
    <t>0024991</t>
  </si>
  <si>
    <t>KOTVIČKA TITANOVÁ QUICK PRO SUTURU RC</t>
  </si>
  <si>
    <t>0073963</t>
  </si>
  <si>
    <t>ŠROUB SAMOŘEZNÝ KORTIKÁLNÍ PÁNEV OCEL</t>
  </si>
  <si>
    <t>0001369</t>
  </si>
  <si>
    <t>FIXÁTOR ZEVNÍ JEDNOROVINNÝ/DVOUROVINNÝ MALÝ SYNTHE</t>
  </si>
  <si>
    <t>0001380</t>
  </si>
  <si>
    <t>0105327</t>
  </si>
  <si>
    <t>0001341</t>
  </si>
  <si>
    <t>0001223</t>
  </si>
  <si>
    <t>0083230</t>
  </si>
  <si>
    <t>0105748</t>
  </si>
  <si>
    <t>0008238</t>
  </si>
  <si>
    <t>FIXÁTOR ZEVNÍ ZÁPĚSTÍ TYP PENNIG    35000</t>
  </si>
  <si>
    <t>0082142</t>
  </si>
  <si>
    <t>NPWT-RENASYS F PŘEVAZOVÝ SET STŘEDNÍ M</t>
  </si>
  <si>
    <t>0001255</t>
  </si>
  <si>
    <t>0099077</t>
  </si>
  <si>
    <t>HŘEB FEMORÁLNÍ PROXIMÁLNÍ DLOUHÝ L/R, TI</t>
  </si>
  <si>
    <t>0105746</t>
  </si>
  <si>
    <t>0008246</t>
  </si>
  <si>
    <t>0083256</t>
  </si>
  <si>
    <t>DLAHA LCP TIBIE PROXIMÁLNÍ MALÝ FRAGMENT OCEL TITA</t>
  </si>
  <si>
    <t>0105255</t>
  </si>
  <si>
    <t>DLAHA NA OLEKRANON, ÚHL.STAB.,TI</t>
  </si>
  <si>
    <t>0082141</t>
  </si>
  <si>
    <t>NPWT-RENASYS F PŘEVAZOVÝ SET MALÝ S</t>
  </si>
  <si>
    <t>0082143</t>
  </si>
  <si>
    <t>NPWT-RENASYS F PŘEVAZOVÝ SET VELKÝ L</t>
  </si>
  <si>
    <t>0049999</t>
  </si>
  <si>
    <t>EXTRAKTOR KOŽNÍCH SVOREK - PROXIMATE</t>
  </si>
  <si>
    <t>0107484</t>
  </si>
  <si>
    <t>DLAHA LCP HUMERUS DISTÁLNÍ MALÝ FRAGMNENT OCEL TIT</t>
  </si>
  <si>
    <t>0070615</t>
  </si>
  <si>
    <t>0073264</t>
  </si>
  <si>
    <t>K-DRÁT MEDIN</t>
  </si>
  <si>
    <t>0112551</t>
  </si>
  <si>
    <t>ŠROUB KORTIKÁLNÍ SAMOŘEZNÝ TI</t>
  </si>
  <si>
    <t>0112545</t>
  </si>
  <si>
    <t>ŠROUB UZAMYKATELNÝ SAMOŘEZNÝ TI</t>
  </si>
  <si>
    <t>0112559</t>
  </si>
  <si>
    <t>DLAHA RADIÁLNÍ DISTÁLNÍ VOLÁRNÍ TI</t>
  </si>
  <si>
    <t>0066966</t>
  </si>
  <si>
    <t>IMPLANTÁT SPINÁLNÍ SYSTÉM USS UNIVERZÁLNÍ HRUDNÍ B</t>
  </si>
  <si>
    <t>0112548</t>
  </si>
  <si>
    <t>ŠROUB KORTIKÁLNÍ UZAMYKATELNÝ SAMOŘEZNÝ TI</t>
  </si>
  <si>
    <t>0163446</t>
  </si>
  <si>
    <t>0106853</t>
  </si>
  <si>
    <t>DLAHA RADIÁLNÍ VOLÁRNÍ DVR PRO FIX.FRAK.V DISTÁLNÍ</t>
  </si>
  <si>
    <t>0193913</t>
  </si>
  <si>
    <t>IMPLANTÁT KOSTNÍ UMĚLÁ NÁHRADA TKÁNĚ BONALIVE GRAN</t>
  </si>
  <si>
    <t>0113638</t>
  </si>
  <si>
    <t>DLAHA RADIÁLNÍ KOREKČNÍ RECOS TI, UHL.STABIL.</t>
  </si>
  <si>
    <t>0002263</t>
  </si>
  <si>
    <t>FIXÁTOR ZEVNÍ JEDNOROVINNÝ TUBULÁRNÍ,SYNTHES</t>
  </si>
  <si>
    <t>0083995</t>
  </si>
  <si>
    <t>DLAHA VOLÁRNÍ FRACT., APTUS RADIUS 2,5</t>
  </si>
  <si>
    <t>0107930</t>
  </si>
  <si>
    <t>ŠROUB CHARLOTTE FIXACE NOHY</t>
  </si>
  <si>
    <t>0097742</t>
  </si>
  <si>
    <t>0107927</t>
  </si>
  <si>
    <t>ŠROUB KANUL, DARCO FIXACE NOHY</t>
  </si>
  <si>
    <t>0108532</t>
  </si>
  <si>
    <t>DLAHA TI.  MTP</t>
  </si>
  <si>
    <t>0105806</t>
  </si>
  <si>
    <t>ŠROUB TI.REKONSTRUKČNÍ, SPONGIÓZNÍ, ČÁST.ZÁVIT</t>
  </si>
  <si>
    <t>0030470</t>
  </si>
  <si>
    <t>0099554</t>
  </si>
  <si>
    <t>KOTVA FASTAK PRO RAMENO S DRŽADLEM AR-1324HF</t>
  </si>
  <si>
    <t>0030261</t>
  </si>
  <si>
    <t>ŠROUB KORTIKÁLNÍ SAMOŘEZNÝ</t>
  </si>
  <si>
    <t>0110648</t>
  </si>
  <si>
    <t xml:space="preserve">DLAHA LCP TIBIE PROXIMÁLNÍ DORZÁLNÍ MEDIÁLNÍ OCEL </t>
  </si>
  <si>
    <t>0049225</t>
  </si>
  <si>
    <t>PROSTŘEDEK HEMOSTATICKÝ - SEPTOCOLL E 40</t>
  </si>
  <si>
    <t>0083292</t>
  </si>
  <si>
    <t>ŠROUB LCP PERIPROTETICKÝ OCEL</t>
  </si>
  <si>
    <t>0107896</t>
  </si>
  <si>
    <t>FIXACE ZKŘÍŽENÉHO KOLENNÍHO VAZU FEMORÁLNÍ SE ZAVÁ</t>
  </si>
  <si>
    <t>0114695</t>
  </si>
  <si>
    <t>ŠROUB KORTIKÁLNÍ TI SMART-DRIVE DVOUZÁVITOVÝ</t>
  </si>
  <si>
    <t>0106020</t>
  </si>
  <si>
    <t>IMPLANTÁT PRO ŠLACHY UNIVERZÁLNÍ AREX</t>
  </si>
  <si>
    <t>0107939</t>
  </si>
  <si>
    <t>PODLOŽKA ŠROUBU CHARLOTTE WASHER FIXACE NOHY</t>
  </si>
  <si>
    <t>0114700</t>
  </si>
  <si>
    <t>DLAHA METAKARPÁLNÍ A FALANGEÁLNÍ LINOS TI, ANATOMI</t>
  </si>
  <si>
    <t>0017756</t>
  </si>
  <si>
    <t>DRÁT KIRSCHNERŮV ZÁVITOVÝ OCEL</t>
  </si>
  <si>
    <t>0099768</t>
  </si>
  <si>
    <t>VRTULKA JISTÍCÍ FEMUR TITAN</t>
  </si>
  <si>
    <t>0042363</t>
  </si>
  <si>
    <t>0042366</t>
  </si>
  <si>
    <t>HŘEB ARTRODÉZA HLEZNA UHLOVĚ STABILNÍ TITAN</t>
  </si>
  <si>
    <t>0083074</t>
  </si>
  <si>
    <t>0106671</t>
  </si>
  <si>
    <t>KOTVA MENISKÁLNÍ</t>
  </si>
  <si>
    <t>09227</t>
  </si>
  <si>
    <t>I. V. APLIKACE KRVE NEBO KREVNÍCH DERIVÁTŮ</t>
  </si>
  <si>
    <t>51819</t>
  </si>
  <si>
    <t>OŠETŘENÍ A OBVAZ ROZSÁHLÉ RÁNY V CELKOVÉ ANESTEZII</t>
  </si>
  <si>
    <t>53119</t>
  </si>
  <si>
    <t>ZAVŘENÁ REPOZICE ZLOMENIN PŘEDLOKTÍ, LOKTE, PAŽE N</t>
  </si>
  <si>
    <t>53152</t>
  </si>
  <si>
    <t>OTEVŘENÁ REPOZICE A OSTEOSYNTÉZA ZLOMENINY NEBO LU</t>
  </si>
  <si>
    <t>53159</t>
  </si>
  <si>
    <t>OTEVŘENÁ REPOZICE A OSTEOSYNTÉZA ZLOMENIN OBOU KOS</t>
  </si>
  <si>
    <t>53163</t>
  </si>
  <si>
    <t>OTEVŘENÁ REPOZICE A OSTEOSYNTÉZA VÍCEÚLOMKOVÝCH ZL</t>
  </si>
  <si>
    <t>53213</t>
  </si>
  <si>
    <t>ZAVŘENÁ REPOZICE A NITRODŘEŇOVA OSTEOSYNTÉZA ZLOME</t>
  </si>
  <si>
    <t>53253</t>
  </si>
  <si>
    <t xml:space="preserve">OTEVŘENÁ REPOZICE A OSTEOSYNTÉZA ZLOMENIN DIAFÝZY </t>
  </si>
  <si>
    <t>53413</t>
  </si>
  <si>
    <t>ZAVŘENÁ REPOZICE ZLOMENINY BÉRCE VČETNĚ NITROKLOUB</t>
  </si>
  <si>
    <t>53453</t>
  </si>
  <si>
    <t>OTEVŘENÁ REPOZICE ZLOMENINY NEBO LUXACE VÍCE METAT</t>
  </si>
  <si>
    <t>53459</t>
  </si>
  <si>
    <t>OTEVŘENÁ REPOZICE NITROKLOUBNÍCH LUXAČNÍCH ZLOMENI</t>
  </si>
  <si>
    <t>53463</t>
  </si>
  <si>
    <t>OTEVŘENÁ REPOZICE A OSTEOSYNTÉZA PATELY NEBO PATEL</t>
  </si>
  <si>
    <t>53469</t>
  </si>
  <si>
    <t>ZLOMENINA DIAFÝZY A SUPRAKONDYLICKÉ OBLASTI FEMURU</t>
  </si>
  <si>
    <t>53483</t>
  </si>
  <si>
    <t>ZLOMENINA  ACETABULA - OBOU PILÍŘŮ - LÉČENÁ OTEVŘE</t>
  </si>
  <si>
    <t>53519</t>
  </si>
  <si>
    <t>SUTURA ČERSTVÉHO PORANĚNÍ VAZIVOVÉHO APARÁTU V OBL</t>
  </si>
  <si>
    <t>53523</t>
  </si>
  <si>
    <t>SUTURA ČERSTVÉHO PORANĚNÍ JEDNOHO VAZU, EVENT. ŠLA</t>
  </si>
  <si>
    <t>56324</t>
  </si>
  <si>
    <t>DEKOMPRESE OSTATNÍCH VELKÝCH A STŘEDNÍCH NERVŮ</t>
  </si>
  <si>
    <t>61113</t>
  </si>
  <si>
    <t>61117</t>
  </si>
  <si>
    <t>SUTURA DIGITÁLNÍHO NEBO KOMUNÁLNÍHO DIGITÁLNÍHO NE</t>
  </si>
  <si>
    <t>61139</t>
  </si>
  <si>
    <t>ODBĚR ŠLACHOVÉHO ŠTĚPU</t>
  </si>
  <si>
    <t>61147</t>
  </si>
  <si>
    <t>UZAVŘENÍ DEFEKTU KOŽNÍM LALOKEM MÍSTNÍM DO 10 CM^2</t>
  </si>
  <si>
    <t>61149</t>
  </si>
  <si>
    <t xml:space="preserve">UZAVŘENÍ DEFEKTU  KOŽNÍM LALOKEM MÍSTNÍM OD 10 DO </t>
  </si>
  <si>
    <t>61217</t>
  </si>
  <si>
    <t>TRANSPOZICE ŠLACHY FLEXORU</t>
  </si>
  <si>
    <t>61233</t>
  </si>
  <si>
    <t>KAPSULOTOMIE MP NEBO IP KLOUBU</t>
  </si>
  <si>
    <t>61237</t>
  </si>
  <si>
    <t>KOREKČNÍ OSTEOTOMIE FALANGY NEBO METAKARPU</t>
  </si>
  <si>
    <t>61253</t>
  </si>
  <si>
    <t xml:space="preserve">PALM. APONEUREKTOMIE U DLAŇOVÉ FORMY DUPUYTRENOVY </t>
  </si>
  <si>
    <t>66039</t>
  </si>
  <si>
    <t>SLOŽITÁ OPERAČNÍ ARTROSKOPIE</t>
  </si>
  <si>
    <t>66419</t>
  </si>
  <si>
    <t>ARTROPLASTIKA ZÁPĚSTÍ A RUKY</t>
  </si>
  <si>
    <t>66423</t>
  </si>
  <si>
    <t>ODSTRANĚNÍ EXOSTÓZY DORZA RUKY</t>
  </si>
  <si>
    <t>66429</t>
  </si>
  <si>
    <t>SYNOVEKTOMIE ZÁPĚSTÍ A RUKY</t>
  </si>
  <si>
    <t>66439</t>
  </si>
  <si>
    <t>REKONSTRUKCE JEDNODUCHÉ ŠLACHY - RUKA, ZÁPĚSTÍ - P</t>
  </si>
  <si>
    <t>66443</t>
  </si>
  <si>
    <t>PŘENOS JEDNOHO ŠLACHOVÉHO TRANSPLANTÁTU - RUKA, ZÁ</t>
  </si>
  <si>
    <t>66449</t>
  </si>
  <si>
    <t>IMPLANTACE TOTÁLNÍ ENDOPROTÉZY NA HORNÍ KONČETINĚ</t>
  </si>
  <si>
    <t>66453</t>
  </si>
  <si>
    <t>EXSTIRPACE HLAVIČKY RADIA, NEBO RADIÁLNÍ STYLOIDEK</t>
  </si>
  <si>
    <t>66643</t>
  </si>
  <si>
    <t>ARTRODÉZA NA DK S VÝJIMKOU KYČELNÍHO A SI KLOUBU</t>
  </si>
  <si>
    <t>66679</t>
  </si>
  <si>
    <t>EXARTIKULACE (AMPUTACE METATARZÁLNÍ) FALANGEÁLNÍ -</t>
  </si>
  <si>
    <t>66683</t>
  </si>
  <si>
    <t>AMPUTACE JEDNOHO PAPRSKU DOLNÍ KONČETINY</t>
  </si>
  <si>
    <t>66689</t>
  </si>
  <si>
    <t xml:space="preserve">METATARZOFALANGEÁLNÍ INTERPOZIČNÍ ARTROPLASTIKA - </t>
  </si>
  <si>
    <t>66723</t>
  </si>
  <si>
    <t>REKONSTRUKCE PAKLOUBU V OBLASTI HLEZNA NEBO NOHY</t>
  </si>
  <si>
    <t>66749</t>
  </si>
  <si>
    <t>REKONSTRUKCE VAZŮ TC KLOUBU</t>
  </si>
  <si>
    <t>66819</t>
  </si>
  <si>
    <t>APLIKACE ZEVNÍHO FIXATÉRU</t>
  </si>
  <si>
    <t>66829</t>
  </si>
  <si>
    <t>ZAVEDENÍ PROPLACHOVÉ LAVÁŽE</t>
  </si>
  <si>
    <t>66839</t>
  </si>
  <si>
    <t>EXSTIRPACE NÁDORU MĚKKÝCH TKÁNÍ - POVRCHOVĚ ULOŽEN</t>
  </si>
  <si>
    <t>66859</t>
  </si>
  <si>
    <t>DENERVACE VELKÝCH KLOUBŮ A SVALŮ</t>
  </si>
  <si>
    <t>66879</t>
  </si>
  <si>
    <t>OTEVŘENÁ SPONGIOPLASTIKA</t>
  </si>
  <si>
    <t>66929</t>
  </si>
  <si>
    <t>TENOLÝZA - ROZSÁHLÉ UVOLNĚNÍ JEDNÉ ŠLACHY - MIMO R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</si>
  <si>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</si>
  <si>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</si>
  <si>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</si>
  <si>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</si>
  <si>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</si>
  <si>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</si>
  <si>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66041</t>
  </si>
  <si>
    <t>REKONSTRUKČNÍ ARTROSKOPIE SLOŽITÁ</t>
  </si>
  <si>
    <t>53457</t>
  </si>
  <si>
    <t>ZLOMENINY DOLNÍHO KONCE BÉRCE A HLEZNA S NITROKLOU</t>
  </si>
  <si>
    <t>00602</t>
  </si>
  <si>
    <t>OD TYPU 02 - PRO NEMOCNICE TYPU 3, (KATEGORIE 6)</t>
  </si>
  <si>
    <t>99999</t>
  </si>
  <si>
    <t>Nespecifikovany vykon</t>
  </si>
  <si>
    <t>53490</t>
  </si>
  <si>
    <t>ROZSÁHLÉ DEBRIDEMENT SLOŽITÝCH OTEVŘENÝCH ZLOMENIN</t>
  </si>
  <si>
    <t>51825</t>
  </si>
  <si>
    <t>SEKUNDÁRNÍ SUTURA RÁNY</t>
  </si>
  <si>
    <t>66637</t>
  </si>
  <si>
    <t>REKONSTRUKCE / OSTEOTOMIE NA DK - MIMO NOHY</t>
  </si>
  <si>
    <t>53021</t>
  </si>
  <si>
    <t>KOMPLEXNÍ VYŠETŘENÍ TRAUMATOLOGEM</t>
  </si>
  <si>
    <t>51850</t>
  </si>
  <si>
    <t>PŘEVAZ RÁNY METODOU V. A. C. (VACUUM ASISTED CLOSU</t>
  </si>
  <si>
    <t>66461</t>
  </si>
  <si>
    <t>REKONSTRUKCE PAKLOUBU NA HK</t>
  </si>
  <si>
    <t>66437</t>
  </si>
  <si>
    <t>REKONSTRUKCE VAZŮ ZÁPĚSTÍ A RUKY</t>
  </si>
  <si>
    <t>66947</t>
  </si>
  <si>
    <t>ODBĚR FASCIÁLNÍHO NEBO KOSTNÍHO ŠTĚPU</t>
  </si>
  <si>
    <t>66815</t>
  </si>
  <si>
    <t>AUTOGENNÍ ŠTĚP</t>
  </si>
  <si>
    <t>66817</t>
  </si>
  <si>
    <t>VÝPLŇ DUTINY</t>
  </si>
  <si>
    <t>62410</t>
  </si>
  <si>
    <t>ŠTĚP PŘI POPÁLENÍ - DLAŇ, DORSUM RUKY, NOHY NEBO D</t>
  </si>
  <si>
    <t>53155</t>
  </si>
  <si>
    <t>OTEVŘENÁ REPOZICE - SYNTÉZA LUXACE KARPU - INTRAAR</t>
  </si>
  <si>
    <t>66675</t>
  </si>
  <si>
    <t>REKONSTRUKCE PSEUDOARTRÓZY NA DK - NE PROX. FEMUR</t>
  </si>
  <si>
    <t>53471</t>
  </si>
  <si>
    <t>ZLOMENINA HORNÍHO KONCE FEMURU - REPOZICE OTEVŘENÁ</t>
  </si>
  <si>
    <t>66457</t>
  </si>
  <si>
    <t>REKONSTRUKCE VAZŮ - LOKET, PŘEDLOKTÍ</t>
  </si>
  <si>
    <t>53157</t>
  </si>
  <si>
    <t>OTEVŘENÁ REPOZICE A OSTEOSYNTÉZA ZLOMENINY JEDNÉ K</t>
  </si>
  <si>
    <t>66851</t>
  </si>
  <si>
    <t>AMPUTACE DLOUHÉ KOSTI / EXARTIKULACE VELKÉHO KLOUB</t>
  </si>
  <si>
    <t>61255</t>
  </si>
  <si>
    <t>ROZŠÍŘENÁ APONEUREKTOMIE U FORMY DUPUYTRENOVY KONT</t>
  </si>
  <si>
    <t>53161</t>
  </si>
  <si>
    <t>OTEVŘENÁ REPOZICE A OSTEOSYNTÉZA IZOLOVANÉ ZLOMENI</t>
  </si>
  <si>
    <t>53257</t>
  </si>
  <si>
    <t xml:space="preserve">OTEVŘENÁ REPOZICE A OSTEOSYNTÉZA ZLOMENINY KLÍČNÍ </t>
  </si>
  <si>
    <t>53467</t>
  </si>
  <si>
    <t>ZLOMENINY TIBIÁLNÍHO NEBO FIBULÁRNÍHO PLATEAU TIBI</t>
  </si>
  <si>
    <t>53517</t>
  </si>
  <si>
    <t>SUTURA NEBO REINSERCE ŠLACHY FLEXORU RUKY A ZÁPĚST</t>
  </si>
  <si>
    <t>53461</t>
  </si>
  <si>
    <t>ZLOMENINA HORNÍHO KONCE TIBIE - DIAKONDYLICKÁ - (T</t>
  </si>
  <si>
    <t>NEKREKTOMIE DO 5 % POVRCHU TĚLA - TANGENCIÁLNÍ NEB</t>
  </si>
  <si>
    <t>53485</t>
  </si>
  <si>
    <t>ZLOMENINY PÁNEVNÍHO KRUHU - NESTABILNÍ - S OPERAČN</t>
  </si>
  <si>
    <t>99980</t>
  </si>
  <si>
    <t>(VZP) PACIENT S DIAGNOSTIKOVANÝM POLYTRAUMATEM S I</t>
  </si>
  <si>
    <t>53515</t>
  </si>
  <si>
    <t>SUTURA ŠLACHY EXTENSORU RUKY A ZÁPĚSTÍ</t>
  </si>
  <si>
    <t>62640</t>
  </si>
  <si>
    <t>ODBĚR DERMOEPIDERMÁLNÍHO ŠTĚPU: 1 - 5 % Z PLOCHY P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</si>
  <si>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</si>
  <si>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</si>
  <si>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</si>
  <si>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</si>
  <si>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</si>
  <si>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</si>
  <si>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66871</t>
  </si>
  <si>
    <t>EXSTIRPACE BURZY - HLUBOKÁ</t>
  </si>
  <si>
    <t>66665</t>
  </si>
  <si>
    <t>REKONSTRUKCE CHRONICKÉ NESTABILITY KOLENNÍHO KLOUB</t>
  </si>
  <si>
    <t>53151</t>
  </si>
  <si>
    <t>OTEVĚNÁ REPOZICE A OSTEOSYNTÉZA ZLOMENINY NEBO LUX</t>
  </si>
  <si>
    <t>53521</t>
  </si>
  <si>
    <t>SUTURA ACHILLOVY ŠLACHY - ČERSTVÁ RUPTURA</t>
  </si>
  <si>
    <t>53451</t>
  </si>
  <si>
    <t>OTEVŘENÁ REPOZICE ZLOMENINY NEBO LUXACE JEDNOHO ME</t>
  </si>
  <si>
    <t>66881</t>
  </si>
  <si>
    <t>EXCIZE / EXSTIRPACE EXOSTÓZY</t>
  </si>
  <si>
    <t>62440</t>
  </si>
  <si>
    <t>ŠTĚP PŘI POPÁLENÍ (A OSTATNÍCH KOŽNÍCH ZTRÁTÁCH) D</t>
  </si>
  <si>
    <t>53255</t>
  </si>
  <si>
    <t xml:space="preserve">OTEVŘENÁ REPOZICE A OSTEOSYNTÉZA ZLOMENIN HORNÍHO </t>
  </si>
  <si>
    <t>61215</t>
  </si>
  <si>
    <t>REKONSTRUKCE ŠLACHY FLEXORU ŠTĚPEM</t>
  </si>
  <si>
    <t>66921</t>
  </si>
  <si>
    <t>EXKOCHLEACE A SPONGIOPLASTIKA</t>
  </si>
  <si>
    <t>53415</t>
  </si>
  <si>
    <t>ZAVŘENÁ REPOZICE LUXACE KOLENNÍHO KLOUBU NEBO PATE</t>
  </si>
  <si>
    <t>66827</t>
  </si>
  <si>
    <t>ZAVEDENÍ EXTENZE - SKELETÁLNÍ TRAKCE</t>
  </si>
  <si>
    <t>66887</t>
  </si>
  <si>
    <t>FASCIÁLNÍ REKONSTRUKCE ROZSÁHLÁ NA KONČETINÁCH</t>
  </si>
  <si>
    <t>53417</t>
  </si>
  <si>
    <t>66465</t>
  </si>
  <si>
    <t>REPARACE ŠLACHY M. BICEPS BRACHII</t>
  </si>
  <si>
    <t>66435</t>
  </si>
  <si>
    <t>REKONSTRUKCE PSEUDOARTROZY NEBO EXCIZE ČLUNKOVÉ KO</t>
  </si>
  <si>
    <t>53511</t>
  </si>
  <si>
    <t>SUTURA ŠLACHY EXTENZORU - MIMO RUKU A ZÁPĚSTÍ A KO</t>
  </si>
  <si>
    <t>66865</t>
  </si>
  <si>
    <t>EXCIZE A EXSTIRPACE KOSTI - RESEKCE A NÁHRADA JINÝ</t>
  </si>
  <si>
    <t>66641</t>
  </si>
  <si>
    <t>POZDNÍ REKONSTRUKCE EXTENZOROVÉHO APARÁTU KOLENA</t>
  </si>
  <si>
    <t>53455</t>
  </si>
  <si>
    <t>OTEVŘENÁ REPOZICE ZLOMENINY KOSTI PATNÍ</t>
  </si>
  <si>
    <t>66431</t>
  </si>
  <si>
    <t>REKONSTRUKCE / OSTEOTOMIE FALANGY, METAKARPU - PRV</t>
  </si>
  <si>
    <t>67227</t>
  </si>
  <si>
    <t>UVOLNĚNÍ SVALU / ŠLACHY</t>
  </si>
  <si>
    <t>66681</t>
  </si>
  <si>
    <t>66037</t>
  </si>
  <si>
    <t>JEDNODUCHÁ OPERAČNÍ ARTROSKOPIE</t>
  </si>
  <si>
    <t>66451</t>
  </si>
  <si>
    <t>ARTROPLASTIKA LOKETNÍHO KLOUBU</t>
  </si>
  <si>
    <t>66845</t>
  </si>
  <si>
    <t>REKONSTRUKCE JEDNÉ ŠLACHY</t>
  </si>
  <si>
    <t>53525</t>
  </si>
  <si>
    <t>SUTURA ČERSTVÉHO ROZSÁHLÉHO PORANĚNÍ VAZIVOVÉHO AP</t>
  </si>
  <si>
    <t>62330</t>
  </si>
  <si>
    <t>NEKREKTOMIE 5 - 10 % POVRCHU TĚLA - TANGENCIÁLNÍ N</t>
  </si>
  <si>
    <t>66855</t>
  </si>
  <si>
    <t>INCIZE A DRENÁŽ MĚKKÝCH TKÁNÍ V ORTOPEDII</t>
  </si>
  <si>
    <t>53481</t>
  </si>
  <si>
    <t xml:space="preserve">ZLOMENINA  ACETABULA - JEDNOHO PILÍŘE EVENT. JEHO </t>
  </si>
  <si>
    <t>51871</t>
  </si>
  <si>
    <t>FIXACE ZLOMENINY KLÍČKU DELBETOVÝMI KRUHY</t>
  </si>
  <si>
    <t>66667</t>
  </si>
  <si>
    <t>SUTURA ZKŘÍŽENÝCH VAZŮ KOLENNÍHO KLOUBU</t>
  </si>
  <si>
    <t>53475</t>
  </si>
  <si>
    <t>LUXACE KYČELNÍHO KLOUBU - OPERAČNÍ TERAPIE</t>
  </si>
  <si>
    <t>66415</t>
  </si>
  <si>
    <t>AMPUTACE - RUKA</t>
  </si>
  <si>
    <t>5F6</t>
  </si>
  <si>
    <t>56151</t>
  </si>
  <si>
    <t>TREPANACE PRO EXTRACEREBRÁLNÍ HEMATOM NEBO KRANIOT</t>
  </si>
  <si>
    <t>5T3</t>
  </si>
  <si>
    <t>0065989</t>
  </si>
  <si>
    <t>MYCOMAX INF</t>
  </si>
  <si>
    <t>0066137</t>
  </si>
  <si>
    <t>OFLOXIN INF</t>
  </si>
  <si>
    <t>0131654</t>
  </si>
  <si>
    <t>CEFTAZIDIM KABI</t>
  </si>
  <si>
    <t>0131656</t>
  </si>
  <si>
    <t>0141838</t>
  </si>
  <si>
    <t>AMIKACIN B.BRAUN</t>
  </si>
  <si>
    <t>0154883</t>
  </si>
  <si>
    <t>MERONEM 1 G</t>
  </si>
  <si>
    <t>0164407</t>
  </si>
  <si>
    <t>0002584</t>
  </si>
  <si>
    <t>0030418</t>
  </si>
  <si>
    <t>0030509</t>
  </si>
  <si>
    <t>ŠROUB LCP SAMOŘEZNÝ VELKÝ FRAGMENT TITAN</t>
  </si>
  <si>
    <t>0031488</t>
  </si>
  <si>
    <t>ŠROUB LCP SAMOŘEZNÝ MINI FRAGMENT TITAN</t>
  </si>
  <si>
    <t>0066995</t>
  </si>
  <si>
    <t>0068052</t>
  </si>
  <si>
    <t>IMPLANTÁT SPINÁLNÍ SYSTÉM FIXAČNÍ CONTROL CABLE  1</t>
  </si>
  <si>
    <t>0076910</t>
  </si>
  <si>
    <t>0083073</t>
  </si>
  <si>
    <t>ŠROUB STARDRIVE LATERÁLNÍ TITAN</t>
  </si>
  <si>
    <t>0083205</t>
  </si>
  <si>
    <t>DLAHA LCP PÁNEV SYMFÝZA OCEL</t>
  </si>
  <si>
    <t>0083212</t>
  </si>
  <si>
    <t>DLAHA LCP NIZKOPROFILOVÁ  REKONSTRUKČNÍ PÁNEV OCEL</t>
  </si>
  <si>
    <t>0083217</t>
  </si>
  <si>
    <t>0083993</t>
  </si>
  <si>
    <t>0099080</t>
  </si>
  <si>
    <t>ZÁSLEPKA, TI</t>
  </si>
  <si>
    <t>0099935</t>
  </si>
  <si>
    <t>0031490</t>
  </si>
  <si>
    <t>DLAHA LCP TIBIE PROXIMÁLNÍ VELKÝ FRAGMENT OCEL TIT</t>
  </si>
  <si>
    <t>0111959</t>
  </si>
  <si>
    <t>DLAHA PRO DISTÁLNÍ ULNU, APTUS RADIUS 2,5</t>
  </si>
  <si>
    <t>0001974</t>
  </si>
  <si>
    <t>PODLOŽKA SPONGIOZNÍ OCEL</t>
  </si>
  <si>
    <t>0099483</t>
  </si>
  <si>
    <t>ŠROUB KONDYLÁRNÍ PR. 5MM, TI</t>
  </si>
  <si>
    <t>0083886</t>
  </si>
  <si>
    <t>PROXIMÁLNÍ KOMPRESNÍ ŠROUB, PRO RADIUS / ULNU</t>
  </si>
  <si>
    <t>0083885</t>
  </si>
  <si>
    <t>ŠROUB ZAJIŠŤOVACÍ DISTÁLNÍ, PRO RADIUS / ULNU, MON</t>
  </si>
  <si>
    <t>0083884</t>
  </si>
  <si>
    <t>ŠROUB ZAJIŠŤOVACÍ PROXIMÁLNÍ, PRO RADIUS / ULNU</t>
  </si>
  <si>
    <t>0083883</t>
  </si>
  <si>
    <t>HŘEB PRO RADIUS / ULNU, TITANOVÝ</t>
  </si>
  <si>
    <t>0031450</t>
  </si>
  <si>
    <t>ŠROUB LCP SAMOŘEZNÝ MALÝ FRAGMENT OCEL</t>
  </si>
  <si>
    <t>0019159</t>
  </si>
  <si>
    <t>DLAHA PRO ŽEBRA</t>
  </si>
  <si>
    <t>0099079</t>
  </si>
  <si>
    <t>ŠROUB STAVĚCÍ, TI,</t>
  </si>
  <si>
    <t>0031344</t>
  </si>
  <si>
    <t>DLAHA LCP RADIUS DISTÁLNÍ MINI FRAGMENT OCEL TITAN</t>
  </si>
  <si>
    <t>0107228</t>
  </si>
  <si>
    <t>ŠROUB SKLUZNÝ TELESKOPICKÝ TITANOVÝ TARGON FN</t>
  </si>
  <si>
    <t>0030488</t>
  </si>
  <si>
    <t>0107227</t>
  </si>
  <si>
    <t>DLAHA FEMORÁLNÍ TITANOVÁ TARGON FN</t>
  </si>
  <si>
    <t>0097834</t>
  </si>
  <si>
    <t>DRÁT VODÍCÍ KALIBROVANÝ OCEL</t>
  </si>
  <si>
    <t>0107229</t>
  </si>
  <si>
    <t>ŠROUB UZAMYKATELNÝ TITAN TARGON</t>
  </si>
  <si>
    <t>00655</t>
  </si>
  <si>
    <t>OD TYPU 55 - PRO NEMOCNICE TYPU 3, (KATEGORIE 6) -</t>
  </si>
  <si>
    <t>00658</t>
  </si>
  <si>
    <t>OD TYPU 58 - PRO NEMOCNICE TYPU 3, (KATEGORIE 6) -</t>
  </si>
  <si>
    <t>00657</t>
  </si>
  <si>
    <t>OD TYPU 57 - PRO NEMOCNICE TYPU 3, (KATEGORIE 6) -</t>
  </si>
  <si>
    <t>6F1</t>
  </si>
  <si>
    <t>61153</t>
  </si>
  <si>
    <t xml:space="preserve">UZAVŘENÍ DEFEKTU NA KONČETINÁCH NEBO TRUPU KOŽNÍM </t>
  </si>
  <si>
    <t>62710</t>
  </si>
  <si>
    <t>SÍŤOVÁNÍ (MESHOVÁNÍ) ŠTĚPU DO ROZSAHU 5 % Z POVRCH</t>
  </si>
  <si>
    <t>61165</t>
  </si>
  <si>
    <t>ROZPROSTŘENÍ NEBO MODELACE LALOKU</t>
  </si>
  <si>
    <t>61171</t>
  </si>
  <si>
    <t>VOLNÝ PŘENOS KOŽNÍHO A FASCIOKUTÁNNÍHO LALOKU MIKR</t>
  </si>
  <si>
    <t>6F5</t>
  </si>
  <si>
    <t>04825</t>
  </si>
  <si>
    <t>REPOZICE SUBLUX. ZUBU ČI FRAKTURY ALVEOLU, SEXT.</t>
  </si>
  <si>
    <t>65513</t>
  </si>
  <si>
    <t>PŘÍPRAVA FASCIÁLNÍHO A PERIKRANIÁLNÍHO LALOKU K RE</t>
  </si>
  <si>
    <t>65922</t>
  </si>
  <si>
    <t>ODBĚR KOSTNÍHO ŠTĚPU ZE ŽEBRA</t>
  </si>
  <si>
    <t>65923</t>
  </si>
  <si>
    <t>EGALIZACE ALVEOLÁRNÍHO VÝBĚŽKU ČELISTI NAD JEDEN S</t>
  </si>
  <si>
    <t>71717</t>
  </si>
  <si>
    <t>TRACHEOTOMIE</t>
  </si>
  <si>
    <t>61151</t>
  </si>
  <si>
    <t>UZAVŘENÍ DEFEKTU KOŽNÍM LALOKEM MÍSTNÍM NAD 20 CM^</t>
  </si>
  <si>
    <t>65211</t>
  </si>
  <si>
    <t>OŠETŘENÍ ZLOMENINY ČELISTI DESTIČKOVOU ŠROUBOVANOU</t>
  </si>
  <si>
    <t>65936</t>
  </si>
  <si>
    <t xml:space="preserve">REPOZICE ZLOMENINY ZYGOMATIKOMAXILÁRNÍHO KOMPLEXU </t>
  </si>
  <si>
    <t>75381</t>
  </si>
  <si>
    <t>REKOSTRUKCE SPODINY OČNICE</t>
  </si>
  <si>
    <t>32</t>
  </si>
  <si>
    <t>50</t>
  </si>
  <si>
    <t>59</t>
  </si>
  <si>
    <t>Zdravotní výkony vykázané na pracovišti pro pacienty hospitalizované ve FNOL - orientační přehled</t>
  </si>
  <si>
    <t>01041</t>
  </si>
  <si>
    <t>A</t>
  </si>
  <si>
    <t xml:space="preserve">VÝKONY NA KRANIÁLNÍCH A PERIFERNÍCH NERVECH BEZ CC                                                  </t>
  </si>
  <si>
    <t>01042</t>
  </si>
  <si>
    <t xml:space="preserve">VÝKONY NA KRANIÁLNÍCH A PERIFERNÍCH NERVECH S CC       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</si>
  <si>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</si>
  <si>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</si>
  <si>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</si>
  <si>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</si>
  <si>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</si>
  <si>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</si>
  <si>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01451</t>
  </si>
  <si>
    <t xml:space="preserve">OTŘES MOZKU BEZ CC                                                                                  </t>
  </si>
  <si>
    <t>01452</t>
  </si>
  <si>
    <t xml:space="preserve">OTŘES MOZKU S CC                                                                                    </t>
  </si>
  <si>
    <t>01453</t>
  </si>
  <si>
    <t xml:space="preserve">OTŘES MOZKU S MCC                                                                                   </t>
  </si>
  <si>
    <t>02011</t>
  </si>
  <si>
    <t xml:space="preserve">ENUKLEACE A VÝKONY NA OČNICI BEZ CC                                                                 </t>
  </si>
  <si>
    <t>02013</t>
  </si>
  <si>
    <t xml:space="preserve">ENUKLEACE A VÝKONY NA OČNICI S MCC                                                                  </t>
  </si>
  <si>
    <t>02322</t>
  </si>
  <si>
    <t xml:space="preserve">JINÉ PORUCHY OKA S CC                                                                               </t>
  </si>
  <si>
    <t>03031</t>
  </si>
  <si>
    <t xml:space="preserve">VÝKONY NA OBLIČEJOVÝCH KOSTECH, KROMĚ VELKÝCH VÝKONŮ NA HLAVĚ                                       </t>
  </si>
  <si>
    <t>03032</t>
  </si>
  <si>
    <t>03342</t>
  </si>
  <si>
    <t xml:space="preserve">NEMOCI ZUBŮ A ÚST S CC                                                                              </t>
  </si>
  <si>
    <t>04021</t>
  </si>
  <si>
    <t xml:space="preserve">MENŠÍ HRUDNÍ VÝKONY BEZ CC                                                                          </t>
  </si>
  <si>
    <t>04331</t>
  </si>
  <si>
    <t xml:space="preserve">ZÁVAŽNÉ TRAUMA HRUDNÍKU BEZ CC                                                                      </t>
  </si>
  <si>
    <t>04332</t>
  </si>
  <si>
    <t xml:space="preserve">ZÁVAŽNÉ TRAUMA HRUDNÍKU S CC                                                                        </t>
  </si>
  <si>
    <t>04401</t>
  </si>
  <si>
    <t xml:space="preserve">PNEUMOTORAX A PLEURÁNÍ VÝPOTEK BEZ CC                                                               </t>
  </si>
  <si>
    <t>04402</t>
  </si>
  <si>
    <t xml:space="preserve">PNEUMOTORAX A PLEURÁNÍ VÝPOTEK S CC                                                                 </t>
  </si>
  <si>
    <t>04411</t>
  </si>
  <si>
    <t xml:space="preserve">PŘÍZNAKY, SYMPTOMY A JINÉ DIAGNÓZY DÝCHACÍHO SYSTÉMU BEZ CC                                         </t>
  </si>
  <si>
    <t>04412</t>
  </si>
  <si>
    <t xml:space="preserve">PŘÍZNAKY, SYMPTOMY A JINÉ DIAGNÓZY DÝCHACÍHO SYSTÉMU S CC                                           </t>
  </si>
  <si>
    <t>05141</t>
  </si>
  <si>
    <t xml:space="preserve">JINÉ VASKULÁRNÍ VÝKONY BEZ CC                                                                       </t>
  </si>
  <si>
    <t>06381</t>
  </si>
  <si>
    <t xml:space="preserve">JINÉ PORUCHY TRÁVICÍHO SYSTÉMU BEZ CC                                                               </t>
  </si>
  <si>
    <t>06382</t>
  </si>
  <si>
    <t xml:space="preserve">JINÉ PORUCHY TRÁVICÍHO SYSTÉMU S CC                                                                 </t>
  </si>
  <si>
    <t>08032</t>
  </si>
  <si>
    <t xml:space="preserve">FÚZE PÁTEŘE, NE PRO DEFORMITY S CC                                                                  </t>
  </si>
  <si>
    <t>08041</t>
  </si>
  <si>
    <t xml:space="preserve">TOTÁLNÍ ENDOPROTÉZU KYČLE, LOKTE, ZÁPĚSTÍ, TOTÁLNÍ A REVERZNÍ                                       </t>
  </si>
  <si>
    <t>08042</t>
  </si>
  <si>
    <t>08081</t>
  </si>
  <si>
    <t xml:space="preserve">VÝKONY NA KYČLÍCH A STEHENNÍ KOSTI, KROMĚ REPLANTACE VELKÝCH                                        </t>
  </si>
  <si>
    <t>08082</t>
  </si>
  <si>
    <t>08083</t>
  </si>
  <si>
    <t>08091</t>
  </si>
  <si>
    <t xml:space="preserve">TRANSPLANTACE KŮŽE NEBO TKÁNĚ PRO PORUCHY MUSKULOSKELETÁLNÍHO                                       </t>
  </si>
  <si>
    <t>08092</t>
  </si>
  <si>
    <t>08111</t>
  </si>
  <si>
    <t xml:space="preserve">VÝKONY NA KOLENU, BÉRCI A HLEZNU, KROMĚ CHODIDLA A ALOPLASTIK                                       </t>
  </si>
  <si>
    <t>08112</t>
  </si>
  <si>
    <t>08121</t>
  </si>
  <si>
    <t xml:space="preserve">VYJMUTÍ VNITŘNÍHO FIXAČNÍHO ZAŘÍZENÍ BEZ CC                                                         </t>
  </si>
  <si>
    <t>08122</t>
  </si>
  <si>
    <t xml:space="preserve">VYJMUTÍ VNITŘNÍHO FIXAČNÍHO ZAŘÍZENÍ S CC                                                           </t>
  </si>
  <si>
    <t>08123</t>
  </si>
  <si>
    <t xml:space="preserve">VYJMUTÍ VNITŘNÍHO FIXAČNÍHO ZAŘÍZENÍ S MCC                                                          </t>
  </si>
  <si>
    <t>08131</t>
  </si>
  <si>
    <t xml:space="preserve">MÍSTNÍ RESEKCE NA MUSKULOSKELETÁLNÍM SYSTÉMU BEZ CC                                                 </t>
  </si>
  <si>
    <t>08141</t>
  </si>
  <si>
    <t xml:space="preserve">VÝKONY NA CHODIDLE BEZ CC                                                                           </t>
  </si>
  <si>
    <t>08142</t>
  </si>
  <si>
    <t xml:space="preserve">VÝKONY NA CHODIDLE S CC                                                                             </t>
  </si>
  <si>
    <t>08151</t>
  </si>
  <si>
    <t xml:space="preserve">VÝKONY NA HORNÍCH KONČETINÁCH BEZ CC                                                                </t>
  </si>
  <si>
    <t>08152</t>
  </si>
  <si>
    <t xml:space="preserve">VÝKONY NA HORNÍCH KONČETINÁCH S CC                                                                  </t>
  </si>
  <si>
    <t>08153</t>
  </si>
  <si>
    <t xml:space="preserve">VÝKONY NA HORNÍCH KONČETINÁCH S MCC                                                                 </t>
  </si>
  <si>
    <t>08161</t>
  </si>
  <si>
    <t xml:space="preserve">VÝKONY NA MĚKKÉ TKÁNI BEZ CC                                                                        </t>
  </si>
  <si>
    <t>08162</t>
  </si>
  <si>
    <t xml:space="preserve">VÝKONY NA MĚKKÉ TKÁNI S CC                                                                          </t>
  </si>
  <si>
    <t>08171</t>
  </si>
  <si>
    <t xml:space="preserve">JINÉ VÝKONY PŘI PORUCHÁCH A ONEMOCNĚNÍCH MUSKULOSKELETÁLNÍHO                                        </t>
  </si>
  <si>
    <t>08172</t>
  </si>
  <si>
    <t>08191</t>
  </si>
  <si>
    <t xml:space="preserve">ARTROSKOPIE BEZ CC                                                                                  </t>
  </si>
  <si>
    <t>08192</t>
  </si>
  <si>
    <t xml:space="preserve">ARTROSKOPIE S CC                                                                                    </t>
  </si>
  <si>
    <t>08301</t>
  </si>
  <si>
    <t xml:space="preserve">ZLOMENINY KOSTI STEHENNÍ BEZ CC                                                                     </t>
  </si>
  <si>
    <t>08311</t>
  </si>
  <si>
    <t xml:space="preserve">ZLOMENINA PÁNVE, NEBO DISLOKACE KYČLE BEZ CC                                                        </t>
  </si>
  <si>
    <t>08312</t>
  </si>
  <si>
    <t xml:space="preserve">ZLOMENINA PÁNVE, NEBO DISLOKACE KYČLE S CC                                                          </t>
  </si>
  <si>
    <t>08321</t>
  </si>
  <si>
    <t xml:space="preserve">ZLOMENINA NEBO DISLOKACE, KROMĚ STEHENNÍ KOSTI A PÁNVE BEZ CC                                       </t>
  </si>
  <si>
    <t>08322</t>
  </si>
  <si>
    <t xml:space="preserve">ZLOMENINA NEBO DISLOKACE, KROMĚ STEHENNÍ KOSTI A PÁNVE S CC                                         </t>
  </si>
  <si>
    <t>08341</t>
  </si>
  <si>
    <t xml:space="preserve">OSTEOMYELITIDA BEZ CC                                                                               </t>
  </si>
  <si>
    <t>08342</t>
  </si>
  <si>
    <t xml:space="preserve">OSTEOMYELITIDA S CC                                          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</si>
  <si>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</si>
  <si>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</si>
  <si>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</si>
  <si>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</si>
  <si>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08381</t>
  </si>
  <si>
    <t xml:space="preserve">JINÁ ONEMOCNĚNÍ KOSTÍ A KLOUBŮ BEZ CC                                                               </t>
  </si>
  <si>
    <t>08391</t>
  </si>
  <si>
    <t xml:space="preserve">SELHÁNÍ, REAKCE A KOMPLIKACE ORTOPEDICKÉHO PŘÍSTROJE NEBO VÝK                                       </t>
  </si>
  <si>
    <t>08401</t>
  </si>
  <si>
    <t xml:space="preserve">MUSKULOSKELETÁLNÍ PŘÍZNAKY, SYMPTOMY, VÝRONY A MÉNĚ VÝZNAMNÉ                                        </t>
  </si>
  <si>
    <t>08411</t>
  </si>
  <si>
    <t xml:space="preserve">JINÉ PORUCHY MUSKULOSKELETÁLNÍHO SYSTÉMU A POJIVOVÉ TKÁNĚ BEZ                                       </t>
  </si>
  <si>
    <t>08413</t>
  </si>
  <si>
    <t xml:space="preserve">JINÉ PORUCHY MUSKULOSKELETÁLNÍHO SYSTÉMU A POJIVOVÉ TKÁNĚ S M                                       </t>
  </si>
  <si>
    <t>09012</t>
  </si>
  <si>
    <t xml:space="preserve">KOŽNÍ ŠTĚP A/NEBO DEBRIDEMENT S CC                                                                  </t>
  </si>
  <si>
    <t>09031</t>
  </si>
  <si>
    <t xml:space="preserve">JINÉ VÝKONY PŘI PORUCHÁCH A ONEMOCNĚNÍCH KŮŽE, PODKOŽNÍ TKÁNĚ                                       </t>
  </si>
  <si>
    <t>09032</t>
  </si>
  <si>
    <t>09321</t>
  </si>
  <si>
    <t xml:space="preserve">FLEGMÓNA BEZ CC                                                                                     </t>
  </si>
  <si>
    <t>09322</t>
  </si>
  <si>
    <t xml:space="preserve">FLEGMÓNA S CC                                                                                       </t>
  </si>
  <si>
    <t>09323</t>
  </si>
  <si>
    <t xml:space="preserve">FLEGMÓNA S MCC                                                                                      </t>
  </si>
  <si>
    <t>09331</t>
  </si>
  <si>
    <t xml:space="preserve">PORANĚNÍ KŮŽE, PODKOŽNÍ TKÁNĚ A PRSU BEZ CC                                                         </t>
  </si>
  <si>
    <t>09332</t>
  </si>
  <si>
    <t xml:space="preserve">PORANĚNÍ KŮŽE, PODKOŽNÍ TKÁNĚ A PRSU S CC                                                           </t>
  </si>
  <si>
    <t>16343</t>
  </si>
  <si>
    <t xml:space="preserve">JINÉ PORUCHY KRVE A KRVETVORNÝCH ORGÁNŮ S MCC                                                       </t>
  </si>
  <si>
    <t>18021</t>
  </si>
  <si>
    <t xml:space="preserve">VÝKONY PRO POOPERAČNÍ A POÚRAZOVÉ INFEKCE BEZ CC                                                    </t>
  </si>
  <si>
    <t>18022</t>
  </si>
  <si>
    <t xml:space="preserve">VÝKONY PRO POOPERAČNÍ A POÚRAZOVÉ INFEKCE S CC                                                      </t>
  </si>
  <si>
    <t>18311</t>
  </si>
  <si>
    <t xml:space="preserve">POOPERAČNÍ A POÚRAZOVÉ INFEKCE BEZ CC                                                               </t>
  </si>
  <si>
    <t>18312</t>
  </si>
  <si>
    <t xml:space="preserve">POOPERAČNÍ A POÚRAZOVÉ INFEKCE S CC                                                                 </t>
  </si>
  <si>
    <t>18313</t>
  </si>
  <si>
    <t xml:space="preserve">POOPERAČNÍ A POÚRAZOVÉ INFEKCE S MCC                                                                </t>
  </si>
  <si>
    <t>21011</t>
  </si>
  <si>
    <t xml:space="preserve">MIKROVASKULÁRNÍ PŘENOS TKÁNĚ NEBO KOŽNÍ ŠTĚP PŘI ÚRAZECH BEZ                                        </t>
  </si>
  <si>
    <t>21012</t>
  </si>
  <si>
    <t xml:space="preserve">MIKROVASKULÁRNÍ PŘENOS TKÁNĚ NEBO KOŽNÍ ŠTĚP PŘI ÚRAZECH S CC                                       </t>
  </si>
  <si>
    <t>21022</t>
  </si>
  <si>
    <t xml:space="preserve">JINÉ VÝKONY PŘI ÚRAZECH A KOMPLIKACÍCH S CC                                                         </t>
  </si>
  <si>
    <t>21023</t>
  </si>
  <si>
    <t xml:space="preserve">JINÉ VÝKONY PŘI ÚRAZECH A KOMPLIKACÍCH S MCC                                                        </t>
  </si>
  <si>
    <t>21301</t>
  </si>
  <si>
    <t xml:space="preserve">PORANĚNÍ NA NESPECIFIKOVANÉM MÍSTĚ NEBO NA VÍCE MÍSTECH BEZ C                                       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</si>
  <si>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</si>
  <si>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</si>
  <si>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</si>
  <si>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</si>
  <si>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23391</t>
  </si>
  <si>
    <t xml:space="preserve">REHABILITACE 14-20 DNÍ BEZ CC                                                                       </t>
  </si>
  <si>
    <t>25011</t>
  </si>
  <si>
    <t xml:space="preserve">KRANIOTOMIE, VELKÝ VÝKON NA PÁTEŘI, KYČLI A KONČ. PŘI MNOHOČE                                       </t>
  </si>
  <si>
    <t>25012</t>
  </si>
  <si>
    <t>25013</t>
  </si>
  <si>
    <t>25021</t>
  </si>
  <si>
    <t xml:space="preserve">JINÉ VÝKONY PŘI MNOHOČETNÉM ZÁVAŽNÉM TRAUMATU BEZ CC                                                </t>
  </si>
  <si>
    <t>25022</t>
  </si>
  <si>
    <t xml:space="preserve">JINÉ VÝKONY PŘI MNOHOČETNÉM ZÁVAŽNÉM TRAUMATU S CC                                                  </t>
  </si>
  <si>
    <t>25023</t>
  </si>
  <si>
    <t xml:space="preserve">JINÉ VÝKONY PŘI MNOHOČETNÉM ZÁVAŽNÉM TRAUMATU S MCC                                                 </t>
  </si>
  <si>
    <t>25072</t>
  </si>
  <si>
    <t xml:space="preserve">DLOUHODOBÁ MECHANICKÁ VENTILACE PŘI POLYTRAUMATU &gt; 96 HODIN (                                       </t>
  </si>
  <si>
    <t>25301</t>
  </si>
  <si>
    <t xml:space="preserve">DIAGNÓZY TÝKAJÍCÍ SE HLAVY, HRUDNÍKU A DOLNÍCH KONČETIN PŘI M                                       </t>
  </si>
  <si>
    <t>25302</t>
  </si>
  <si>
    <t>25303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</si>
  <si>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</si>
  <si>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</si>
  <si>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</si>
  <si>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</si>
  <si>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</si>
  <si>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</si>
  <si>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</si>
  <si>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</si>
  <si>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</si>
  <si>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</si>
  <si>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</si>
  <si>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</si>
  <si>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205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</si>
  <si>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</si>
  <si>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</si>
  <si>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</si>
  <si>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</si>
  <si>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</si>
  <si>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</si>
  <si>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</si>
  <si>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</si>
  <si>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22</t>
  </si>
  <si>
    <t>407</t>
  </si>
  <si>
    <t>0093626</t>
  </si>
  <si>
    <t>ULTRAVIST 370</t>
  </si>
  <si>
    <t>0002073</t>
  </si>
  <si>
    <t>99mTc-oxidronát disodný inj.</t>
  </si>
  <si>
    <t>0002087</t>
  </si>
  <si>
    <t>18F-FDG</t>
  </si>
  <si>
    <t>0110740</t>
  </si>
  <si>
    <t>VÁLEC STERILNÍ JEDNORÁZOVÝ DO INJEKTORU,V BAL.2KS,</t>
  </si>
  <si>
    <t>47245</t>
  </si>
  <si>
    <t>SCINTIGRAFIE SKELETU CÍLENÁ TŘÍFÁZOVÁ</t>
  </si>
  <si>
    <t>47269</t>
  </si>
  <si>
    <t>TOMOGRAFICKÁ SCINTIGRAFIE - SPECT</t>
  </si>
  <si>
    <t>47355</t>
  </si>
  <si>
    <t>HYBRIDNÍ VÝPOČETNÍ A POZITRONOVÁ EMISNÍ TOMOGRAFIE</t>
  </si>
  <si>
    <t>47241</t>
  </si>
  <si>
    <t>SCINTIGRAFIE SKELETU</t>
  </si>
  <si>
    <t>816</t>
  </si>
  <si>
    <t>94119</t>
  </si>
  <si>
    <t>IZOLACE A UCHOVÁNÍ LIDSKÉ DNA (RNA)</t>
  </si>
  <si>
    <t>94199</t>
  </si>
  <si>
    <t>AMPLIFIKACE METODOU PCR</t>
  </si>
  <si>
    <t>94123</t>
  </si>
  <si>
    <t>PCR ANALÝZA LIDSKÉ DNA</t>
  </si>
  <si>
    <t>94195</t>
  </si>
  <si>
    <t>SYNTÉZA cDNA REVERZNÍ TRANSKRIPCÍ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</si>
  <si>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</si>
  <si>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</si>
  <si>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</si>
  <si>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</si>
  <si>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</si>
  <si>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</si>
  <si>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</si>
  <si>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</si>
  <si>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</si>
  <si>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</si>
  <si>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</si>
  <si>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</si>
  <si>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</si>
  <si>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</si>
  <si>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</si>
  <si>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</si>
  <si>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</si>
  <si>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</si>
  <si>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</si>
  <si>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</si>
  <si>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</si>
  <si>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</si>
  <si>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</si>
  <si>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</si>
  <si>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</si>
  <si>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</si>
  <si>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</si>
  <si>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96249</t>
  </si>
  <si>
    <t>AGREGACE TROMBOCYTŮ INDUKOVANÁ OSTATNÍMI INDUKTORY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</si>
  <si>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</si>
  <si>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</si>
  <si>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</si>
  <si>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</si>
  <si>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</si>
  <si>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</si>
  <si>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</si>
  <si>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</si>
  <si>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</si>
  <si>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</si>
  <si>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</si>
  <si>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</si>
  <si>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</si>
  <si>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</si>
  <si>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</si>
  <si>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</si>
  <si>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</si>
  <si>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</si>
  <si>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</si>
  <si>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</si>
  <si>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</si>
  <si>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</si>
  <si>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</si>
  <si>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</si>
  <si>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81427</t>
  </si>
  <si>
    <t>FOSFOR ANORGANICKÝ</t>
  </si>
  <si>
    <t>81481</t>
  </si>
  <si>
    <t>AMYLÁZA PANKREATICKÁ</t>
  </si>
  <si>
    <t>81527</t>
  </si>
  <si>
    <t>CHOLESTEROL LDL</t>
  </si>
  <si>
    <t>81731</t>
  </si>
  <si>
    <t>STANOVENÍ NATRIURETICKÝCH PEPTIDŮ V SÉRU A V PLAZM</t>
  </si>
  <si>
    <t>91137</t>
  </si>
  <si>
    <t>STANOVENÍ TRANSFERINU</t>
  </si>
  <si>
    <t>91481</t>
  </si>
  <si>
    <t>STANOVENÍ KONCENTRACE PROCALCITONINU</t>
  </si>
  <si>
    <t>93167</t>
  </si>
  <si>
    <t>NEURON - SPECIFICKÁ ENOLÁZA (NSE)</t>
  </si>
  <si>
    <t>93191</t>
  </si>
  <si>
    <t>TESTOSTERON</t>
  </si>
  <si>
    <t>93227</t>
  </si>
  <si>
    <t>ANTIGEN SQUAMÓZNÍCH NÁDOROVÝCH BUNĚK (SCC)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</si>
  <si>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</si>
  <si>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</si>
  <si>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</si>
  <si>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</si>
  <si>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</si>
  <si>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</si>
  <si>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</si>
  <si>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</si>
  <si>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</si>
  <si>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</si>
  <si>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</si>
  <si>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</si>
  <si>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</si>
  <si>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</si>
  <si>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</si>
  <si>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</si>
  <si>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</si>
  <si>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</si>
  <si>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</si>
  <si>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</si>
  <si>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</si>
  <si>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</si>
  <si>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</si>
  <si>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</si>
  <si>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</si>
  <si>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</si>
  <si>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81495</t>
  </si>
  <si>
    <t>KREATINKINÁZA (CK)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</si>
  <si>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</si>
  <si>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</si>
  <si>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</si>
  <si>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</si>
  <si>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</si>
  <si>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</si>
  <si>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</si>
  <si>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</si>
  <si>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</si>
  <si>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</si>
  <si>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</si>
  <si>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</si>
  <si>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</si>
  <si>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</si>
  <si>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81249</t>
  </si>
  <si>
    <t>CEA (MEIA)</t>
  </si>
  <si>
    <t>81139</t>
  </si>
  <si>
    <t>VÁPNÍK CELKOVÝ STATIM</t>
  </si>
  <si>
    <t>91143</t>
  </si>
  <si>
    <t>STANOVENÍ PREALBUMINU</t>
  </si>
  <si>
    <t>81465</t>
  </si>
  <si>
    <t>HOŘČÍK</t>
  </si>
  <si>
    <t>93215</t>
  </si>
  <si>
    <t>ALFA - 1 - FETOPROTEIN (AFP)</t>
  </si>
  <si>
    <t>93159</t>
  </si>
  <si>
    <t>CHORIOGONADOTROPIN (HCG)</t>
  </si>
  <si>
    <t>81533</t>
  </si>
  <si>
    <t>LIPÁZA</t>
  </si>
  <si>
    <t>81125</t>
  </si>
  <si>
    <t>BÍLKOVINY CELKOVÉ (SÉRUM) STATIM</t>
  </si>
  <si>
    <t>81235</t>
  </si>
  <si>
    <t>TUMORMARKERY CA 19-9, CA 15-3, CA 72-4, CA 125</t>
  </si>
  <si>
    <t>81355</t>
  </si>
  <si>
    <t>APOLIPOPROTEINY AI NEBO B</t>
  </si>
  <si>
    <t>81123</t>
  </si>
  <si>
    <t>BILIRUBIN KONJUGOVANÝ STATIM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</si>
  <si>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</si>
  <si>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</si>
  <si>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</si>
  <si>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</si>
  <si>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</si>
  <si>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</si>
  <si>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</si>
  <si>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</si>
  <si>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81159</t>
  </si>
  <si>
    <t>CHOLINESTERÁZA STATIM</t>
  </si>
  <si>
    <t>81773</t>
  </si>
  <si>
    <t>KREATINKINÁZA IZOENZYMY CK-MB MASS</t>
  </si>
  <si>
    <t>81775</t>
  </si>
  <si>
    <t>KVANTITATIVNÍ ANALÝZA MOCE</t>
  </si>
  <si>
    <t>813</t>
  </si>
  <si>
    <t>91197</t>
  </si>
  <si>
    <t>STANOVENÍ CYTOKINU ELISA</t>
  </si>
  <si>
    <t>34</t>
  </si>
  <si>
    <t>809</t>
  </si>
  <si>
    <t>0022075</t>
  </si>
  <si>
    <t>IOMERON 400</t>
  </si>
  <si>
    <t>0042433</t>
  </si>
  <si>
    <t>VISIPAQUE 320 MG I/ML</t>
  </si>
  <si>
    <t>0065978</t>
  </si>
  <si>
    <t>DOTAREM</t>
  </si>
  <si>
    <t>0077019</t>
  </si>
  <si>
    <t>0151208</t>
  </si>
  <si>
    <t>0038462</t>
  </si>
  <si>
    <t>DRÁT VODÍCÍ GUIDE WIRE M</t>
  </si>
  <si>
    <t>0038503</t>
  </si>
  <si>
    <t>SOUPRAVA ZAVÁDĚCÍ INTRODUCER</t>
  </si>
  <si>
    <t>0053563</t>
  </si>
  <si>
    <t>KATETR DIAGNOSTICKÝ TEMPO4F,5F</t>
  </si>
  <si>
    <t>0056365</t>
  </si>
  <si>
    <t>ZAVADĚČ MIKROPUNKČNÍ, NITINOLOVÝ VODIČ</t>
  </si>
  <si>
    <t>0058736</t>
  </si>
  <si>
    <t>TĚLÍSKO EMBOLIZAČNÍ NESTER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</si>
  <si>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</si>
  <si>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</si>
  <si>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</si>
  <si>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</si>
  <si>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</si>
  <si>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</si>
  <si>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</si>
  <si>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</si>
  <si>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</si>
  <si>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</si>
  <si>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</si>
  <si>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</si>
  <si>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89137</t>
  </si>
  <si>
    <t>RENTGENOVÉ VYŠETŘENÍ KLOUBU - DRŽENÉ SNÍMKY</t>
  </si>
  <si>
    <t>89313</t>
  </si>
  <si>
    <t xml:space="preserve">PERKUTÁNNÍ PUNKCE NEBO BIOPSIE ŘÍZENÁ RDG METODOU </t>
  </si>
  <si>
    <t>89323</t>
  </si>
  <si>
    <t>TERAPEUTICKÁ EMBOLIZACE V CÉVNÍM ŘEČIŠTI</t>
  </si>
  <si>
    <t>89417</t>
  </si>
  <si>
    <t xml:space="preserve">PŘEHLEDNÁ ČI SELEKTIVNÍ ANGIOGRAFIE NAVAZUJÍCÍ NA </t>
  </si>
  <si>
    <t>89419</t>
  </si>
  <si>
    <t>PUNKČNÍ ANGIOGRAFIE</t>
  </si>
  <si>
    <t>89617</t>
  </si>
  <si>
    <t>CT VYŠETŘENÍ KTERÉHOKOLIV ORGÁNU NEBO OBLASTI S AP</t>
  </si>
  <si>
    <t>89713</t>
  </si>
  <si>
    <t>MR ZOBRAZENÍ HLAVY, KONČETIN, KLOUBU, JEDNOHO ÚSEK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</si>
  <si>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</si>
  <si>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</si>
  <si>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</si>
  <si>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</si>
  <si>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</si>
  <si>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</si>
  <si>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</si>
  <si>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</si>
  <si>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</si>
  <si>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</si>
  <si>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</si>
  <si>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</si>
  <si>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</si>
  <si>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</si>
  <si>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89115</t>
  </si>
  <si>
    <t>RTG LEBKY, PŘEHLEDNÉ SNÍMKY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</si>
  <si>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</si>
  <si>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</si>
  <si>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</si>
  <si>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</si>
  <si>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</si>
  <si>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</si>
  <si>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</si>
  <si>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89141</t>
  </si>
  <si>
    <t>VYŠETŘENÍ DOLNÍCH KONČETIN VCELKU JEDNÍM RENTGENOV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</si>
  <si>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</si>
  <si>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</si>
  <si>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</si>
  <si>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</si>
  <si>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</si>
  <si>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</si>
  <si>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</si>
  <si>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</si>
  <si>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</si>
  <si>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</si>
  <si>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</si>
  <si>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</si>
  <si>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</si>
  <si>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</si>
  <si>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</si>
  <si>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</si>
  <si>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</si>
  <si>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</si>
  <si>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</si>
  <si>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</si>
  <si>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</si>
  <si>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</si>
  <si>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</si>
  <si>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</si>
  <si>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</si>
  <si>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</si>
  <si>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</si>
  <si>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</si>
  <si>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</si>
  <si>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</si>
  <si>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</si>
  <si>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</si>
  <si>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</si>
  <si>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</si>
  <si>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</si>
  <si>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</si>
  <si>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</si>
  <si>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</si>
  <si>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</si>
  <si>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</si>
  <si>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</si>
  <si>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</si>
  <si>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</si>
  <si>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</si>
  <si>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</si>
  <si>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</si>
  <si>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87511</t>
  </si>
  <si>
    <t>STANOVENÍ BIOPTICKÉ DIAGNÓZY I. STUPNĚ OBTÍŽNOSTI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</si>
  <si>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</si>
  <si>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</si>
  <si>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</si>
  <si>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</si>
  <si>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</si>
  <si>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</si>
  <si>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</si>
  <si>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87135</t>
  </si>
  <si>
    <t>VYŠETŘENÍ MORFOMETRICKÉ - ZA KAŽDÝ PARAMETR</t>
  </si>
  <si>
    <t>40</t>
  </si>
  <si>
    <t>802</t>
  </si>
  <si>
    <t>82001</t>
  </si>
  <si>
    <t>KONSULTACE K MIKROBIOLOGICKÉMU, PARAZITOLOGICKÉMU,</t>
  </si>
  <si>
    <t>82057</t>
  </si>
  <si>
    <t>IDENTIFIKACE KMENE ORIENTAČNÍ JEDNODUCHÝM TESTEM</t>
  </si>
  <si>
    <t>82097</t>
  </si>
  <si>
    <t>STANOVENÍ PROTILÁTEK PROTI EBV (ELISA)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</si>
  <si>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</si>
  <si>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</si>
  <si>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</si>
  <si>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</si>
  <si>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</si>
  <si>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</si>
  <si>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</si>
  <si>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</si>
  <si>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</si>
  <si>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</si>
  <si>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</si>
  <si>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</si>
  <si>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</si>
  <si>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</si>
  <si>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82063</t>
  </si>
  <si>
    <t>STANOVENÍ CITLIVOSTI NA ATB KVALITATIVNÍ METODOU</t>
  </si>
  <si>
    <t>82083</t>
  </si>
  <si>
    <t>PRŮKAZ BAKTERIÁLNÍHO TOXINU BIOLOGICKÝM POKUSEM NA</t>
  </si>
  <si>
    <t>41</t>
  </si>
  <si>
    <t>91131</t>
  </si>
  <si>
    <t>STANOVENÍ IgA</t>
  </si>
  <si>
    <t>91439</t>
  </si>
  <si>
    <t>IMUNOFENOTYPIZACE BUNĚČNÝCH SUBPOPULACÍ DLE POVRCH</t>
  </si>
  <si>
    <t>91129</t>
  </si>
  <si>
    <t>STANOVENÍ IgG</t>
  </si>
  <si>
    <t>91189</t>
  </si>
  <si>
    <t>STANOVENÍ IgE</t>
  </si>
  <si>
    <t>91133</t>
  </si>
  <si>
    <t>STANOVENÍ IgM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</si>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</sst>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1018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1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1" fontId="31" fillId="3" borderId="30" xfId="81" applyNumberFormat="1" applyFont="1" applyFill="1" applyBorder="1"/>
    <xf numFmtId="171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7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7" xfId="26" applyNumberFormat="1" applyFont="1" applyFill="1" applyBorder="1"/>
    <xf numFmtId="9" fontId="32" fillId="0" borderId="28" xfId="26" applyNumberFormat="1" applyFont="1" applyFill="1" applyBorder="1"/>
    <xf numFmtId="170" fontId="32" fillId="0" borderId="5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9" xfId="26" applyNumberFormat="1" applyFont="1" applyFill="1" applyBorder="1"/>
    <xf numFmtId="170" fontId="32" fillId="0" borderId="24" xfId="26" applyNumberFormat="1" applyFont="1" applyFill="1" applyBorder="1"/>
    <xf numFmtId="9" fontId="32" fillId="0" borderId="25" xfId="26" applyNumberFormat="1" applyFont="1" applyFill="1" applyBorder="1"/>
    <xf numFmtId="170" fontId="32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68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2" borderId="21" xfId="26" applyNumberFormat="1" applyFont="1" applyFill="1" applyBorder="1"/>
    <xf numFmtId="3" fontId="34" fillId="4" borderId="22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7" fontId="34" fillId="2" borderId="23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7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7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7" fontId="34" fillId="3" borderId="23" xfId="86" applyNumberFormat="1" applyFont="1" applyFill="1" applyBorder="1" applyAlignment="1">
      <alignment horizontal="right"/>
    </xf>
    <xf numFmtId="167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7" fontId="34" fillId="4" borderId="23" xfId="26" applyNumberFormat="1" applyFont="1" applyFill="1" applyBorder="1" applyAlignment="1">
      <alignment horizontal="center"/>
    </xf>
    <xf numFmtId="3" fontId="34" fillId="4" borderId="30" xfId="26" applyNumberFormat="1" applyFont="1" applyFill="1" applyBorder="1"/>
    <xf numFmtId="167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7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5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3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7" xfId="0" applyFont="1" applyFill="1" applyBorder="1"/>
    <xf numFmtId="0" fontId="35" fillId="5" borderId="5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4" xfId="53" applyFont="1" applyFill="1" applyBorder="1" applyAlignment="1">
      <alignment horizontal="right"/>
    </xf>
    <xf numFmtId="164" fontId="34" fillId="0" borderId="79" xfId="53" applyNumberFormat="1" applyFont="1" applyFill="1" applyBorder="1"/>
    <xf numFmtId="164" fontId="34" fillId="0" borderId="80" xfId="53" applyNumberFormat="1" applyFont="1" applyFill="1" applyBorder="1"/>
    <xf numFmtId="9" fontId="34" fillId="0" borderId="81" xfId="83" applyNumberFormat="1" applyFont="1" applyFill="1" applyBorder="1"/>
    <xf numFmtId="3" fontId="34" fillId="0" borderId="81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5" xfId="26" applyFont="1" applyFill="1" applyBorder="1" applyAlignment="1">
      <alignment horizontal="right"/>
    </xf>
    <xf numFmtId="170" fontId="32" fillId="0" borderId="5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4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51" xfId="74" applyFont="1" applyFill="1" applyBorder="1" applyAlignment="1">
      <alignment horizontal="center"/>
    </xf>
    <xf numFmtId="0" fontId="30" fillId="5" borderId="47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20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3" fontId="32" fillId="7" borderId="85" xfId="26" applyNumberFormat="1" applyFont="1" applyFill="1" applyBorder="1"/>
    <xf numFmtId="3" fontId="32" fillId="7" borderId="65" xfId="26" applyNumberFormat="1" applyFont="1" applyFill="1" applyBorder="1"/>
    <xf numFmtId="167" fontId="34" fillId="7" borderId="73" xfId="86" applyNumberFormat="1" applyFont="1" applyFill="1" applyBorder="1" applyAlignment="1">
      <alignment horizontal="right"/>
    </xf>
    <xf numFmtId="3" fontId="32" fillId="7" borderId="86" xfId="26" applyNumberFormat="1" applyFont="1" applyFill="1" applyBorder="1"/>
    <xf numFmtId="167" fontId="34" fillId="7" borderId="73" xfId="86" applyNumberFormat="1" applyFont="1" applyFill="1" applyBorder="1"/>
    <xf numFmtId="3" fontId="32" fillId="0" borderId="85" xfId="26" applyNumberFormat="1" applyFont="1" applyFill="1" applyBorder="1" applyAlignment="1">
      <alignment horizontal="center"/>
    </xf>
    <xf numFmtId="3" fontId="32" fillId="0" borderId="73" xfId="26" applyNumberFormat="1" applyFont="1" applyFill="1" applyBorder="1" applyAlignment="1">
      <alignment horizontal="center"/>
    </xf>
    <xf numFmtId="3" fontId="32" fillId="7" borderId="85" xfId="26" applyNumberFormat="1" applyFont="1" applyFill="1" applyBorder="1" applyAlignment="1">
      <alignment horizontal="center"/>
    </xf>
    <xf numFmtId="3" fontId="32" fillId="7" borderId="73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5" xfId="0" applyFont="1" applyFill="1" applyBorder="1" applyAlignment="1"/>
    <xf numFmtId="0" fontId="35" fillId="0" borderId="0" xfId="0" applyFont="1" applyFill="1" applyAlignment="1"/>
    <xf numFmtId="0" fontId="50" fillId="4" borderId="36" xfId="1" applyFont="1" applyFill="1" applyBorder="1"/>
    <xf numFmtId="0" fontId="50" fillId="4" borderId="20" xfId="1" applyFont="1" applyFill="1" applyBorder="1"/>
    <xf numFmtId="0" fontId="50" fillId="3" borderId="21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6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8" xfId="0" applyNumberFormat="1" applyFont="1" applyFill="1" applyBorder="1"/>
    <xf numFmtId="3" fontId="42" fillId="2" borderId="60" xfId="0" applyNumberFormat="1" applyFont="1" applyFill="1" applyBorder="1"/>
    <xf numFmtId="9" fontId="42" fillId="2" borderId="67" xfId="0" applyNumberFormat="1" applyFont="1" applyFill="1" applyBorder="1"/>
    <xf numFmtId="0" fontId="54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64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50" fillId="2" borderId="37" xfId="1" applyFont="1" applyFill="1" applyBorder="1" applyAlignment="1">
      <alignment horizontal="left" indent="2"/>
    </xf>
    <xf numFmtId="0" fontId="54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7" xfId="0" applyFont="1" applyFill="1" applyBorder="1" applyAlignment="1">
      <alignment horizontal="left" indent="2"/>
    </xf>
    <xf numFmtId="0" fontId="35" fillId="0" borderId="47" xfId="0" applyFont="1" applyBorder="1" applyAlignment="1"/>
    <xf numFmtId="3" fontId="35" fillId="0" borderId="47" xfId="0" applyNumberFormat="1" applyFont="1" applyBorder="1" applyAlignment="1"/>
    <xf numFmtId="9" fontId="35" fillId="0" borderId="47" xfId="0" applyNumberFormat="1" applyFont="1" applyBorder="1" applyAlignment="1"/>
    <xf numFmtId="0" fontId="54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4" fillId="4" borderId="64" xfId="1" applyFont="1" applyFill="1" applyBorder="1" applyAlignment="1">
      <alignment horizontal="left"/>
    </xf>
    <xf numFmtId="0" fontId="50" fillId="4" borderId="37" xfId="1" applyFont="1" applyFill="1" applyBorder="1" applyAlignment="1">
      <alignment horizontal="left" indent="2"/>
    </xf>
    <xf numFmtId="0" fontId="54" fillId="4" borderId="37" xfId="1" applyFont="1" applyFill="1" applyBorder="1" applyAlignment="1">
      <alignment horizontal="left"/>
    </xf>
    <xf numFmtId="9" fontId="35" fillId="0" borderId="11" xfId="0" applyNumberFormat="1" applyFont="1" applyBorder="1" applyAlignment="1">
      <alignment horizontal="right"/>
    </xf>
    <xf numFmtId="0" fontId="50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5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7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9" xfId="0" applyFont="1" applyFill="1" applyBorder="1" applyAlignment="1">
      <alignment horizontal="right"/>
    </xf>
    <xf numFmtId="16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69" fontId="42" fillId="0" borderId="31" xfId="0" applyNumberFormat="1" applyFont="1" applyFill="1" applyBorder="1" applyAlignment="1"/>
    <xf numFmtId="9" fontId="42" fillId="0" borderId="5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5" xfId="0" applyNumberFormat="1" applyFont="1" applyFill="1" applyBorder="1" applyAlignment="1"/>
    <xf numFmtId="9" fontId="35" fillId="0" borderId="5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7" xfId="0" applyNumberFormat="1" applyFont="1" applyFill="1" applyBorder="1"/>
    <xf numFmtId="3" fontId="60" fillId="9" borderId="88" xfId="0" applyNumberFormat="1" applyFont="1" applyFill="1" applyBorder="1"/>
    <xf numFmtId="3" fontId="60" fillId="9" borderId="87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3" fontId="42" fillId="2" borderId="91" xfId="0" applyNumberFormat="1" applyFont="1" applyFill="1" applyBorder="1" applyAlignment="1">
      <alignment horizontal="center" vertical="center"/>
    </xf>
    <xf numFmtId="0" fontId="42" fillId="2" borderId="92" xfId="0" applyFont="1" applyFill="1" applyBorder="1" applyAlignment="1">
      <alignment horizontal="center" vertical="center"/>
    </xf>
    <xf numFmtId="3" fontId="62" fillId="2" borderId="94" xfId="0" applyNumberFormat="1" applyFont="1" applyFill="1" applyBorder="1" applyAlignment="1">
      <alignment horizontal="center" vertical="center" wrapText="1"/>
    </xf>
    <xf numFmtId="0" fontId="62" fillId="2" borderId="95" xfId="0" applyFont="1" applyFill="1" applyBorder="1" applyAlignment="1">
      <alignment horizontal="center" vertical="center" wrapText="1"/>
    </xf>
    <xf numFmtId="0" fontId="42" fillId="2" borderId="97" xfId="0" applyFont="1" applyFill="1" applyBorder="1" applyAlignment="1"/>
    <xf numFmtId="0" fontId="42" fillId="2" borderId="99" xfId="0" applyFont="1" applyFill="1" applyBorder="1" applyAlignment="1">
      <alignment horizontal="left" indent="1"/>
    </xf>
    <xf numFmtId="0" fontId="42" fillId="2" borderId="105" xfId="0" applyFont="1" applyFill="1" applyBorder="1" applyAlignment="1">
      <alignment horizontal="left" indent="1"/>
    </xf>
    <xf numFmtId="0" fontId="42" fillId="4" borderId="97" xfId="0" applyFont="1" applyFill="1" applyBorder="1" applyAlignment="1"/>
    <xf numFmtId="0" fontId="42" fillId="4" borderId="99" xfId="0" applyFont="1" applyFill="1" applyBorder="1" applyAlignment="1">
      <alignment horizontal="left" indent="1"/>
    </xf>
    <xf numFmtId="0" fontId="42" fillId="4" borderId="110" xfId="0" applyFont="1" applyFill="1" applyBorder="1" applyAlignment="1">
      <alignment horizontal="left" indent="1"/>
    </xf>
    <xf numFmtId="0" fontId="35" fillId="2" borderId="99" xfId="0" quotePrefix="1" applyFont="1" applyFill="1" applyBorder="1" applyAlignment="1">
      <alignment horizontal="left" indent="2"/>
    </xf>
    <xf numFmtId="0" fontId="35" fillId="2" borderId="105" xfId="0" quotePrefix="1" applyFont="1" applyFill="1" applyBorder="1" applyAlignment="1">
      <alignment horizontal="left" indent="2"/>
    </xf>
    <xf numFmtId="0" fontId="42" fillId="2" borderId="97" xfId="0" applyFont="1" applyFill="1" applyBorder="1" applyAlignment="1">
      <alignment horizontal="left" indent="1"/>
    </xf>
    <xf numFmtId="0" fontId="42" fillId="2" borderId="110" xfId="0" applyFont="1" applyFill="1" applyBorder="1" applyAlignment="1">
      <alignment horizontal="left" indent="1"/>
    </xf>
    <xf numFmtId="0" fontId="42" fillId="4" borderId="105" xfId="0" applyFont="1" applyFill="1" applyBorder="1" applyAlignment="1">
      <alignment horizontal="left" indent="1"/>
    </xf>
    <xf numFmtId="0" fontId="35" fillId="0" borderId="115" xfId="0" applyFont="1" applyBorder="1"/>
    <xf numFmtId="3" fontId="35" fillId="0" borderId="115" xfId="0" applyNumberFormat="1" applyFont="1" applyBorder="1"/>
    <xf numFmtId="0" fontId="42" fillId="4" borderId="89" xfId="0" applyFont="1" applyFill="1" applyBorder="1" applyAlignment="1">
      <alignment horizontal="center" vertical="center"/>
    </xf>
    <xf numFmtId="0" fontId="42" fillId="4" borderId="68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4" xfId="0" applyNumberFormat="1" applyFont="1" applyFill="1" applyBorder="1" applyAlignment="1">
      <alignment horizontal="center" vertical="center"/>
    </xf>
    <xf numFmtId="3" fontId="62" fillId="2" borderId="112" xfId="0" applyNumberFormat="1" applyFont="1" applyFill="1" applyBorder="1" applyAlignment="1">
      <alignment horizontal="center" vertical="center" wrapText="1"/>
    </xf>
    <xf numFmtId="173" fontId="42" fillId="4" borderId="98" xfId="0" applyNumberFormat="1" applyFont="1" applyFill="1" applyBorder="1" applyAlignment="1"/>
    <xf numFmtId="173" fontId="42" fillId="4" borderId="91" xfId="0" applyNumberFormat="1" applyFont="1" applyFill="1" applyBorder="1" applyAlignment="1"/>
    <xf numFmtId="173" fontId="42" fillId="4" borderId="92" xfId="0" applyNumberFormat="1" applyFont="1" applyFill="1" applyBorder="1" applyAlignment="1"/>
    <xf numFmtId="173" fontId="42" fillId="0" borderId="100" xfId="0" applyNumberFormat="1" applyFont="1" applyBorder="1"/>
    <xf numFmtId="173" fontId="35" fillId="0" borderId="104" xfId="0" applyNumberFormat="1" applyFont="1" applyBorder="1"/>
    <xf numFmtId="173" fontId="35" fillId="0" borderId="102" xfId="0" applyNumberFormat="1" applyFont="1" applyBorder="1"/>
    <xf numFmtId="173" fontId="35" fillId="0" borderId="103" xfId="0" applyNumberFormat="1" applyFont="1" applyBorder="1"/>
    <xf numFmtId="173" fontId="42" fillId="0" borderId="111" xfId="0" applyNumberFormat="1" applyFont="1" applyBorder="1"/>
    <xf numFmtId="173" fontId="35" fillId="0" borderId="112" xfId="0" applyNumberFormat="1" applyFont="1" applyBorder="1"/>
    <xf numFmtId="173" fontId="35" fillId="0" borderId="95" xfId="0" applyNumberFormat="1" applyFont="1" applyBorder="1"/>
    <xf numFmtId="173" fontId="35" fillId="0" borderId="96" xfId="0" applyNumberFormat="1" applyFont="1" applyBorder="1"/>
    <xf numFmtId="173" fontId="42" fillId="2" borderId="113" xfId="0" applyNumberFormat="1" applyFont="1" applyFill="1" applyBorder="1" applyAlignment="1"/>
    <xf numFmtId="173" fontId="42" fillId="2" borderId="91" xfId="0" applyNumberFormat="1" applyFont="1" applyFill="1" applyBorder="1" applyAlignment="1"/>
    <xf numFmtId="173" fontId="42" fillId="2" borderId="92" xfId="0" applyNumberFormat="1" applyFont="1" applyFill="1" applyBorder="1" applyAlignment="1"/>
    <xf numFmtId="173" fontId="42" fillId="0" borderId="106" xfId="0" applyNumberFormat="1" applyFont="1" applyBorder="1"/>
    <xf numFmtId="173" fontId="35" fillId="0" borderId="107" xfId="0" applyNumberFormat="1" applyFont="1" applyBorder="1"/>
    <xf numFmtId="173" fontId="35" fillId="0" borderId="108" xfId="0" applyNumberFormat="1" applyFont="1" applyBorder="1"/>
    <xf numFmtId="173" fontId="42" fillId="0" borderId="98" xfId="0" applyNumberFormat="1" applyFont="1" applyBorder="1"/>
    <xf numFmtId="173" fontId="35" fillId="0" borderId="114" xfId="0" applyNumberFormat="1" applyFont="1" applyBorder="1"/>
    <xf numFmtId="173" fontId="35" fillId="0" borderId="92" xfId="0" applyNumberFormat="1" applyFont="1" applyBorder="1"/>
    <xf numFmtId="174" fontId="42" fillId="2" borderId="98" xfId="0" applyNumberFormat="1" applyFont="1" applyFill="1" applyBorder="1" applyAlignment="1"/>
    <xf numFmtId="174" fontId="35" fillId="2" borderId="91" xfId="0" applyNumberFormat="1" applyFont="1" applyFill="1" applyBorder="1" applyAlignment="1"/>
    <xf numFmtId="174" fontId="35" fillId="2" borderId="92" xfId="0" applyNumberFormat="1" applyFont="1" applyFill="1" applyBorder="1" applyAlignment="1"/>
    <xf numFmtId="174" fontId="42" fillId="0" borderId="100" xfId="0" applyNumberFormat="1" applyFont="1" applyBorder="1"/>
    <xf numFmtId="174" fontId="35" fillId="0" borderId="101" xfId="0" applyNumberFormat="1" applyFont="1" applyBorder="1"/>
    <xf numFmtId="174" fontId="35" fillId="0" borderId="102" xfId="0" applyNumberFormat="1" applyFont="1" applyBorder="1"/>
    <xf numFmtId="174" fontId="35" fillId="0" borderId="104" xfId="0" applyNumberFormat="1" applyFont="1" applyBorder="1"/>
    <xf numFmtId="174" fontId="42" fillId="0" borderId="106" xfId="0" applyNumberFormat="1" applyFont="1" applyBorder="1"/>
    <xf numFmtId="174" fontId="35" fillId="0" borderId="107" xfId="0" applyNumberFormat="1" applyFont="1" applyBorder="1"/>
    <xf numFmtId="174" fontId="35" fillId="0" borderId="108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8" xfId="0" applyNumberFormat="1" applyFont="1" applyFill="1" applyBorder="1" applyAlignment="1">
      <alignment horizontal="center"/>
    </xf>
    <xf numFmtId="175" fontId="42" fillId="0" borderId="106" xfId="0" applyNumberFormat="1" applyFont="1" applyBorder="1"/>
    <xf numFmtId="0" fontId="34" fillId="2" borderId="122" xfId="74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96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9" xfId="53" applyNumberFormat="1" applyFont="1" applyFill="1" applyBorder="1"/>
    <xf numFmtId="3" fontId="34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5" fillId="0" borderId="30" xfId="0" applyNumberFormat="1" applyFont="1" applyFill="1" applyBorder="1"/>
    <xf numFmtId="9" fontId="35" fillId="0" borderId="23" xfId="0" applyNumberFormat="1" applyFont="1" applyFill="1" applyBorder="1"/>
    <xf numFmtId="9" fontId="35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5" fillId="5" borderId="103" xfId="0" applyFont="1" applyFill="1" applyBorder="1"/>
    <xf numFmtId="0" fontId="35" fillId="0" borderId="104" xfId="0" applyFont="1" applyBorder="1" applyAlignment="1"/>
    <xf numFmtId="9" fontId="35" fillId="0" borderId="102" xfId="0" applyNumberFormat="1" applyFont="1" applyBorder="1" applyAlignment="1"/>
    <xf numFmtId="0" fontId="28" fillId="2" borderId="37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3" fontId="42" fillId="0" borderId="22" xfId="0" applyNumberFormat="1" applyFont="1" applyFill="1" applyBorder="1" applyAlignment="1"/>
    <xf numFmtId="3" fontId="42" fillId="0" borderId="30" xfId="0" applyNumberFormat="1" applyFont="1" applyFill="1" applyBorder="1" applyAlignment="1"/>
    <xf numFmtId="169" fontId="42" fillId="0" borderId="23" xfId="0" applyNumberFormat="1" applyFont="1" applyFill="1" applyBorder="1" applyAlignment="1"/>
    <xf numFmtId="9" fontId="42" fillId="0" borderId="100" xfId="0" applyNumberFormat="1" applyFont="1" applyBorder="1"/>
    <xf numFmtId="9" fontId="35" fillId="0" borderId="104" xfId="0" applyNumberFormat="1" applyFont="1" applyBorder="1"/>
    <xf numFmtId="9" fontId="35" fillId="0" borderId="102" xfId="0" applyNumberFormat="1" applyFont="1" applyBorder="1"/>
    <xf numFmtId="9" fontId="35" fillId="0" borderId="103" xfId="0" applyNumberFormat="1" applyFont="1" applyBorder="1"/>
    <xf numFmtId="0" fontId="62" fillId="2" borderId="112" xfId="0" applyFont="1" applyFill="1" applyBorder="1" applyAlignment="1">
      <alignment horizontal="center" vertical="center" wrapText="1"/>
    </xf>
    <xf numFmtId="174" fontId="35" fillId="2" borderId="114" xfId="0" applyNumberFormat="1" applyFont="1" applyFill="1" applyBorder="1" applyAlignment="1"/>
    <xf numFmtId="173" fontId="42" fillId="4" borderId="114" xfId="0" applyNumberFormat="1" applyFont="1" applyFill="1" applyBorder="1" applyAlignment="1"/>
    <xf numFmtId="173" fontId="42" fillId="2" borderId="114" xfId="0" applyNumberFormat="1" applyFont="1" applyFill="1" applyBorder="1" applyAlignment="1"/>
    <xf numFmtId="49" fontId="40" fillId="2" borderId="102" xfId="0" quotePrefix="1" applyNumberFormat="1" applyFont="1" applyFill="1" applyBorder="1" applyAlignment="1">
      <alignment horizontal="center" vertical="center"/>
    </xf>
    <xf numFmtId="0" fontId="34" fillId="10" borderId="1" xfId="26" applyNumberFormat="1" applyFont="1" applyFill="1" applyBorder="1" applyAlignment="1">
      <alignment horizontal="center"/>
    </xf>
    <xf numFmtId="0" fontId="34" fillId="10" borderId="2" xfId="26" applyNumberFormat="1" applyFont="1" applyFill="1" applyBorder="1" applyAlignment="1">
      <alignment horizontal="center"/>
    </xf>
    <xf numFmtId="167" fontId="34" fillId="10" borderId="3" xfId="26" applyNumberFormat="1" applyFont="1" applyFill="1" applyBorder="1" applyAlignment="1">
      <alignment horizontal="center"/>
    </xf>
    <xf numFmtId="3" fontId="34" fillId="10" borderId="22" xfId="26" applyNumberFormat="1" applyFont="1" applyFill="1" applyBorder="1"/>
    <xf numFmtId="3" fontId="34" fillId="10" borderId="30" xfId="26" applyNumberFormat="1" applyFont="1" applyFill="1" applyBorder="1"/>
    <xf numFmtId="167" fontId="34" fillId="10" borderId="23" xfId="86" applyNumberFormat="1" applyFont="1" applyFill="1" applyBorder="1" applyAlignment="1">
      <alignment horizontal="right"/>
    </xf>
    <xf numFmtId="3" fontId="34" fillId="10" borderId="31" xfId="26" applyNumberFormat="1" applyFont="1" applyFill="1" applyBorder="1"/>
    <xf numFmtId="167" fontId="34" fillId="10" borderId="23" xfId="86" applyNumberFormat="1" applyFont="1" applyFill="1" applyBorder="1"/>
    <xf numFmtId="3" fontId="34" fillId="10" borderId="22" xfId="26" applyNumberFormat="1" applyFont="1" applyFill="1" applyBorder="1" applyAlignment="1">
      <alignment horizontal="center"/>
    </xf>
    <xf numFmtId="3" fontId="34" fillId="10" borderId="23" xfId="26" applyNumberFormat="1" applyFont="1" applyFill="1" applyBorder="1" applyAlignment="1">
      <alignment horizontal="center"/>
    </xf>
    <xf numFmtId="167" fontId="34" fillId="10" borderId="23" xfId="26" applyNumberFormat="1" applyFont="1" applyFill="1" applyBorder="1" applyAlignment="1">
      <alignment horizontal="center"/>
    </xf>
    <xf numFmtId="0" fontId="34" fillId="2" borderId="2" xfId="26" quotePrefix="1" applyNumberFormat="1" applyFont="1" applyFill="1" applyBorder="1" applyAlignment="1">
      <alignment horizontal="center"/>
    </xf>
    <xf numFmtId="167" fontId="34" fillId="2" borderId="3" xfId="26" quotePrefix="1" applyNumberFormat="1" applyFont="1" applyFill="1" applyBorder="1" applyAlignment="1">
      <alignment horizontal="center"/>
    </xf>
    <xf numFmtId="167" fontId="34" fillId="2" borderId="57" xfId="26" applyNumberFormat="1" applyFont="1" applyFill="1" applyBorder="1"/>
    <xf numFmtId="167" fontId="34" fillId="3" borderId="57" xfId="26" applyNumberFormat="1" applyFont="1" applyFill="1" applyBorder="1"/>
    <xf numFmtId="167" fontId="34" fillId="4" borderId="57" xfId="26" applyNumberFormat="1" applyFont="1" applyFill="1" applyBorder="1"/>
    <xf numFmtId="167" fontId="34" fillId="10" borderId="57" xfId="26" applyNumberFormat="1" applyFont="1" applyFill="1" applyBorder="1"/>
    <xf numFmtId="167" fontId="32" fillId="7" borderId="17" xfId="26" applyNumberFormat="1" applyFont="1" applyFill="1" applyBorder="1"/>
    <xf numFmtId="167" fontId="32" fillId="7" borderId="116" xfId="26" applyNumberFormat="1" applyFont="1" applyFill="1" applyBorder="1"/>
    <xf numFmtId="167" fontId="32" fillId="7" borderId="126" xfId="26" applyNumberFormat="1" applyFont="1" applyFill="1" applyBorder="1"/>
    <xf numFmtId="0" fontId="28" fillId="4" borderId="99" xfId="1" applyFill="1" applyBorder="1" applyAlignment="1">
      <alignment horizontal="left" indent="4"/>
    </xf>
    <xf numFmtId="0" fontId="28" fillId="4" borderId="3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2"/>
    </xf>
    <xf numFmtId="0" fontId="35" fillId="0" borderId="101" xfId="0" applyFont="1" applyBorder="1"/>
    <xf numFmtId="0" fontId="34" fillId="2" borderId="89" xfId="0" applyFont="1" applyFill="1" applyBorder="1" applyAlignment="1">
      <alignment horizontal="center" vertical="top" wrapText="1"/>
    </xf>
    <xf numFmtId="0" fontId="28" fillId="6" borderId="5" xfId="1" applyFill="1" applyBorder="1"/>
    <xf numFmtId="0" fontId="34" fillId="2" borderId="49" xfId="81" applyFont="1" applyFill="1" applyBorder="1" applyAlignment="1">
      <alignment horizontal="center"/>
    </xf>
    <xf numFmtId="0" fontId="34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3" fontId="42" fillId="2" borderId="92" xfId="0" applyNumberFormat="1" applyFont="1" applyFill="1" applyBorder="1" applyAlignment="1">
      <alignment horizontal="center" vertical="center"/>
    </xf>
    <xf numFmtId="3" fontId="62" fillId="2" borderId="9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4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2" fillId="0" borderId="23" xfId="0" applyNumberFormat="1" applyFont="1" applyFill="1" applyBorder="1" applyAlignment="1"/>
    <xf numFmtId="0" fontId="42" fillId="2" borderId="21" xfId="0" applyFont="1" applyFill="1" applyBorder="1" applyAlignment="1">
      <alignment horizontal="right"/>
    </xf>
    <xf numFmtId="3" fontId="34" fillId="7" borderId="64" xfId="26" applyNumberFormat="1" applyFont="1" applyFill="1" applyBorder="1"/>
    <xf numFmtId="3" fontId="34" fillId="7" borderId="99" xfId="26" applyNumberFormat="1" applyFont="1" applyFill="1" applyBorder="1"/>
    <xf numFmtId="3" fontId="34" fillId="7" borderId="34" xfId="26" applyNumberFormat="1" applyFont="1" applyFill="1" applyBorder="1"/>
    <xf numFmtId="3" fontId="34" fillId="10" borderId="21" xfId="26" applyNumberFormat="1" applyFont="1" applyFill="1" applyBorder="1"/>
    <xf numFmtId="3" fontId="34" fillId="4" borderId="21" xfId="26" applyNumberFormat="1" applyFont="1" applyFill="1" applyBorder="1"/>
    <xf numFmtId="3" fontId="34" fillId="3" borderId="21" xfId="26" applyNumberFormat="1" applyFont="1" applyFill="1" applyBorder="1"/>
    <xf numFmtId="0" fontId="42" fillId="3" borderId="29" xfId="0" applyFont="1" applyFill="1" applyBorder="1" applyAlignment="1"/>
    <xf numFmtId="0" fontId="35" fillId="0" borderId="48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3" xfId="81" applyFont="1" applyFill="1" applyBorder="1" applyAlignment="1">
      <alignment horizontal="center"/>
    </xf>
    <xf numFmtId="0" fontId="34" fillId="2" borderId="54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84" xfId="81" applyFont="1" applyFill="1" applyBorder="1" applyAlignment="1">
      <alignment horizontal="center"/>
    </xf>
    <xf numFmtId="0" fontId="34" fillId="2" borderId="52" xfId="81" applyFont="1" applyFill="1" applyBorder="1" applyAlignment="1">
      <alignment horizontal="center"/>
    </xf>
    <xf numFmtId="0" fontId="34" fillId="2" borderId="122" xfId="81" applyFont="1" applyFill="1" applyBorder="1" applyAlignment="1">
      <alignment horizontal="center"/>
    </xf>
    <xf numFmtId="0" fontId="34" fillId="2" borderId="98" xfId="81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21" xfId="81" applyFont="1" applyFill="1" applyBorder="1" applyAlignment="1">
      <alignment horizontal="center"/>
    </xf>
    <xf numFmtId="0" fontId="34" fillId="2" borderId="11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7" xfId="53" applyNumberFormat="1" applyFont="1" applyFill="1" applyBorder="1" applyAlignment="1">
      <alignment horizontal="right"/>
    </xf>
    <xf numFmtId="164" fontId="32" fillId="2" borderId="32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9" xfId="78" applyNumberFormat="1" applyFont="1" applyFill="1" applyBorder="1" applyAlignment="1">
      <alignment horizontal="left"/>
    </xf>
    <xf numFmtId="0" fontId="35" fillId="2" borderId="59" xfId="0" applyFont="1" applyFill="1" applyBorder="1" applyAlignment="1"/>
    <xf numFmtId="3" fontId="31" fillId="2" borderId="61" xfId="78" applyNumberFormat="1" applyFont="1" applyFill="1" applyBorder="1" applyAlignment="1"/>
    <xf numFmtId="0" fontId="42" fillId="2" borderId="69" xfId="0" applyFont="1" applyFill="1" applyBorder="1" applyAlignment="1">
      <alignment horizontal="left"/>
    </xf>
    <xf numFmtId="0" fontId="35" fillId="2" borderId="55" xfId="0" applyFont="1" applyFill="1" applyBorder="1" applyAlignment="1">
      <alignment horizontal="left"/>
    </xf>
    <xf numFmtId="0" fontId="35" fillId="2" borderId="59" xfId="0" applyFont="1" applyFill="1" applyBorder="1" applyAlignment="1">
      <alignment horizontal="left"/>
    </xf>
    <xf numFmtId="0" fontId="42" fillId="2" borderId="61" xfId="0" applyFont="1" applyFill="1" applyBorder="1" applyAlignment="1">
      <alignment horizontal="left"/>
    </xf>
    <xf numFmtId="3" fontId="42" fillId="2" borderId="61" xfId="0" applyNumberFormat="1" applyFont="1" applyFill="1" applyBorder="1" applyAlignment="1">
      <alignment horizontal="left"/>
    </xf>
    <xf numFmtId="3" fontId="35" fillId="2" borderId="56" xfId="0" applyNumberFormat="1" applyFont="1" applyFill="1" applyBorder="1" applyAlignment="1">
      <alignment horizontal="left"/>
    </xf>
    <xf numFmtId="9" fontId="3" fillId="2" borderId="12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90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7" xfId="0" applyFont="1" applyFill="1" applyBorder="1" applyAlignment="1">
      <alignment vertical="center"/>
    </xf>
    <xf numFmtId="3" fontId="34" fillId="2" borderId="69" xfId="26" applyNumberFormat="1" applyFont="1" applyFill="1" applyBorder="1" applyAlignment="1">
      <alignment horizontal="center"/>
    </xf>
    <xf numFmtId="3" fontId="34" fillId="2" borderId="55" xfId="26" applyNumberFormat="1" applyFont="1" applyFill="1" applyBorder="1" applyAlignment="1">
      <alignment horizontal="center"/>
    </xf>
    <xf numFmtId="3" fontId="34" fillId="2" borderId="115" xfId="26" applyNumberFormat="1" applyFont="1" applyFill="1" applyBorder="1" applyAlignment="1">
      <alignment horizontal="center"/>
    </xf>
    <xf numFmtId="3" fontId="34" fillId="2" borderId="56" xfId="26" applyNumberFormat="1" applyFont="1" applyFill="1" applyBorder="1" applyAlignment="1">
      <alignment horizontal="center"/>
    </xf>
    <xf numFmtId="3" fontId="34" fillId="2" borderId="123" xfId="26" applyNumberFormat="1" applyFont="1" applyFill="1" applyBorder="1" applyAlignment="1">
      <alignment horizontal="center"/>
    </xf>
    <xf numFmtId="3" fontId="34" fillId="2" borderId="90" xfId="26" applyNumberFormat="1" applyFont="1" applyFill="1" applyBorder="1" applyAlignment="1">
      <alignment horizontal="center"/>
    </xf>
    <xf numFmtId="0" fontId="34" fillId="2" borderId="33" xfId="0" applyFont="1" applyFill="1" applyBorder="1" applyAlignment="1">
      <alignment horizontal="center" vertical="top" wrapText="1"/>
    </xf>
    <xf numFmtId="3" fontId="34" fillId="2" borderId="56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9" xfId="0" quotePrefix="1" applyFont="1" applyFill="1" applyBorder="1" applyAlignment="1">
      <alignment horizontal="center"/>
    </xf>
    <xf numFmtId="0" fontId="34" fillId="2" borderId="56" xfId="0" applyFont="1" applyFill="1" applyBorder="1" applyAlignment="1">
      <alignment horizontal="center"/>
    </xf>
    <xf numFmtId="9" fontId="47" fillId="2" borderId="56" xfId="0" applyNumberFormat="1" applyFont="1" applyFill="1" applyBorder="1" applyAlignment="1">
      <alignment horizontal="center" vertical="top"/>
    </xf>
    <xf numFmtId="0" fontId="34" fillId="2" borderId="89" xfId="0" applyNumberFormat="1" applyFont="1" applyFill="1" applyBorder="1" applyAlignment="1">
      <alignment horizontal="center" vertical="top"/>
    </xf>
    <xf numFmtId="0" fontId="34" fillId="2" borderId="89" xfId="0" applyFont="1" applyFill="1" applyBorder="1" applyAlignment="1">
      <alignment horizontal="center" vertical="top" wrapText="1"/>
    </xf>
    <xf numFmtId="0" fontId="34" fillId="2" borderId="69" xfId="0" quotePrefix="1" applyNumberFormat="1" applyFont="1" applyFill="1" applyBorder="1" applyAlignment="1">
      <alignment horizontal="center"/>
    </xf>
    <xf numFmtId="0" fontId="34" fillId="2" borderId="56" xfId="0" applyNumberFormat="1" applyFont="1" applyFill="1" applyBorder="1" applyAlignment="1">
      <alignment horizontal="center"/>
    </xf>
    <xf numFmtId="49" fontId="34" fillId="2" borderId="33" xfId="0" applyNumberFormat="1" applyFont="1" applyFill="1" applyBorder="1" applyAlignment="1">
      <alignment horizontal="center" vertical="top"/>
    </xf>
    <xf numFmtId="0" fontId="47" fillId="2" borderId="56" xfId="0" applyNumberFormat="1" applyFont="1" applyFill="1" applyBorder="1" applyAlignment="1">
      <alignment horizontal="center" vertical="top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167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3" fontId="34" fillId="2" borderId="89" xfId="26" applyNumberFormat="1" applyFont="1" applyFill="1" applyBorder="1" applyAlignment="1">
      <alignment horizontal="center" vertical="center"/>
    </xf>
    <xf numFmtId="3" fontId="34" fillId="2" borderId="68" xfId="26" applyNumberFormat="1" applyFont="1" applyFill="1" applyBorder="1" applyAlignment="1">
      <alignment horizontal="center" vertical="center"/>
    </xf>
    <xf numFmtId="3" fontId="34" fillId="0" borderId="55" xfId="26" applyNumberFormat="1" applyFont="1" applyFill="1" applyBorder="1" applyAlignment="1">
      <alignment horizontal="right" vertical="top"/>
    </xf>
    <xf numFmtId="3" fontId="34" fillId="0" borderId="115" xfId="26" applyNumberFormat="1" applyFont="1" applyFill="1" applyBorder="1" applyAlignment="1">
      <alignment horizontal="right" vertical="top"/>
    </xf>
    <xf numFmtId="3" fontId="34" fillId="3" borderId="89" xfId="26" applyNumberFormat="1" applyFont="1" applyFill="1" applyBorder="1" applyAlignment="1">
      <alignment horizontal="center" vertical="center" wrapText="1"/>
    </xf>
    <xf numFmtId="3" fontId="34" fillId="3" borderId="68" xfId="26" applyNumberFormat="1" applyFont="1" applyFill="1" applyBorder="1" applyAlignment="1">
      <alignment horizontal="center" vertical="center" wrapText="1"/>
    </xf>
    <xf numFmtId="3" fontId="34" fillId="3" borderId="69" xfId="26" applyNumberFormat="1" applyFont="1" applyFill="1" applyBorder="1" applyAlignment="1">
      <alignment horizontal="center"/>
    </xf>
    <xf numFmtId="3" fontId="34" fillId="3" borderId="55" xfId="26" applyNumberFormat="1" applyFont="1" applyFill="1" applyBorder="1" applyAlignment="1">
      <alignment horizontal="center"/>
    </xf>
    <xf numFmtId="3" fontId="34" fillId="3" borderId="115" xfId="26" applyNumberFormat="1" applyFont="1" applyFill="1" applyBorder="1" applyAlignment="1">
      <alignment horizontal="center"/>
    </xf>
    <xf numFmtId="3" fontId="34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center"/>
    </xf>
    <xf numFmtId="0" fontId="35" fillId="0" borderId="55" xfId="0" applyFont="1" applyFill="1" applyBorder="1" applyAlignment="1">
      <alignment horizontal="right" vertical="top"/>
    </xf>
    <xf numFmtId="0" fontId="35" fillId="0" borderId="115" xfId="0" applyFont="1" applyFill="1" applyBorder="1" applyAlignment="1">
      <alignment horizontal="right" vertical="top"/>
    </xf>
    <xf numFmtId="3" fontId="34" fillId="10" borderId="89" xfId="26" applyNumberFormat="1" applyFont="1" applyFill="1" applyBorder="1" applyAlignment="1">
      <alignment horizontal="center" vertical="center" wrapText="1"/>
    </xf>
    <xf numFmtId="3" fontId="34" fillId="10" borderId="68" xfId="26" applyNumberFormat="1" applyFont="1" applyFill="1" applyBorder="1" applyAlignment="1">
      <alignment horizontal="center" vertical="center" wrapText="1"/>
    </xf>
    <xf numFmtId="3" fontId="34" fillId="10" borderId="69" xfId="26" applyNumberFormat="1" applyFont="1" applyFill="1" applyBorder="1" applyAlignment="1">
      <alignment horizontal="center"/>
    </xf>
    <xf numFmtId="3" fontId="34" fillId="10" borderId="55" xfId="26" applyNumberFormat="1" applyFont="1" applyFill="1" applyBorder="1" applyAlignment="1">
      <alignment horizontal="center"/>
    </xf>
    <xf numFmtId="3" fontId="34" fillId="10" borderId="115" xfId="26" applyNumberFormat="1" applyFont="1" applyFill="1" applyBorder="1" applyAlignment="1">
      <alignment horizontal="center"/>
    </xf>
    <xf numFmtId="3" fontId="34" fillId="10" borderId="56" xfId="26" applyNumberFormat="1" applyFont="1" applyFill="1" applyBorder="1" applyAlignment="1">
      <alignment horizontal="center"/>
    </xf>
    <xf numFmtId="3" fontId="34" fillId="4" borderId="89" xfId="26" applyNumberFormat="1" applyFont="1" applyFill="1" applyBorder="1" applyAlignment="1">
      <alignment horizontal="center" vertical="center" wrapText="1"/>
    </xf>
    <xf numFmtId="3" fontId="34" fillId="4" borderId="68" xfId="26" applyNumberFormat="1" applyFont="1" applyFill="1" applyBorder="1" applyAlignment="1">
      <alignment horizontal="center" vertical="center" wrapText="1"/>
    </xf>
    <xf numFmtId="3" fontId="34" fillId="4" borderId="69" xfId="26" applyNumberFormat="1" applyFont="1" applyFill="1" applyBorder="1" applyAlignment="1">
      <alignment horizontal="center"/>
    </xf>
    <xf numFmtId="3" fontId="34" fillId="4" borderId="55" xfId="26" applyNumberFormat="1" applyFont="1" applyFill="1" applyBorder="1" applyAlignment="1">
      <alignment horizontal="center"/>
    </xf>
    <xf numFmtId="3" fontId="34" fillId="4" borderId="115" xfId="26" applyNumberFormat="1" applyFont="1" applyFill="1" applyBorder="1" applyAlignment="1">
      <alignment horizontal="center"/>
    </xf>
    <xf numFmtId="3" fontId="34" fillId="4" borderId="56" xfId="26" applyNumberFormat="1" applyFont="1" applyFill="1" applyBorder="1" applyAlignment="1">
      <alignment horizontal="center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5" fillId="2" borderId="55" xfId="14" applyFont="1" applyFill="1" applyBorder="1" applyAlignment="1">
      <alignment horizontal="center"/>
    </xf>
    <xf numFmtId="0" fontId="35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8" xfId="76" applyNumberFormat="1" applyFont="1" applyFill="1" applyBorder="1" applyAlignment="1">
      <alignment horizontal="center" vertical="center"/>
    </xf>
    <xf numFmtId="3" fontId="34" fillId="2" borderId="6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82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1" borderId="129" xfId="0" applyNumberFormat="1" applyFont="1" applyFill="1" applyBorder="1" applyAlignment="1">
      <alignment horizontal="right" vertical="top"/>
    </xf>
    <xf numFmtId="3" fontId="36" fillId="11" borderId="130" xfId="0" applyNumberFormat="1" applyFont="1" applyFill="1" applyBorder="1" applyAlignment="1">
      <alignment horizontal="right" vertical="top"/>
    </xf>
    <xf numFmtId="176" fontId="36" fillId="11" borderId="131" xfId="0" applyNumberFormat="1" applyFont="1" applyFill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176" fontId="36" fillId="11" borderId="132" xfId="0" applyNumberFormat="1" applyFont="1" applyFill="1" applyBorder="1" applyAlignment="1">
      <alignment horizontal="right" vertical="top"/>
    </xf>
    <xf numFmtId="3" fontId="38" fillId="11" borderId="134" xfId="0" applyNumberFormat="1" applyFont="1" applyFill="1" applyBorder="1" applyAlignment="1">
      <alignment horizontal="right" vertical="top"/>
    </xf>
    <xf numFmtId="3" fontId="38" fillId="11" borderId="135" xfId="0" applyNumberFormat="1" applyFont="1" applyFill="1" applyBorder="1" applyAlignment="1">
      <alignment horizontal="right" vertical="top"/>
    </xf>
    <xf numFmtId="0" fontId="38" fillId="11" borderId="136" xfId="0" applyFont="1" applyFill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0" fontId="38" fillId="11" borderId="137" xfId="0" applyFont="1" applyFill="1" applyBorder="1" applyAlignment="1">
      <alignment horizontal="right" vertical="top"/>
    </xf>
    <xf numFmtId="0" fontId="36" fillId="11" borderId="131" xfId="0" applyFont="1" applyFill="1" applyBorder="1" applyAlignment="1">
      <alignment horizontal="right" vertical="top"/>
    </xf>
    <xf numFmtId="0" fontId="36" fillId="11" borderId="132" xfId="0" applyFont="1" applyFill="1" applyBorder="1" applyAlignment="1">
      <alignment horizontal="right" vertical="top"/>
    </xf>
    <xf numFmtId="176" fontId="38" fillId="11" borderId="136" xfId="0" applyNumberFormat="1" applyFont="1" applyFill="1" applyBorder="1" applyAlignment="1">
      <alignment horizontal="right" vertical="top"/>
    </xf>
    <xf numFmtId="176" fontId="38" fillId="11" borderId="137" xfId="0" applyNumberFormat="1" applyFont="1" applyFill="1" applyBorder="1" applyAlignment="1">
      <alignment horizontal="right" vertical="top"/>
    </xf>
    <xf numFmtId="3" fontId="38" fillId="0" borderId="138" xfId="0" applyNumberFormat="1" applyFont="1" applyBorder="1" applyAlignment="1">
      <alignment horizontal="right" vertical="top"/>
    </xf>
    <xf numFmtId="3" fontId="38" fillId="0" borderId="139" xfId="0" applyNumberFormat="1" applyFont="1" applyBorder="1" applyAlignment="1">
      <alignment horizontal="right" vertical="top"/>
    </xf>
    <xf numFmtId="0" fontId="38" fillId="0" borderId="140" xfId="0" applyFont="1" applyBorder="1" applyAlignment="1">
      <alignment horizontal="right" vertical="top"/>
    </xf>
    <xf numFmtId="176" fontId="38" fillId="11" borderId="141" xfId="0" applyNumberFormat="1" applyFont="1" applyFill="1" applyBorder="1" applyAlignment="1">
      <alignment horizontal="right" vertical="top"/>
    </xf>
    <xf numFmtId="0" fontId="40" fillId="12" borderId="128" xfId="0" applyFont="1" applyFill="1" applyBorder="1" applyAlignment="1">
      <alignment vertical="top"/>
    </xf>
    <xf numFmtId="0" fontId="40" fillId="12" borderId="128" xfId="0" applyFont="1" applyFill="1" applyBorder="1" applyAlignment="1">
      <alignment vertical="top" indent="2"/>
    </xf>
    <xf numFmtId="0" fontId="40" fillId="12" borderId="128" xfId="0" applyFont="1" applyFill="1" applyBorder="1" applyAlignment="1">
      <alignment vertical="top" indent="4"/>
    </xf>
    <xf numFmtId="0" fontId="41" fillId="12" borderId="133" xfId="0" applyFont="1" applyFill="1" applyBorder="1" applyAlignment="1">
      <alignment vertical="top" indent="6"/>
    </xf>
    <xf numFmtId="0" fontId="40" fillId="12" borderId="128" xfId="0" applyFont="1" applyFill="1" applyBorder="1" applyAlignment="1">
      <alignment vertical="top" indent="8"/>
    </xf>
    <xf numFmtId="0" fontId="41" fillId="12" borderId="133" xfId="0" applyFont="1" applyFill="1" applyBorder="1" applyAlignment="1">
      <alignment vertical="top" indent="2"/>
    </xf>
    <xf numFmtId="0" fontId="40" fillId="12" borderId="128" xfId="0" applyFont="1" applyFill="1" applyBorder="1" applyAlignment="1">
      <alignment vertical="top" indent="6"/>
    </xf>
    <xf numFmtId="0" fontId="41" fillId="12" borderId="133" xfId="0" applyFont="1" applyFill="1" applyBorder="1" applyAlignment="1">
      <alignment vertical="top" indent="4"/>
    </xf>
    <xf numFmtId="0" fontId="41" fillId="12" borderId="133" xfId="0" applyFont="1" applyFill="1" applyBorder="1" applyAlignment="1">
      <alignment vertical="top"/>
    </xf>
    <xf numFmtId="0" fontId="35" fillId="12" borderId="128" xfId="0" applyFont="1" applyFill="1" applyBorder="1"/>
    <xf numFmtId="0" fontId="41" fillId="12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42" xfId="53" applyNumberFormat="1" applyFont="1" applyFill="1" applyBorder="1" applyAlignment="1">
      <alignment horizontal="left"/>
    </xf>
    <xf numFmtId="164" fontId="34" fillId="2" borderId="143" xfId="53" applyNumberFormat="1" applyFont="1" applyFill="1" applyBorder="1" applyAlignment="1">
      <alignment horizontal="left"/>
    </xf>
    <xf numFmtId="164" fontId="34" fillId="2" borderId="65" xfId="53" applyNumberFormat="1" applyFont="1" applyFill="1" applyBorder="1" applyAlignment="1">
      <alignment horizontal="left"/>
    </xf>
    <xf numFmtId="3" fontId="34" fillId="2" borderId="65" xfId="53" applyNumberFormat="1" applyFont="1" applyFill="1" applyBorder="1" applyAlignment="1">
      <alignment horizontal="left"/>
    </xf>
    <xf numFmtId="3" fontId="34" fillId="2" borderId="73" xfId="53" applyNumberFormat="1" applyFont="1" applyFill="1" applyBorder="1" applyAlignment="1">
      <alignment horizontal="left"/>
    </xf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35" fillId="0" borderId="101" xfId="0" applyFont="1" applyFill="1" applyBorder="1"/>
    <xf numFmtId="0" fontId="35" fillId="0" borderId="102" xfId="0" applyFont="1" applyFill="1" applyBorder="1"/>
    <xf numFmtId="164" fontId="35" fillId="0" borderId="102" xfId="0" applyNumberFormat="1" applyFont="1" applyFill="1" applyBorder="1"/>
    <xf numFmtId="164" fontId="35" fillId="0" borderId="102" xfId="0" applyNumberFormat="1" applyFont="1" applyFill="1" applyBorder="1" applyAlignment="1">
      <alignment horizontal="right"/>
    </xf>
    <xf numFmtId="3" fontId="35" fillId="0" borderId="102" xfId="0" applyNumberFormat="1" applyFont="1" applyFill="1" applyBorder="1"/>
    <xf numFmtId="3" fontId="35" fillId="0" borderId="103" xfId="0" applyNumberFormat="1" applyFont="1" applyFill="1" applyBorder="1"/>
    <xf numFmtId="0" fontId="35" fillId="0" borderId="94" xfId="0" applyFont="1" applyFill="1" applyBorder="1"/>
    <xf numFmtId="0" fontId="35" fillId="0" borderId="95" xfId="0" applyFont="1" applyFill="1" applyBorder="1"/>
    <xf numFmtId="164" fontId="35" fillId="0" borderId="95" xfId="0" applyNumberFormat="1" applyFont="1" applyFill="1" applyBorder="1"/>
    <xf numFmtId="164" fontId="35" fillId="0" borderId="95" xfId="0" applyNumberFormat="1" applyFont="1" applyFill="1" applyBorder="1" applyAlignment="1">
      <alignment horizontal="right"/>
    </xf>
    <xf numFmtId="3" fontId="35" fillId="0" borderId="95" xfId="0" applyNumberFormat="1" applyFont="1" applyFill="1" applyBorder="1"/>
    <xf numFmtId="3" fontId="35" fillId="0" borderId="96" xfId="0" applyNumberFormat="1" applyFont="1" applyFill="1" applyBorder="1"/>
    <xf numFmtId="0" fontId="42" fillId="2" borderId="142" xfId="0" applyFont="1" applyFill="1" applyBorder="1"/>
    <xf numFmtId="3" fontId="42" fillId="2" borderId="126" xfId="0" applyNumberFormat="1" applyFont="1" applyFill="1" applyBorder="1"/>
    <xf numFmtId="9" fontId="42" fillId="2" borderId="86" xfId="0" applyNumberFormat="1" applyFont="1" applyFill="1" applyBorder="1"/>
    <xf numFmtId="3" fontId="42" fillId="2" borderId="73" xfId="0" applyNumberFormat="1" applyFont="1" applyFill="1" applyBorder="1"/>
    <xf numFmtId="9" fontId="35" fillId="0" borderId="92" xfId="0" applyNumberFormat="1" applyFont="1" applyFill="1" applyBorder="1"/>
    <xf numFmtId="9" fontId="35" fillId="0" borderId="102" xfId="0" applyNumberFormat="1" applyFont="1" applyFill="1" applyBorder="1"/>
    <xf numFmtId="9" fontId="35" fillId="0" borderId="95" xfId="0" applyNumberFormat="1" applyFont="1" applyFill="1" applyBorder="1"/>
    <xf numFmtId="3" fontId="35" fillId="0" borderId="108" xfId="0" applyNumberFormat="1" applyFont="1" applyFill="1" applyBorder="1"/>
    <xf numFmtId="9" fontId="35" fillId="0" borderId="108" xfId="0" applyNumberFormat="1" applyFont="1" applyFill="1" applyBorder="1"/>
    <xf numFmtId="3" fontId="35" fillId="0" borderId="109" xfId="0" applyNumberFormat="1" applyFont="1" applyFill="1" applyBorder="1"/>
    <xf numFmtId="0" fontId="42" fillId="12" borderId="22" xfId="0" applyFont="1" applyFill="1" applyBorder="1"/>
    <xf numFmtId="3" fontId="42" fillId="12" borderId="30" xfId="0" applyNumberFormat="1" applyFont="1" applyFill="1" applyBorder="1"/>
    <xf numFmtId="9" fontId="42" fillId="12" borderId="30" xfId="0" applyNumberFormat="1" applyFont="1" applyFill="1" applyBorder="1"/>
    <xf numFmtId="3" fontId="42" fillId="12" borderId="23" xfId="0" applyNumberFormat="1" applyFont="1" applyFill="1" applyBorder="1"/>
    <xf numFmtId="0" fontId="42" fillId="0" borderId="91" xfId="0" applyFont="1" applyFill="1" applyBorder="1"/>
    <xf numFmtId="0" fontId="42" fillId="0" borderId="127" xfId="0" applyFont="1" applyFill="1" applyBorder="1"/>
    <xf numFmtId="0" fontId="35" fillId="5" borderId="12" xfId="0" applyFont="1" applyFill="1" applyBorder="1" applyAlignment="1">
      <alignment wrapText="1"/>
    </xf>
    <xf numFmtId="0" fontId="42" fillId="0" borderId="101" xfId="0" applyFont="1" applyFill="1" applyBorder="1"/>
    <xf numFmtId="0" fontId="42" fillId="2" borderId="143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42" xfId="79" applyFont="1" applyFill="1" applyBorder="1" applyAlignment="1">
      <alignment horizontal="left"/>
    </xf>
    <xf numFmtId="3" fontId="3" fillId="2" borderId="108" xfId="80" applyNumberFormat="1" applyFont="1" applyFill="1" applyBorder="1"/>
    <xf numFmtId="3" fontId="3" fillId="2" borderId="109" xfId="80" applyNumberFormat="1" applyFont="1" applyFill="1" applyBorder="1"/>
    <xf numFmtId="9" fontId="3" fillId="2" borderId="107" xfId="80" applyNumberFormat="1" applyFont="1" applyFill="1" applyBorder="1"/>
    <xf numFmtId="9" fontId="3" fillId="2" borderId="108" xfId="80" applyNumberFormat="1" applyFont="1" applyFill="1" applyBorder="1"/>
    <xf numFmtId="9" fontId="3" fillId="2" borderId="109" xfId="80" applyNumberFormat="1" applyFont="1" applyFill="1" applyBorder="1"/>
    <xf numFmtId="9" fontId="35" fillId="0" borderId="93" xfId="0" applyNumberFormat="1" applyFont="1" applyFill="1" applyBorder="1"/>
    <xf numFmtId="9" fontId="35" fillId="0" borderId="103" xfId="0" applyNumberFormat="1" applyFont="1" applyFill="1" applyBorder="1"/>
    <xf numFmtId="9" fontId="35" fillId="0" borderId="96" xfId="0" applyNumberFormat="1" applyFont="1" applyFill="1" applyBorder="1"/>
    <xf numFmtId="0" fontId="42" fillId="0" borderId="122" xfId="0" applyFont="1" applyFill="1" applyBorder="1"/>
    <xf numFmtId="0" fontId="42" fillId="0" borderId="120" xfId="0" applyFont="1" applyFill="1" applyBorder="1" applyAlignment="1">
      <alignment horizontal="left" indent="1"/>
    </xf>
    <xf numFmtId="0" fontId="42" fillId="0" borderId="121" xfId="0" applyFont="1" applyFill="1" applyBorder="1" applyAlignment="1">
      <alignment horizontal="left" indent="1"/>
    </xf>
    <xf numFmtId="9" fontId="35" fillId="0" borderId="114" xfId="0" applyNumberFormat="1" applyFont="1" applyFill="1" applyBorder="1"/>
    <xf numFmtId="9" fontId="35" fillId="0" borderId="104" xfId="0" applyNumberFormat="1" applyFont="1" applyFill="1" applyBorder="1"/>
    <xf numFmtId="9" fontId="35" fillId="0" borderId="112" xfId="0" applyNumberFormat="1" applyFont="1" applyFill="1" applyBorder="1"/>
    <xf numFmtId="3" fontId="35" fillId="0" borderId="91" xfId="0" applyNumberFormat="1" applyFont="1" applyFill="1" applyBorder="1"/>
    <xf numFmtId="3" fontId="35" fillId="0" borderId="101" xfId="0" applyNumberFormat="1" applyFont="1" applyFill="1" applyBorder="1"/>
    <xf numFmtId="3" fontId="35" fillId="0" borderId="94" xfId="0" applyNumberFormat="1" applyFont="1" applyFill="1" applyBorder="1"/>
    <xf numFmtId="9" fontId="35" fillId="0" borderId="118" xfId="0" applyNumberFormat="1" applyFont="1" applyFill="1" applyBorder="1"/>
    <xf numFmtId="9" fontId="35" fillId="0" borderId="116" xfId="0" applyNumberFormat="1" applyFont="1" applyFill="1" applyBorder="1"/>
    <xf numFmtId="9" fontId="35" fillId="0" borderId="117" xfId="0" applyNumberFormat="1" applyFont="1" applyFill="1" applyBorder="1"/>
    <xf numFmtId="9" fontId="32" fillId="0" borderId="0" xfId="0" applyNumberFormat="1" applyFont="1" applyFill="1" applyBorder="1"/>
    <xf numFmtId="0" fontId="68" fillId="0" borderId="0" xfId="0" applyFont="1" applyFill="1"/>
    <xf numFmtId="0" fontId="69" fillId="0" borderId="0" xfId="0" applyFont="1" applyFill="1"/>
    <xf numFmtId="0" fontId="42" fillId="12" borderId="122" xfId="0" applyFont="1" applyFill="1" applyBorder="1"/>
    <xf numFmtId="0" fontId="42" fillId="12" borderId="120" xfId="0" applyFont="1" applyFill="1" applyBorder="1"/>
    <xf numFmtId="0" fontId="42" fillId="12" borderId="121" xfId="0" applyFont="1" applyFill="1" applyBorder="1"/>
    <xf numFmtId="0" fontId="3" fillId="2" borderId="108" xfId="80" applyFont="1" applyFill="1" applyBorder="1"/>
    <xf numFmtId="3" fontId="35" fillId="0" borderId="118" xfId="0" applyNumberFormat="1" applyFont="1" applyFill="1" applyBorder="1"/>
    <xf numFmtId="3" fontId="35" fillId="0" borderId="116" xfId="0" applyNumberFormat="1" applyFont="1" applyFill="1" applyBorder="1"/>
    <xf numFmtId="3" fontId="35" fillId="0" borderId="117" xfId="0" applyNumberFormat="1" applyFont="1" applyFill="1" applyBorder="1"/>
    <xf numFmtId="0" fontId="35" fillId="0" borderId="122" xfId="0" applyFont="1" applyFill="1" applyBorder="1"/>
    <xf numFmtId="0" fontId="35" fillId="0" borderId="120" xfId="0" applyFont="1" applyFill="1" applyBorder="1"/>
    <xf numFmtId="0" fontId="35" fillId="0" borderId="121" xfId="0" applyFont="1" applyFill="1" applyBorder="1"/>
    <xf numFmtId="3" fontId="35" fillId="0" borderId="114" xfId="0" applyNumberFormat="1" applyFont="1" applyFill="1" applyBorder="1"/>
    <xf numFmtId="3" fontId="35" fillId="0" borderId="104" xfId="0" applyNumberFormat="1" applyFont="1" applyFill="1" applyBorder="1"/>
    <xf numFmtId="3" fontId="35" fillId="0" borderId="112" xfId="0" applyNumberFormat="1" applyFont="1" applyFill="1" applyBorder="1"/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80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" fillId="2" borderId="147" xfId="79" applyFont="1" applyFill="1" applyBorder="1" applyAlignment="1">
      <alignment horizontal="left"/>
    </xf>
    <xf numFmtId="0" fontId="35" fillId="0" borderId="27" xfId="0" applyFont="1" applyFill="1" applyBorder="1"/>
    <xf numFmtId="0" fontId="35" fillId="0" borderId="32" xfId="0" applyFont="1" applyFill="1" applyBorder="1"/>
    <xf numFmtId="0" fontId="35" fillId="0" borderId="32" xfId="0" applyFont="1" applyFill="1" applyBorder="1" applyAlignment="1">
      <alignment horizontal="right"/>
    </xf>
    <xf numFmtId="0" fontId="35" fillId="0" borderId="32" xfId="0" applyFont="1" applyFill="1" applyBorder="1" applyAlignment="1">
      <alignment horizontal="left"/>
    </xf>
    <xf numFmtId="164" fontId="35" fillId="0" borderId="32" xfId="0" applyNumberFormat="1" applyFont="1" applyFill="1" applyBorder="1"/>
    <xf numFmtId="165" fontId="35" fillId="0" borderId="32" xfId="0" applyNumberFormat="1" applyFont="1" applyFill="1" applyBorder="1"/>
    <xf numFmtId="9" fontId="35" fillId="0" borderId="32" xfId="0" applyNumberFormat="1" applyFont="1" applyFill="1" applyBorder="1"/>
    <xf numFmtId="0" fontId="35" fillId="0" borderId="148" xfId="0" applyFont="1" applyFill="1" applyBorder="1"/>
    <xf numFmtId="0" fontId="35" fillId="0" borderId="149" xfId="0" applyFont="1" applyFill="1" applyBorder="1"/>
    <xf numFmtId="0" fontId="35" fillId="0" borderId="149" xfId="0" applyFont="1" applyFill="1" applyBorder="1" applyAlignment="1">
      <alignment horizontal="right"/>
    </xf>
    <xf numFmtId="0" fontId="35" fillId="0" borderId="149" xfId="0" applyFont="1" applyFill="1" applyBorder="1" applyAlignment="1">
      <alignment horizontal="left"/>
    </xf>
    <xf numFmtId="164" fontId="35" fillId="0" borderId="149" xfId="0" applyNumberFormat="1" applyFont="1" applyFill="1" applyBorder="1"/>
    <xf numFmtId="165" fontId="35" fillId="0" borderId="149" xfId="0" applyNumberFormat="1" applyFont="1" applyFill="1" applyBorder="1"/>
    <xf numFmtId="9" fontId="35" fillId="0" borderId="149" xfId="0" applyNumberFormat="1" applyFont="1" applyFill="1" applyBorder="1"/>
    <xf numFmtId="9" fontId="35" fillId="0" borderId="150" xfId="0" applyNumberFormat="1" applyFont="1" applyFill="1" applyBorder="1"/>
    <xf numFmtId="0" fontId="35" fillId="0" borderId="151" xfId="0" applyFont="1" applyFill="1" applyBorder="1"/>
    <xf numFmtId="0" fontId="35" fillId="0" borderId="152" xfId="0" applyFont="1" applyFill="1" applyBorder="1"/>
    <xf numFmtId="0" fontId="35" fillId="0" borderId="152" xfId="0" applyFont="1" applyFill="1" applyBorder="1" applyAlignment="1">
      <alignment horizontal="right"/>
    </xf>
    <xf numFmtId="0" fontId="35" fillId="0" borderId="152" xfId="0" applyFont="1" applyFill="1" applyBorder="1" applyAlignment="1">
      <alignment horizontal="left"/>
    </xf>
    <xf numFmtId="164" fontId="35" fillId="0" borderId="152" xfId="0" applyNumberFormat="1" applyFont="1" applyFill="1" applyBorder="1"/>
    <xf numFmtId="165" fontId="35" fillId="0" borderId="152" xfId="0" applyNumberFormat="1" applyFont="1" applyFill="1" applyBorder="1"/>
    <xf numFmtId="9" fontId="35" fillId="0" borderId="152" xfId="0" applyNumberFormat="1" applyFont="1" applyFill="1" applyBorder="1"/>
    <xf numFmtId="9" fontId="35" fillId="0" borderId="153" xfId="0" applyNumberFormat="1" applyFont="1" applyFill="1" applyBorder="1"/>
    <xf numFmtId="0" fontId="42" fillId="2" borderId="58" xfId="0" applyFont="1" applyFill="1" applyBorder="1"/>
    <xf numFmtId="3" fontId="35" fillId="0" borderId="28" xfId="0" applyNumberFormat="1" applyFont="1" applyFill="1" applyBorder="1"/>
    <xf numFmtId="3" fontId="35" fillId="0" borderId="149" xfId="0" applyNumberFormat="1" applyFont="1" applyFill="1" applyBorder="1"/>
    <xf numFmtId="3" fontId="35" fillId="0" borderId="150" xfId="0" applyNumberFormat="1" applyFont="1" applyFill="1" applyBorder="1"/>
    <xf numFmtId="3" fontId="35" fillId="0" borderId="152" xfId="0" applyNumberFormat="1" applyFont="1" applyFill="1" applyBorder="1"/>
    <xf numFmtId="3" fontId="35" fillId="0" borderId="153" xfId="0" applyNumberFormat="1" applyFont="1" applyFill="1" applyBorder="1"/>
    <xf numFmtId="3" fontId="35" fillId="0" borderId="155" xfId="0" applyNumberFormat="1" applyFont="1" applyFill="1" applyBorder="1"/>
    <xf numFmtId="9" fontId="35" fillId="0" borderId="155" xfId="0" applyNumberFormat="1" applyFont="1" applyFill="1" applyBorder="1"/>
    <xf numFmtId="3" fontId="35" fillId="0" borderId="156" xfId="0" applyNumberFormat="1" applyFont="1" applyFill="1" applyBorder="1"/>
    <xf numFmtId="0" fontId="42" fillId="0" borderId="27" xfId="0" applyFont="1" applyFill="1" applyBorder="1"/>
    <xf numFmtId="0" fontId="42" fillId="0" borderId="148" xfId="0" applyFont="1" applyFill="1" applyBorder="1"/>
    <xf numFmtId="0" fontId="42" fillId="0" borderId="154" xfId="0" applyFont="1" applyFill="1" applyBorder="1"/>
    <xf numFmtId="0" fontId="42" fillId="2" borderId="60" xfId="0" applyFont="1" applyFill="1" applyBorder="1"/>
    <xf numFmtId="164" fontId="34" fillId="2" borderId="58" xfId="53" applyNumberFormat="1" applyFont="1" applyFill="1" applyBorder="1" applyAlignment="1">
      <alignment horizontal="left"/>
    </xf>
    <xf numFmtId="164" fontId="34" fillId="2" borderId="60" xfId="53" applyNumberFormat="1" applyFont="1" applyFill="1" applyBorder="1" applyAlignment="1">
      <alignment horizontal="left"/>
    </xf>
    <xf numFmtId="164" fontId="35" fillId="0" borderId="32" xfId="0" applyNumberFormat="1" applyFont="1" applyFill="1" applyBorder="1" applyAlignment="1">
      <alignment horizontal="right"/>
    </xf>
    <xf numFmtId="164" fontId="35" fillId="0" borderId="149" xfId="0" applyNumberFormat="1" applyFont="1" applyFill="1" applyBorder="1" applyAlignment="1">
      <alignment horizontal="right"/>
    </xf>
    <xf numFmtId="164" fontId="35" fillId="0" borderId="152" xfId="0" applyNumberFormat="1" applyFont="1" applyFill="1" applyBorder="1" applyAlignment="1">
      <alignment horizontal="right"/>
    </xf>
    <xf numFmtId="0" fontId="0" fillId="0" borderId="161" xfId="0" applyBorder="1" applyAlignment="1">
      <alignment horizontal="center"/>
    </xf>
    <xf numFmtId="0" fontId="0" fillId="0" borderId="162" xfId="0" applyBorder="1" applyAlignment="1">
      <alignment horizontal="center"/>
    </xf>
    <xf numFmtId="173" fontId="42" fillId="4" borderId="162" xfId="0" applyNumberFormat="1" applyFont="1" applyFill="1" applyBorder="1" applyAlignment="1">
      <alignment horizontal="center"/>
    </xf>
    <xf numFmtId="0" fontId="0" fillId="0" borderId="162" xfId="0" applyBorder="1" applyAlignment="1"/>
    <xf numFmtId="0" fontId="0" fillId="0" borderId="163" xfId="0" applyBorder="1" applyAlignment="1">
      <alignment horizontal="right"/>
    </xf>
    <xf numFmtId="0" fontId="0" fillId="0" borderId="164" xfId="0" applyBorder="1" applyAlignment="1">
      <alignment horizontal="right"/>
    </xf>
    <xf numFmtId="173" fontId="35" fillId="0" borderId="164" xfId="0" applyNumberFormat="1" applyFont="1" applyBorder="1" applyAlignment="1">
      <alignment horizontal="right"/>
    </xf>
    <xf numFmtId="173" fontId="35" fillId="0" borderId="164" xfId="0" applyNumberFormat="1" applyFont="1" applyBorder="1" applyAlignment="1">
      <alignment horizontal="right" wrapText="1"/>
    </xf>
    <xf numFmtId="0" fontId="0" fillId="0" borderId="164" xfId="0" applyBorder="1" applyAlignment="1">
      <alignment horizontal="right" wrapText="1"/>
    </xf>
    <xf numFmtId="175" fontId="35" fillId="0" borderId="164" xfId="0" applyNumberFormat="1" applyFont="1" applyBorder="1" applyAlignment="1">
      <alignment horizontal="right"/>
    </xf>
    <xf numFmtId="0" fontId="0" fillId="0" borderId="165" xfId="0" applyBorder="1" applyAlignment="1">
      <alignment horizontal="right"/>
    </xf>
    <xf numFmtId="0" fontId="0" fillId="0" borderId="166" xfId="0" applyBorder="1" applyAlignment="1">
      <alignment horizontal="right"/>
    </xf>
    <xf numFmtId="173" fontId="35" fillId="0" borderId="166" xfId="0" applyNumberFormat="1" applyFont="1" applyBorder="1" applyAlignment="1">
      <alignment horizontal="right"/>
    </xf>
    <xf numFmtId="0" fontId="42" fillId="2" borderId="63" xfId="0" applyFont="1" applyFill="1" applyBorder="1" applyAlignment="1">
      <alignment horizontal="center" vertical="center"/>
    </xf>
    <xf numFmtId="0" fontId="62" fillId="2" borderId="160" xfId="0" applyFont="1" applyFill="1" applyBorder="1" applyAlignment="1">
      <alignment horizontal="center" vertical="center" wrapText="1"/>
    </xf>
    <xf numFmtId="174" fontId="35" fillId="2" borderId="63" xfId="0" applyNumberFormat="1" applyFont="1" applyFill="1" applyBorder="1" applyAlignment="1"/>
    <xf numFmtId="174" fontId="35" fillId="0" borderId="159" xfId="0" applyNumberFormat="1" applyFont="1" applyBorder="1"/>
    <xf numFmtId="174" fontId="35" fillId="0" borderId="168" xfId="0" applyNumberFormat="1" applyFont="1" applyBorder="1"/>
    <xf numFmtId="173" fontId="42" fillId="4" borderId="63" xfId="0" applyNumberFormat="1" applyFont="1" applyFill="1" applyBorder="1" applyAlignment="1"/>
    <xf numFmtId="173" fontId="35" fillId="0" borderId="159" xfId="0" applyNumberFormat="1" applyFont="1" applyBorder="1"/>
    <xf numFmtId="173" fontId="35" fillId="0" borderId="160" xfId="0" applyNumberFormat="1" applyFont="1" applyBorder="1"/>
    <xf numFmtId="173" fontId="42" fillId="2" borderId="63" xfId="0" applyNumberFormat="1" applyFont="1" applyFill="1" applyBorder="1" applyAlignment="1"/>
    <xf numFmtId="173" fontId="35" fillId="0" borderId="168" xfId="0" applyNumberFormat="1" applyFont="1" applyBorder="1"/>
    <xf numFmtId="173" fontId="35" fillId="0" borderId="63" xfId="0" applyNumberFormat="1" applyFont="1" applyBorder="1"/>
    <xf numFmtId="0" fontId="0" fillId="0" borderId="169" xfId="0" applyBorder="1" applyAlignment="1">
      <alignment horizontal="center"/>
    </xf>
    <xf numFmtId="0" fontId="0" fillId="0" borderId="170" xfId="0" applyBorder="1" applyAlignment="1">
      <alignment horizontal="right"/>
    </xf>
    <xf numFmtId="0" fontId="0" fillId="0" borderId="170" xfId="0" applyBorder="1" applyAlignment="1">
      <alignment horizontal="right" wrapText="1"/>
    </xf>
    <xf numFmtId="0" fontId="0" fillId="0" borderId="171" xfId="0" applyBorder="1" applyAlignment="1">
      <alignment horizontal="right"/>
    </xf>
    <xf numFmtId="0" fontId="0" fillId="0" borderId="167" xfId="0" applyBorder="1"/>
    <xf numFmtId="173" fontId="42" fillId="4" borderId="36" xfId="0" applyNumberFormat="1" applyFont="1" applyFill="1" applyBorder="1" applyAlignment="1">
      <alignment horizontal="center"/>
    </xf>
    <xf numFmtId="173" fontId="35" fillId="0" borderId="172" xfId="0" applyNumberFormat="1" applyFont="1" applyBorder="1" applyAlignment="1">
      <alignment horizontal="right"/>
    </xf>
    <xf numFmtId="175" fontId="35" fillId="0" borderId="172" xfId="0" applyNumberFormat="1" applyFont="1" applyBorder="1" applyAlignment="1">
      <alignment horizontal="right"/>
    </xf>
    <xf numFmtId="173" fontId="35" fillId="0" borderId="157" xfId="0" applyNumberFormat="1" applyFont="1" applyBorder="1" applyAlignment="1">
      <alignment horizontal="right"/>
    </xf>
    <xf numFmtId="0" fontId="35" fillId="2" borderId="73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9" fontId="34" fillId="2" borderId="0" xfId="26" quotePrefix="1" applyNumberFormat="1" applyFont="1" applyFill="1" applyBorder="1" applyAlignment="1">
      <alignment horizontal="right"/>
    </xf>
    <xf numFmtId="9" fontId="34" fillId="2" borderId="19" xfId="26" applyNumberFormat="1" applyFont="1" applyFill="1" applyBorder="1" applyAlignment="1">
      <alignment horizontal="right"/>
    </xf>
    <xf numFmtId="0" fontId="67" fillId="4" borderId="27" xfId="0" applyFont="1" applyFill="1" applyBorder="1" applyAlignment="1">
      <alignment horizontal="left"/>
    </xf>
    <xf numFmtId="169" fontId="67" fillId="4" borderId="32" xfId="0" applyNumberFormat="1" applyFont="1" applyFill="1" applyBorder="1"/>
    <xf numFmtId="9" fontId="67" fillId="4" borderId="32" xfId="0" applyNumberFormat="1" applyFont="1" applyFill="1" applyBorder="1"/>
    <xf numFmtId="9" fontId="67" fillId="4" borderId="28" xfId="0" applyNumberFormat="1" applyFont="1" applyFill="1" applyBorder="1"/>
    <xf numFmtId="169" fontId="0" fillId="0" borderId="152" xfId="0" applyNumberFormat="1" applyBorder="1"/>
    <xf numFmtId="9" fontId="0" fillId="0" borderId="152" xfId="0" applyNumberFormat="1" applyBorder="1"/>
    <xf numFmtId="9" fontId="0" fillId="0" borderId="153" xfId="0" applyNumberFormat="1" applyBorder="1"/>
    <xf numFmtId="0" fontId="67" fillId="0" borderId="151" xfId="0" applyFont="1" applyBorder="1" applyAlignment="1">
      <alignment horizontal="left" indent="1"/>
    </xf>
    <xf numFmtId="169" fontId="0" fillId="0" borderId="149" xfId="0" applyNumberFormat="1" applyBorder="1"/>
    <xf numFmtId="9" fontId="0" fillId="0" borderId="149" xfId="0" applyNumberFormat="1" applyBorder="1"/>
    <xf numFmtId="9" fontId="0" fillId="0" borderId="150" xfId="0" applyNumberFormat="1" applyBorder="1"/>
    <xf numFmtId="0" fontId="67" fillId="0" borderId="148" xfId="0" applyFont="1" applyBorder="1" applyAlignment="1">
      <alignment horizontal="left" indent="1"/>
    </xf>
    <xf numFmtId="0" fontId="34" fillId="2" borderId="19" xfId="26" applyNumberFormat="1" applyFont="1" applyFill="1" applyBorder="1"/>
    <xf numFmtId="169" fontId="35" fillId="0" borderId="32" xfId="0" applyNumberFormat="1" applyFont="1" applyFill="1" applyBorder="1"/>
    <xf numFmtId="169" fontId="35" fillId="0" borderId="28" xfId="0" applyNumberFormat="1" applyFont="1" applyFill="1" applyBorder="1"/>
    <xf numFmtId="169" fontId="35" fillId="0" borderId="149" xfId="0" applyNumberFormat="1" applyFont="1" applyFill="1" applyBorder="1"/>
    <xf numFmtId="169" fontId="35" fillId="0" borderId="150" xfId="0" applyNumberFormat="1" applyFont="1" applyFill="1" applyBorder="1"/>
    <xf numFmtId="169" fontId="35" fillId="0" borderId="152" xfId="0" applyNumberFormat="1" applyFont="1" applyFill="1" applyBorder="1"/>
    <xf numFmtId="169" fontId="35" fillId="0" borderId="153" xfId="0" applyNumberFormat="1" applyFont="1" applyFill="1" applyBorder="1"/>
    <xf numFmtId="0" fontId="42" fillId="0" borderId="151" xfId="0" applyFont="1" applyFill="1" applyBorder="1"/>
    <xf numFmtId="0" fontId="35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horizontal="left"/>
    </xf>
    <xf numFmtId="3" fontId="34" fillId="2" borderId="19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0" fontId="34" fillId="2" borderId="19" xfId="26" applyNumberFormat="1" applyFont="1" applyFill="1" applyBorder="1" applyAlignment="1">
      <alignment horizontal="right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9" xfId="0" applyNumberFormat="1" applyFont="1" applyFill="1" applyBorder="1" applyAlignment="1">
      <alignment horizontal="center" vertical="top"/>
    </xf>
    <xf numFmtId="3" fontId="12" fillId="0" borderId="158" xfId="0" applyNumberFormat="1" applyFont="1" applyBorder="1"/>
    <xf numFmtId="166" fontId="12" fillId="0" borderId="158" xfId="0" applyNumberFormat="1" applyFont="1" applyBorder="1"/>
    <xf numFmtId="166" fontId="12" fillId="0" borderId="173" xfId="0" applyNumberFormat="1" applyFont="1" applyBorder="1"/>
    <xf numFmtId="166" fontId="5" fillId="0" borderId="158" xfId="0" applyNumberFormat="1" applyFont="1" applyBorder="1" applyAlignment="1">
      <alignment horizontal="right"/>
    </xf>
    <xf numFmtId="166" fontId="5" fillId="0" borderId="173" xfId="0" applyNumberFormat="1" applyFont="1" applyBorder="1" applyAlignment="1">
      <alignment horizontal="right"/>
    </xf>
    <xf numFmtId="3" fontId="5" fillId="0" borderId="158" xfId="0" applyNumberFormat="1" applyFont="1" applyBorder="1" applyAlignment="1">
      <alignment horizontal="right"/>
    </xf>
    <xf numFmtId="177" fontId="5" fillId="0" borderId="158" xfId="0" applyNumberFormat="1" applyFont="1" applyBorder="1" applyAlignment="1">
      <alignment horizontal="right"/>
    </xf>
    <xf numFmtId="4" fontId="5" fillId="0" borderId="158" xfId="0" applyNumberFormat="1" applyFont="1" applyBorder="1" applyAlignment="1">
      <alignment horizontal="right"/>
    </xf>
    <xf numFmtId="3" fontId="5" fillId="0" borderId="158" xfId="0" applyNumberFormat="1" applyFont="1" applyBorder="1"/>
    <xf numFmtId="3" fontId="11" fillId="0" borderId="174" xfId="0" applyNumberFormat="1" applyFont="1" applyBorder="1" applyAlignment="1">
      <alignment horizontal="center"/>
    </xf>
    <xf numFmtId="166" fontId="12" fillId="0" borderId="19" xfId="0" applyNumberFormat="1" applyFont="1" applyBorder="1"/>
    <xf numFmtId="166" fontId="5" fillId="0" borderId="19" xfId="0" applyNumberFormat="1" applyFont="1" applyBorder="1" applyAlignment="1">
      <alignment horizontal="right"/>
    </xf>
    <xf numFmtId="3" fontId="11" fillId="0" borderId="34" xfId="0" applyNumberFormat="1" applyFont="1" applyBorder="1" applyAlignment="1">
      <alignment horizontal="center"/>
    </xf>
    <xf numFmtId="3" fontId="12" fillId="0" borderId="158" xfId="0" applyNumberFormat="1" applyFont="1" applyBorder="1" applyAlignment="1">
      <alignment horizontal="right"/>
    </xf>
    <xf numFmtId="166" fontId="12" fillId="0" borderId="158" xfId="0" applyNumberFormat="1" applyFont="1" applyBorder="1" applyAlignment="1">
      <alignment horizontal="right"/>
    </xf>
    <xf numFmtId="166" fontId="11" fillId="0" borderId="173" xfId="0" applyNumberFormat="1" applyFont="1" applyBorder="1" applyAlignment="1">
      <alignment horizontal="right"/>
    </xf>
    <xf numFmtId="166" fontId="12" fillId="0" borderId="173" xfId="0" applyNumberFormat="1" applyFont="1" applyBorder="1" applyAlignment="1">
      <alignment horizontal="right"/>
    </xf>
    <xf numFmtId="166" fontId="12" fillId="0" borderId="19" xfId="0" applyNumberFormat="1" applyFont="1" applyBorder="1" applyAlignment="1">
      <alignment horizontal="right"/>
    </xf>
    <xf numFmtId="166" fontId="11" fillId="0" borderId="19" xfId="0" applyNumberFormat="1" applyFont="1" applyBorder="1" applyAlignment="1">
      <alignment horizontal="right"/>
    </xf>
    <xf numFmtId="3" fontId="35" fillId="0" borderId="158" xfId="0" applyNumberFormat="1" applyFont="1" applyBorder="1" applyAlignment="1">
      <alignment horizontal="right"/>
    </xf>
    <xf numFmtId="0" fontId="5" fillId="0" borderId="158" xfId="0" applyFont="1" applyBorder="1"/>
    <xf numFmtId="3" fontId="35" fillId="0" borderId="158" xfId="0" applyNumberFormat="1" applyFont="1" applyBorder="1"/>
    <xf numFmtId="9" fontId="35" fillId="0" borderId="158" xfId="0" applyNumberFormat="1" applyFont="1" applyBorder="1"/>
    <xf numFmtId="166" fontId="35" fillId="0" borderId="158" xfId="0" applyNumberFormat="1" applyFont="1" applyBorder="1"/>
    <xf numFmtId="166" fontId="35" fillId="0" borderId="173" xfId="0" applyNumberFormat="1" applyFont="1" applyBorder="1"/>
    <xf numFmtId="166" fontId="35" fillId="0" borderId="19" xfId="0" applyNumberFormat="1" applyFont="1" applyBorder="1"/>
    <xf numFmtId="49" fontId="3" fillId="2" borderId="34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3" fontId="12" fillId="0" borderId="55" xfId="0" applyNumberFormat="1" applyFont="1" applyBorder="1"/>
    <xf numFmtId="166" fontId="12" fillId="0" borderId="55" xfId="0" applyNumberFormat="1" applyFont="1" applyBorder="1"/>
    <xf numFmtId="166" fontId="12" fillId="0" borderId="56" xfId="0" applyNumberFormat="1" applyFont="1" applyBorder="1"/>
    <xf numFmtId="3" fontId="3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77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3" fontId="35" fillId="0" borderId="55" xfId="0" applyNumberFormat="1" applyFont="1" applyBorder="1"/>
    <xf numFmtId="9" fontId="35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12" fillId="0" borderId="0" xfId="0" applyNumberFormat="1" applyFont="1" applyBorder="1"/>
    <xf numFmtId="166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49" fontId="3" fillId="0" borderId="33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174" xfId="0" applyNumberFormat="1" applyFont="1" applyBorder="1" applyAlignment="1">
      <alignment horizontal="center"/>
    </xf>
    <xf numFmtId="49" fontId="3" fillId="0" borderId="68" xfId="0" applyNumberFormat="1" applyFont="1" applyBorder="1" applyAlignment="1">
      <alignment horizontal="center"/>
    </xf>
    <xf numFmtId="3" fontId="35" fillId="0" borderId="2" xfId="0" applyNumberFormat="1" applyFont="1" applyBorder="1"/>
    <xf numFmtId="166" fontId="35" fillId="0" borderId="2" xfId="0" applyNumberFormat="1" applyFont="1" applyBorder="1"/>
    <xf numFmtId="166" fontId="35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166" fontId="12" fillId="0" borderId="2" xfId="0" applyNumberFormat="1" applyFont="1" applyBorder="1" applyAlignment="1">
      <alignment horizontal="right"/>
    </xf>
    <xf numFmtId="166" fontId="12" fillId="0" borderId="3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9" fontId="35" fillId="0" borderId="2" xfId="0" applyNumberFormat="1" applyFont="1" applyBorder="1"/>
    <xf numFmtId="3" fontId="11" fillId="0" borderId="68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5" xfId="76" applyNumberFormat="1" applyFont="1" applyFill="1" applyBorder="1" applyAlignment="1">
      <alignment horizontal="center" vertical="center"/>
    </xf>
    <xf numFmtId="3" fontId="34" fillId="2" borderId="65" xfId="76" applyNumberFormat="1" applyFont="1" applyFill="1" applyBorder="1" applyAlignment="1">
      <alignment horizontal="center" vertical="center"/>
    </xf>
    <xf numFmtId="0" fontId="32" fillId="0" borderId="27" xfId="76" applyFont="1" applyFill="1" applyBorder="1"/>
    <xf numFmtId="0" fontId="32" fillId="0" borderId="148" xfId="76" applyFont="1" applyFill="1" applyBorder="1"/>
    <xf numFmtId="0" fontId="32" fillId="0" borderId="151" xfId="76" applyFont="1" applyFill="1" applyBorder="1"/>
    <xf numFmtId="0" fontId="32" fillId="0" borderId="63" xfId="76" applyFont="1" applyFill="1" applyBorder="1"/>
    <xf numFmtId="0" fontId="32" fillId="0" borderId="159" xfId="76" applyFont="1" applyFill="1" applyBorder="1"/>
    <xf numFmtId="0" fontId="32" fillId="0" borderId="160" xfId="76" applyFont="1" applyFill="1" applyBorder="1"/>
    <xf numFmtId="0" fontId="34" fillId="2" borderId="155" xfId="76" applyNumberFormat="1" applyFont="1" applyFill="1" applyBorder="1" applyAlignment="1">
      <alignment horizontal="left"/>
    </xf>
    <xf numFmtId="0" fontId="34" fillId="2" borderId="175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32" xfId="76" applyNumberFormat="1" applyFont="1" applyFill="1" applyBorder="1"/>
    <xf numFmtId="3" fontId="32" fillId="0" borderId="148" xfId="76" applyNumberFormat="1" applyFont="1" applyFill="1" applyBorder="1"/>
    <xf numFmtId="3" fontId="32" fillId="0" borderId="149" xfId="76" applyNumberFormat="1" applyFont="1" applyFill="1" applyBorder="1"/>
    <xf numFmtId="3" fontId="32" fillId="0" borderId="151" xfId="76" applyNumberFormat="1" applyFont="1" applyFill="1" applyBorder="1"/>
    <xf numFmtId="3" fontId="32" fillId="0" borderId="152" xfId="76" applyNumberFormat="1" applyFont="1" applyFill="1" applyBorder="1"/>
    <xf numFmtId="9" fontId="32" fillId="0" borderId="63" xfId="76" applyNumberFormat="1" applyFont="1" applyFill="1" applyBorder="1"/>
    <xf numFmtId="9" fontId="32" fillId="0" borderId="159" xfId="76" applyNumberFormat="1" applyFont="1" applyFill="1" applyBorder="1"/>
    <xf numFmtId="9" fontId="32" fillId="0" borderId="160" xfId="76" applyNumberFormat="1" applyFont="1" applyFill="1" applyBorder="1"/>
    <xf numFmtId="0" fontId="34" fillId="2" borderId="176" xfId="76" applyNumberFormat="1" applyFont="1" applyFill="1" applyBorder="1" applyAlignment="1">
      <alignment horizontal="left"/>
    </xf>
    <xf numFmtId="0" fontId="34" fillId="2" borderId="156" xfId="76" applyNumberFormat="1" applyFont="1" applyFill="1" applyBorder="1" applyAlignment="1">
      <alignment horizontal="left"/>
    </xf>
    <xf numFmtId="3" fontId="32" fillId="0" borderId="28" xfId="76" applyNumberFormat="1" applyFont="1" applyFill="1" applyBorder="1"/>
    <xf numFmtId="3" fontId="32" fillId="0" borderId="150" xfId="76" applyNumberFormat="1" applyFont="1" applyFill="1" applyBorder="1"/>
    <xf numFmtId="3" fontId="32" fillId="0" borderId="15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0.77698887918631021</c:v>
                </c:pt>
                <c:pt idx="1">
                  <c:v>0.87013081808140891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356864"/>
        <c:axId val="-135236937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0.91827903074636807</c:v>
                </c:pt>
                <c:pt idx="1">
                  <c:v>0.91827903074636807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52368288"/>
        <c:axId val="-1352354688"/>
      </c:scatterChart>
      <c:catAx>
        <c:axId val="-1352356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352369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523693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352356864"/>
        <c:crosses val="autoZero"/>
        <c:crossBetween val="between"/>
      </c:valAx>
      <c:valAx>
        <c:axId val="-13523682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352354688"/>
        <c:crosses val="max"/>
        <c:crossBetween val="midCat"/>
      </c:valAx>
      <c:valAx>
        <c:axId val="-13523546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3523682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0.69928400954653935</c:v>
                </c:pt>
                <c:pt idx="1">
                  <c:v>0.74900624645088021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357952"/>
        <c:axId val="-135236502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52362848"/>
        <c:axId val="-1352354144"/>
      </c:scatterChart>
      <c:catAx>
        <c:axId val="-1352357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35236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523650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1352357952"/>
        <c:crosses val="autoZero"/>
        <c:crossBetween val="between"/>
      </c:valAx>
      <c:valAx>
        <c:axId val="-13523628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352354144"/>
        <c:crosses val="max"/>
        <c:crossBetween val="midCat"/>
      </c:valAx>
      <c:valAx>
        <c:axId val="-135235414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135236284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8" t="s">
        <v>132</v>
      </c>
      <c r="B1" s="518"/>
    </row>
    <row r="2" spans="1:3" ht="14.4" customHeight="1" thickBot="1" x14ac:dyDescent="0.35">
      <c r="A2" s="374" t="s">
        <v>353</v>
      </c>
      <c r="B2" s="50"/>
    </row>
    <row r="3" spans="1:3" ht="14.4" customHeight="1" thickBot="1" x14ac:dyDescent="0.35">
      <c r="A3" s="514" t="s">
        <v>182</v>
      </c>
      <c r="B3" s="515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151</v>
      </c>
      <c r="C4" s="51" t="s">
        <v>152</v>
      </c>
    </row>
    <row r="5" spans="1:3" ht="14.4" customHeight="1" x14ac:dyDescent="0.3">
      <c r="A5" s="265" t="str">
        <f t="shared" si="0"/>
        <v>HI</v>
      </c>
      <c r="B5" s="179" t="s">
        <v>175</v>
      </c>
      <c r="C5" s="51" t="s">
        <v>136</v>
      </c>
    </row>
    <row r="6" spans="1:3" ht="14.4" customHeight="1" x14ac:dyDescent="0.3">
      <c r="A6" s="266" t="str">
        <f t="shared" si="0"/>
        <v>HI Graf</v>
      </c>
      <c r="B6" s="180" t="s">
        <v>128</v>
      </c>
      <c r="C6" s="51" t="s">
        <v>137</v>
      </c>
    </row>
    <row r="7" spans="1:3" ht="14.4" customHeight="1" x14ac:dyDescent="0.3">
      <c r="A7" s="266" t="str">
        <f t="shared" si="0"/>
        <v>Man Tab</v>
      </c>
      <c r="B7" s="180" t="s">
        <v>355</v>
      </c>
      <c r="C7" s="51" t="s">
        <v>138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6" t="s">
        <v>133</v>
      </c>
      <c r="B10" s="515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176</v>
      </c>
      <c r="C11" s="51" t="s">
        <v>139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205</v>
      </c>
      <c r="C12" s="51" t="s">
        <v>140</v>
      </c>
    </row>
    <row r="13" spans="1:3" ht="28.8" customHeight="1" x14ac:dyDescent="0.3">
      <c r="A13" s="266" t="str">
        <f t="shared" si="2"/>
        <v>LŽ PL</v>
      </c>
      <c r="B13" s="740" t="s">
        <v>206</v>
      </c>
      <c r="C13" s="51" t="s">
        <v>186</v>
      </c>
    </row>
    <row r="14" spans="1:3" ht="14.4" customHeight="1" x14ac:dyDescent="0.3">
      <c r="A14" s="266" t="str">
        <f t="shared" si="2"/>
        <v>LŽ PL Detail</v>
      </c>
      <c r="B14" s="180" t="s">
        <v>1503</v>
      </c>
      <c r="C14" s="51" t="s">
        <v>188</v>
      </c>
    </row>
    <row r="15" spans="1:3" ht="14.4" customHeight="1" x14ac:dyDescent="0.3">
      <c r="A15" s="266" t="str">
        <f t="shared" si="2"/>
        <v>LŽ Statim</v>
      </c>
      <c r="B15" s="455" t="s">
        <v>281</v>
      </c>
      <c r="C15" s="51" t="s">
        <v>291</v>
      </c>
    </row>
    <row r="16" spans="1:3" ht="14.4" customHeight="1" x14ac:dyDescent="0.3">
      <c r="A16" s="266" t="str">
        <f t="shared" si="2"/>
        <v>Léky Recepty</v>
      </c>
      <c r="B16" s="180" t="s">
        <v>177</v>
      </c>
      <c r="C16" s="51" t="s">
        <v>141</v>
      </c>
    </row>
    <row r="17" spans="1:3" ht="14.4" customHeight="1" x14ac:dyDescent="0.3">
      <c r="A17" s="266" t="str">
        <f t="shared" si="2"/>
        <v>LRp Lékaři</v>
      </c>
      <c r="B17" s="180" t="s">
        <v>191</v>
      </c>
      <c r="C17" s="51" t="s">
        <v>192</v>
      </c>
    </row>
    <row r="18" spans="1:3" ht="14.4" customHeight="1" x14ac:dyDescent="0.3">
      <c r="A18" s="266" t="str">
        <f t="shared" si="2"/>
        <v>LRp Detail</v>
      </c>
      <c r="B18" s="180" t="s">
        <v>2057</v>
      </c>
      <c r="C18" s="51" t="s">
        <v>142</v>
      </c>
    </row>
    <row r="19" spans="1:3" ht="28.8" customHeight="1" x14ac:dyDescent="0.3">
      <c r="A19" s="266" t="str">
        <f t="shared" si="2"/>
        <v>LRp PL</v>
      </c>
      <c r="B19" s="740" t="s">
        <v>2058</v>
      </c>
      <c r="C19" s="51" t="s">
        <v>187</v>
      </c>
    </row>
    <row r="20" spans="1:3" ht="14.4" customHeight="1" x14ac:dyDescent="0.3">
      <c r="A20" s="266" t="str">
        <f>HYPERLINK("#'"&amp;C20&amp;"'!A1",C20)</f>
        <v>LRp PL Detail</v>
      </c>
      <c r="B20" s="180" t="s">
        <v>2073</v>
      </c>
      <c r="C20" s="51" t="s">
        <v>189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178</v>
      </c>
      <c r="C21" s="51" t="s">
        <v>143</v>
      </c>
    </row>
    <row r="22" spans="1:3" ht="14.4" customHeight="1" x14ac:dyDescent="0.3">
      <c r="A22" s="266" t="str">
        <f t="shared" si="2"/>
        <v>MŽ Detail</v>
      </c>
      <c r="B22" s="180" t="s">
        <v>3352</v>
      </c>
      <c r="C22" s="51" t="s">
        <v>144</v>
      </c>
    </row>
    <row r="23" spans="1:3" ht="14.4" customHeight="1" thickBot="1" x14ac:dyDescent="0.35">
      <c r="A23" s="268" t="str">
        <f t="shared" si="2"/>
        <v>Osobní náklady</v>
      </c>
      <c r="B23" s="180" t="s">
        <v>130</v>
      </c>
      <c r="C23" s="51" t="s">
        <v>145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7" t="s">
        <v>134</v>
      </c>
      <c r="B25" s="515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3356</v>
      </c>
      <c r="C26" s="51" t="s">
        <v>153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3362</v>
      </c>
      <c r="C27" s="51" t="s">
        <v>294</v>
      </c>
    </row>
    <row r="28" spans="1:3" ht="14.4" customHeight="1" x14ac:dyDescent="0.3">
      <c r="A28" s="266" t="str">
        <f t="shared" si="4"/>
        <v>ZV Vykáz.-A Detail</v>
      </c>
      <c r="B28" s="180" t="s">
        <v>3478</v>
      </c>
      <c r="C28" s="51" t="s">
        <v>154</v>
      </c>
    </row>
    <row r="29" spans="1:3" ht="14.4" customHeight="1" x14ac:dyDescent="0.3">
      <c r="A29" s="497" t="str">
        <f>HYPERLINK("#'"&amp;C29&amp;"'!A1",C29)</f>
        <v>ZV Vykáz.-A Det.Lék.</v>
      </c>
      <c r="B29" s="180" t="s">
        <v>3479</v>
      </c>
      <c r="C29" s="51" t="s">
        <v>337</v>
      </c>
    </row>
    <row r="30" spans="1:3" ht="14.4" customHeight="1" x14ac:dyDescent="0.3">
      <c r="A30" s="266" t="str">
        <f t="shared" si="4"/>
        <v>ZV Vykáz.-H</v>
      </c>
      <c r="B30" s="180" t="s">
        <v>157</v>
      </c>
      <c r="C30" s="51" t="s">
        <v>155</v>
      </c>
    </row>
    <row r="31" spans="1:3" ht="14.4" customHeight="1" x14ac:dyDescent="0.3">
      <c r="A31" s="266" t="str">
        <f t="shared" si="4"/>
        <v>ZV Vykáz.-H Detail</v>
      </c>
      <c r="B31" s="180" t="s">
        <v>4384</v>
      </c>
      <c r="C31" s="51" t="s">
        <v>156</v>
      </c>
    </row>
    <row r="32" spans="1:3" ht="14.4" customHeight="1" x14ac:dyDescent="0.3">
      <c r="A32" s="269" t="str">
        <f t="shared" si="4"/>
        <v>CaseMix</v>
      </c>
      <c r="B32" s="180" t="s">
        <v>135</v>
      </c>
      <c r="C32" s="51" t="s">
        <v>146</v>
      </c>
    </row>
    <row r="33" spans="1:3" ht="14.4" customHeight="1" x14ac:dyDescent="0.3">
      <c r="A33" s="266" t="str">
        <f t="shared" si="4"/>
        <v>ALOS</v>
      </c>
      <c r="B33" s="180" t="s">
        <v>115</v>
      </c>
      <c r="C33" s="51" t="s">
        <v>86</v>
      </c>
    </row>
    <row r="34" spans="1:3" ht="14.4" customHeight="1" x14ac:dyDescent="0.3">
      <c r="A34" s="266" t="str">
        <f t="shared" si="4"/>
        <v>Total</v>
      </c>
      <c r="B34" s="180" t="s">
        <v>4568</v>
      </c>
      <c r="C34" s="51" t="s">
        <v>147</v>
      </c>
    </row>
    <row r="35" spans="1:3" ht="14.4" customHeight="1" x14ac:dyDescent="0.3">
      <c r="A35" s="266" t="str">
        <f t="shared" si="4"/>
        <v>ZV Vyžád.</v>
      </c>
      <c r="B35" s="180" t="s">
        <v>158</v>
      </c>
      <c r="C35" s="51" t="s">
        <v>150</v>
      </c>
    </row>
    <row r="36" spans="1:3" ht="14.4" customHeight="1" x14ac:dyDescent="0.3">
      <c r="A36" s="266" t="str">
        <f t="shared" si="4"/>
        <v>ZV Vyžád. Detail</v>
      </c>
      <c r="B36" s="180" t="s">
        <v>4929</v>
      </c>
      <c r="C36" s="51" t="s">
        <v>149</v>
      </c>
    </row>
    <row r="37" spans="1:3" ht="14.4" customHeight="1" x14ac:dyDescent="0.3">
      <c r="A37" s="266" t="str">
        <f t="shared" si="4"/>
        <v>OD TISS</v>
      </c>
      <c r="B37" s="180" t="s">
        <v>181</v>
      </c>
      <c r="C37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" style="329" customWidth="1"/>
    <col min="11" max="11" width="6.77734375" style="332" bestFit="1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7" t="s">
        <v>1503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18"/>
      <c r="M1" s="518"/>
    </row>
    <row r="2" spans="1:13" ht="14.4" customHeight="1" thickBot="1" x14ac:dyDescent="0.35">
      <c r="A2" s="374" t="s">
        <v>353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31</v>
      </c>
      <c r="G3" s="47">
        <f>SUBTOTAL(9,G6:G1048576)</f>
        <v>2729.7899999999991</v>
      </c>
      <c r="H3" s="48">
        <f>IF(M3=0,0,G3/M3)</f>
        <v>3.4101969865657424E-2</v>
      </c>
      <c r="I3" s="47">
        <f>SUBTOTAL(9,I6:I1048576)</f>
        <v>334.7</v>
      </c>
      <c r="J3" s="47">
        <f>SUBTOTAL(9,J6:J1048576)</f>
        <v>77318.078517679052</v>
      </c>
      <c r="K3" s="48">
        <f>IF(M3=0,0,J3/M3)</f>
        <v>0.9658980301343425</v>
      </c>
      <c r="L3" s="47">
        <f>SUBTOTAL(9,L6:L1048576)</f>
        <v>365.7</v>
      </c>
      <c r="M3" s="49">
        <f>SUBTOTAL(9,M6:M1048576)</f>
        <v>80047.86851767906</v>
      </c>
    </row>
    <row r="4" spans="1:13" ht="14.4" customHeight="1" thickBot="1" x14ac:dyDescent="0.35">
      <c r="A4" s="45"/>
      <c r="B4" s="45"/>
      <c r="C4" s="45"/>
      <c r="D4" s="45"/>
      <c r="E4" s="46"/>
      <c r="F4" s="561" t="s">
        <v>161</v>
      </c>
      <c r="G4" s="562"/>
      <c r="H4" s="563"/>
      <c r="I4" s="564" t="s">
        <v>160</v>
      </c>
      <c r="J4" s="562"/>
      <c r="K4" s="563"/>
      <c r="L4" s="565" t="s">
        <v>3</v>
      </c>
      <c r="M4" s="566"/>
    </row>
    <row r="5" spans="1:13" ht="14.4" customHeight="1" thickBot="1" x14ac:dyDescent="0.35">
      <c r="A5" s="724" t="s">
        <v>162</v>
      </c>
      <c r="B5" s="742" t="s">
        <v>163</v>
      </c>
      <c r="C5" s="742" t="s">
        <v>90</v>
      </c>
      <c r="D5" s="742" t="s">
        <v>164</v>
      </c>
      <c r="E5" s="742" t="s">
        <v>165</v>
      </c>
      <c r="F5" s="743" t="s">
        <v>28</v>
      </c>
      <c r="G5" s="743" t="s">
        <v>14</v>
      </c>
      <c r="H5" s="726" t="s">
        <v>166</v>
      </c>
      <c r="I5" s="725" t="s">
        <v>28</v>
      </c>
      <c r="J5" s="743" t="s">
        <v>14</v>
      </c>
      <c r="K5" s="726" t="s">
        <v>166</v>
      </c>
      <c r="L5" s="725" t="s">
        <v>28</v>
      </c>
      <c r="M5" s="744" t="s">
        <v>14</v>
      </c>
    </row>
    <row r="6" spans="1:13" ht="14.4" customHeight="1" x14ac:dyDescent="0.3">
      <c r="A6" s="706" t="s">
        <v>596</v>
      </c>
      <c r="B6" s="707" t="s">
        <v>1404</v>
      </c>
      <c r="C6" s="707" t="s">
        <v>979</v>
      </c>
      <c r="D6" s="707" t="s">
        <v>980</v>
      </c>
      <c r="E6" s="707" t="s">
        <v>1405</v>
      </c>
      <c r="F6" s="710"/>
      <c r="G6" s="710"/>
      <c r="H6" s="728">
        <v>0</v>
      </c>
      <c r="I6" s="710">
        <v>12</v>
      </c>
      <c r="J6" s="710">
        <v>814.74</v>
      </c>
      <c r="K6" s="728">
        <v>1</v>
      </c>
      <c r="L6" s="710">
        <v>12</v>
      </c>
      <c r="M6" s="711">
        <v>814.74</v>
      </c>
    </row>
    <row r="7" spans="1:13" ht="14.4" customHeight="1" x14ac:dyDescent="0.3">
      <c r="A7" s="712" t="s">
        <v>596</v>
      </c>
      <c r="B7" s="713" t="s">
        <v>1406</v>
      </c>
      <c r="C7" s="713" t="s">
        <v>967</v>
      </c>
      <c r="D7" s="713" t="s">
        <v>968</v>
      </c>
      <c r="E7" s="713" t="s">
        <v>1407</v>
      </c>
      <c r="F7" s="716"/>
      <c r="G7" s="716"/>
      <c r="H7" s="729">
        <v>0</v>
      </c>
      <c r="I7" s="716">
        <v>1</v>
      </c>
      <c r="J7" s="716">
        <v>66.730000000000018</v>
      </c>
      <c r="K7" s="729">
        <v>1</v>
      </c>
      <c r="L7" s="716">
        <v>1</v>
      </c>
      <c r="M7" s="717">
        <v>66.730000000000018</v>
      </c>
    </row>
    <row r="8" spans="1:13" ht="14.4" customHeight="1" x14ac:dyDescent="0.3">
      <c r="A8" s="712" t="s">
        <v>596</v>
      </c>
      <c r="B8" s="713" t="s">
        <v>1408</v>
      </c>
      <c r="C8" s="713" t="s">
        <v>955</v>
      </c>
      <c r="D8" s="713" t="s">
        <v>1409</v>
      </c>
      <c r="E8" s="713" t="s">
        <v>1410</v>
      </c>
      <c r="F8" s="716"/>
      <c r="G8" s="716"/>
      <c r="H8" s="729">
        <v>0</v>
      </c>
      <c r="I8" s="716">
        <v>1</v>
      </c>
      <c r="J8" s="716">
        <v>112.04</v>
      </c>
      <c r="K8" s="729">
        <v>1</v>
      </c>
      <c r="L8" s="716">
        <v>1</v>
      </c>
      <c r="M8" s="717">
        <v>112.04</v>
      </c>
    </row>
    <row r="9" spans="1:13" ht="14.4" customHeight="1" x14ac:dyDescent="0.3">
      <c r="A9" s="712" t="s">
        <v>596</v>
      </c>
      <c r="B9" s="713" t="s">
        <v>1411</v>
      </c>
      <c r="C9" s="713" t="s">
        <v>973</v>
      </c>
      <c r="D9" s="713" t="s">
        <v>974</v>
      </c>
      <c r="E9" s="713" t="s">
        <v>1412</v>
      </c>
      <c r="F9" s="716"/>
      <c r="G9" s="716"/>
      <c r="H9" s="729">
        <v>0</v>
      </c>
      <c r="I9" s="716">
        <v>4</v>
      </c>
      <c r="J9" s="716">
        <v>13200</v>
      </c>
      <c r="K9" s="729">
        <v>1</v>
      </c>
      <c r="L9" s="716">
        <v>4</v>
      </c>
      <c r="M9" s="717">
        <v>13200</v>
      </c>
    </row>
    <row r="10" spans="1:13" ht="14.4" customHeight="1" x14ac:dyDescent="0.3">
      <c r="A10" s="712" t="s">
        <v>596</v>
      </c>
      <c r="B10" s="713" t="s">
        <v>1411</v>
      </c>
      <c r="C10" s="713" t="s">
        <v>982</v>
      </c>
      <c r="D10" s="713" t="s">
        <v>977</v>
      </c>
      <c r="E10" s="713" t="s">
        <v>1413</v>
      </c>
      <c r="F10" s="716"/>
      <c r="G10" s="716"/>
      <c r="H10" s="729">
        <v>0</v>
      </c>
      <c r="I10" s="716">
        <v>8</v>
      </c>
      <c r="J10" s="716">
        <v>5045.272147918402</v>
      </c>
      <c r="K10" s="729">
        <v>1</v>
      </c>
      <c r="L10" s="716">
        <v>8</v>
      </c>
      <c r="M10" s="717">
        <v>5045.272147918402</v>
      </c>
    </row>
    <row r="11" spans="1:13" ht="14.4" customHeight="1" x14ac:dyDescent="0.3">
      <c r="A11" s="712" t="s">
        <v>596</v>
      </c>
      <c r="B11" s="713" t="s">
        <v>1411</v>
      </c>
      <c r="C11" s="713" t="s">
        <v>976</v>
      </c>
      <c r="D11" s="713" t="s">
        <v>977</v>
      </c>
      <c r="E11" s="713" t="s">
        <v>1414</v>
      </c>
      <c r="F11" s="716"/>
      <c r="G11" s="716"/>
      <c r="H11" s="729">
        <v>0</v>
      </c>
      <c r="I11" s="716">
        <v>13</v>
      </c>
      <c r="J11" s="716">
        <v>5316.35</v>
      </c>
      <c r="K11" s="729">
        <v>1</v>
      </c>
      <c r="L11" s="716">
        <v>13</v>
      </c>
      <c r="M11" s="717">
        <v>5316.35</v>
      </c>
    </row>
    <row r="12" spans="1:13" ht="14.4" customHeight="1" x14ac:dyDescent="0.3">
      <c r="A12" s="712" t="s">
        <v>596</v>
      </c>
      <c r="B12" s="713" t="s">
        <v>1415</v>
      </c>
      <c r="C12" s="713" t="s">
        <v>925</v>
      </c>
      <c r="D12" s="713" t="s">
        <v>1416</v>
      </c>
      <c r="E12" s="713" t="s">
        <v>1417</v>
      </c>
      <c r="F12" s="716"/>
      <c r="G12" s="716"/>
      <c r="H12" s="729">
        <v>0</v>
      </c>
      <c r="I12" s="716">
        <v>1</v>
      </c>
      <c r="J12" s="716">
        <v>42.58</v>
      </c>
      <c r="K12" s="729">
        <v>1</v>
      </c>
      <c r="L12" s="716">
        <v>1</v>
      </c>
      <c r="M12" s="717">
        <v>42.58</v>
      </c>
    </row>
    <row r="13" spans="1:13" ht="14.4" customHeight="1" x14ac:dyDescent="0.3">
      <c r="A13" s="712" t="s">
        <v>596</v>
      </c>
      <c r="B13" s="713" t="s">
        <v>1418</v>
      </c>
      <c r="C13" s="713" t="s">
        <v>921</v>
      </c>
      <c r="D13" s="713" t="s">
        <v>922</v>
      </c>
      <c r="E13" s="713" t="s">
        <v>1419</v>
      </c>
      <c r="F13" s="716"/>
      <c r="G13" s="716"/>
      <c r="H13" s="729">
        <v>0</v>
      </c>
      <c r="I13" s="716">
        <v>1</v>
      </c>
      <c r="J13" s="716">
        <v>36.61999999999999</v>
      </c>
      <c r="K13" s="729">
        <v>1</v>
      </c>
      <c r="L13" s="716">
        <v>1</v>
      </c>
      <c r="M13" s="717">
        <v>36.61999999999999</v>
      </c>
    </row>
    <row r="14" spans="1:13" ht="14.4" customHeight="1" x14ac:dyDescent="0.3">
      <c r="A14" s="712" t="s">
        <v>596</v>
      </c>
      <c r="B14" s="713" t="s">
        <v>1420</v>
      </c>
      <c r="C14" s="713" t="s">
        <v>913</v>
      </c>
      <c r="D14" s="713" t="s">
        <v>1421</v>
      </c>
      <c r="E14" s="713" t="s">
        <v>1422</v>
      </c>
      <c r="F14" s="716"/>
      <c r="G14" s="716"/>
      <c r="H14" s="729">
        <v>0</v>
      </c>
      <c r="I14" s="716">
        <v>1</v>
      </c>
      <c r="J14" s="716">
        <v>14.879999999999997</v>
      </c>
      <c r="K14" s="729">
        <v>1</v>
      </c>
      <c r="L14" s="716">
        <v>1</v>
      </c>
      <c r="M14" s="717">
        <v>14.879999999999997</v>
      </c>
    </row>
    <row r="15" spans="1:13" ht="14.4" customHeight="1" x14ac:dyDescent="0.3">
      <c r="A15" s="712" t="s">
        <v>596</v>
      </c>
      <c r="B15" s="713" t="s">
        <v>1423</v>
      </c>
      <c r="C15" s="713" t="s">
        <v>937</v>
      </c>
      <c r="D15" s="713" t="s">
        <v>1424</v>
      </c>
      <c r="E15" s="713" t="s">
        <v>1425</v>
      </c>
      <c r="F15" s="716"/>
      <c r="G15" s="716"/>
      <c r="H15" s="729">
        <v>0</v>
      </c>
      <c r="I15" s="716">
        <v>1</v>
      </c>
      <c r="J15" s="716">
        <v>88.249999999999957</v>
      </c>
      <c r="K15" s="729">
        <v>1</v>
      </c>
      <c r="L15" s="716">
        <v>1</v>
      </c>
      <c r="M15" s="717">
        <v>88.249999999999957</v>
      </c>
    </row>
    <row r="16" spans="1:13" ht="14.4" customHeight="1" x14ac:dyDescent="0.3">
      <c r="A16" s="712" t="s">
        <v>596</v>
      </c>
      <c r="B16" s="713" t="s">
        <v>1423</v>
      </c>
      <c r="C16" s="713" t="s">
        <v>941</v>
      </c>
      <c r="D16" s="713" t="s">
        <v>1424</v>
      </c>
      <c r="E16" s="713" t="s">
        <v>1426</v>
      </c>
      <c r="F16" s="716"/>
      <c r="G16" s="716"/>
      <c r="H16" s="729">
        <v>0</v>
      </c>
      <c r="I16" s="716">
        <v>1</v>
      </c>
      <c r="J16" s="716">
        <v>297.92000000000007</v>
      </c>
      <c r="K16" s="729">
        <v>1</v>
      </c>
      <c r="L16" s="716">
        <v>1</v>
      </c>
      <c r="M16" s="717">
        <v>297.92000000000007</v>
      </c>
    </row>
    <row r="17" spans="1:13" ht="14.4" customHeight="1" x14ac:dyDescent="0.3">
      <c r="A17" s="712" t="s">
        <v>596</v>
      </c>
      <c r="B17" s="713" t="s">
        <v>1427</v>
      </c>
      <c r="C17" s="713" t="s">
        <v>917</v>
      </c>
      <c r="D17" s="713" t="s">
        <v>918</v>
      </c>
      <c r="E17" s="713" t="s">
        <v>1428</v>
      </c>
      <c r="F17" s="716"/>
      <c r="G17" s="716"/>
      <c r="H17" s="729">
        <v>0</v>
      </c>
      <c r="I17" s="716">
        <v>1</v>
      </c>
      <c r="J17" s="716">
        <v>98.79</v>
      </c>
      <c r="K17" s="729">
        <v>1</v>
      </c>
      <c r="L17" s="716">
        <v>1</v>
      </c>
      <c r="M17" s="717">
        <v>98.79</v>
      </c>
    </row>
    <row r="18" spans="1:13" ht="14.4" customHeight="1" x14ac:dyDescent="0.3">
      <c r="A18" s="712" t="s">
        <v>596</v>
      </c>
      <c r="B18" s="713" t="s">
        <v>1429</v>
      </c>
      <c r="C18" s="713" t="s">
        <v>959</v>
      </c>
      <c r="D18" s="713" t="s">
        <v>1430</v>
      </c>
      <c r="E18" s="713" t="s">
        <v>1431</v>
      </c>
      <c r="F18" s="716"/>
      <c r="G18" s="716"/>
      <c r="H18" s="729">
        <v>0</v>
      </c>
      <c r="I18" s="716">
        <v>1</v>
      </c>
      <c r="J18" s="716">
        <v>78.289999999999964</v>
      </c>
      <c r="K18" s="729">
        <v>1</v>
      </c>
      <c r="L18" s="716">
        <v>1</v>
      </c>
      <c r="M18" s="717">
        <v>78.289999999999964</v>
      </c>
    </row>
    <row r="19" spans="1:13" ht="14.4" customHeight="1" x14ac:dyDescent="0.3">
      <c r="A19" s="712" t="s">
        <v>596</v>
      </c>
      <c r="B19" s="713" t="s">
        <v>1432</v>
      </c>
      <c r="C19" s="713" t="s">
        <v>1076</v>
      </c>
      <c r="D19" s="713" t="s">
        <v>1433</v>
      </c>
      <c r="E19" s="713" t="s">
        <v>1434</v>
      </c>
      <c r="F19" s="716"/>
      <c r="G19" s="716"/>
      <c r="H19" s="729">
        <v>0</v>
      </c>
      <c r="I19" s="716">
        <v>1.2</v>
      </c>
      <c r="J19" s="716">
        <v>14895.539999999997</v>
      </c>
      <c r="K19" s="729">
        <v>1</v>
      </c>
      <c r="L19" s="716">
        <v>1.2</v>
      </c>
      <c r="M19" s="717">
        <v>14895.539999999997</v>
      </c>
    </row>
    <row r="20" spans="1:13" ht="14.4" customHeight="1" x14ac:dyDescent="0.3">
      <c r="A20" s="712" t="s">
        <v>596</v>
      </c>
      <c r="B20" s="713" t="s">
        <v>1435</v>
      </c>
      <c r="C20" s="713" t="s">
        <v>970</v>
      </c>
      <c r="D20" s="713" t="s">
        <v>971</v>
      </c>
      <c r="E20" s="713" t="s">
        <v>1436</v>
      </c>
      <c r="F20" s="716"/>
      <c r="G20" s="716"/>
      <c r="H20" s="729">
        <v>0</v>
      </c>
      <c r="I20" s="716">
        <v>2</v>
      </c>
      <c r="J20" s="716">
        <v>335.12</v>
      </c>
      <c r="K20" s="729">
        <v>1</v>
      </c>
      <c r="L20" s="716">
        <v>2</v>
      </c>
      <c r="M20" s="717">
        <v>335.12</v>
      </c>
    </row>
    <row r="21" spans="1:13" ht="14.4" customHeight="1" x14ac:dyDescent="0.3">
      <c r="A21" s="712" t="s">
        <v>596</v>
      </c>
      <c r="B21" s="713" t="s">
        <v>1435</v>
      </c>
      <c r="C21" s="713" t="s">
        <v>1064</v>
      </c>
      <c r="D21" s="713" t="s">
        <v>971</v>
      </c>
      <c r="E21" s="713" t="s">
        <v>1437</v>
      </c>
      <c r="F21" s="716"/>
      <c r="G21" s="716"/>
      <c r="H21" s="729">
        <v>0</v>
      </c>
      <c r="I21" s="716">
        <v>4</v>
      </c>
      <c r="J21" s="716">
        <v>459.72000000000008</v>
      </c>
      <c r="K21" s="729">
        <v>1</v>
      </c>
      <c r="L21" s="716">
        <v>4</v>
      </c>
      <c r="M21" s="717">
        <v>459.72000000000008</v>
      </c>
    </row>
    <row r="22" spans="1:13" ht="14.4" customHeight="1" x14ac:dyDescent="0.3">
      <c r="A22" s="712" t="s">
        <v>596</v>
      </c>
      <c r="B22" s="713" t="s">
        <v>1435</v>
      </c>
      <c r="C22" s="713" t="s">
        <v>1068</v>
      </c>
      <c r="D22" s="713" t="s">
        <v>1438</v>
      </c>
      <c r="E22" s="713" t="s">
        <v>1439</v>
      </c>
      <c r="F22" s="716"/>
      <c r="G22" s="716"/>
      <c r="H22" s="729">
        <v>0</v>
      </c>
      <c r="I22" s="716">
        <v>1</v>
      </c>
      <c r="J22" s="716">
        <v>111.31999999999998</v>
      </c>
      <c r="K22" s="729">
        <v>1</v>
      </c>
      <c r="L22" s="716">
        <v>1</v>
      </c>
      <c r="M22" s="717">
        <v>111.31999999999998</v>
      </c>
    </row>
    <row r="23" spans="1:13" ht="14.4" customHeight="1" x14ac:dyDescent="0.3">
      <c r="A23" s="712" t="s">
        <v>596</v>
      </c>
      <c r="B23" s="713" t="s">
        <v>1440</v>
      </c>
      <c r="C23" s="713" t="s">
        <v>1072</v>
      </c>
      <c r="D23" s="713" t="s">
        <v>1441</v>
      </c>
      <c r="E23" s="713" t="s">
        <v>1442</v>
      </c>
      <c r="F23" s="716"/>
      <c r="G23" s="716"/>
      <c r="H23" s="729">
        <v>0</v>
      </c>
      <c r="I23" s="716">
        <v>15</v>
      </c>
      <c r="J23" s="716">
        <v>440.55</v>
      </c>
      <c r="K23" s="729">
        <v>1</v>
      </c>
      <c r="L23" s="716">
        <v>15</v>
      </c>
      <c r="M23" s="717">
        <v>440.55</v>
      </c>
    </row>
    <row r="24" spans="1:13" ht="14.4" customHeight="1" x14ac:dyDescent="0.3">
      <c r="A24" s="712" t="s">
        <v>596</v>
      </c>
      <c r="B24" s="713" t="s">
        <v>1443</v>
      </c>
      <c r="C24" s="713" t="s">
        <v>1080</v>
      </c>
      <c r="D24" s="713" t="s">
        <v>1444</v>
      </c>
      <c r="E24" s="713" t="s">
        <v>1445</v>
      </c>
      <c r="F24" s="716"/>
      <c r="G24" s="716"/>
      <c r="H24" s="729">
        <v>0</v>
      </c>
      <c r="I24" s="716">
        <v>0.7</v>
      </c>
      <c r="J24" s="716">
        <v>111.64999999999999</v>
      </c>
      <c r="K24" s="729">
        <v>1</v>
      </c>
      <c r="L24" s="716">
        <v>0.7</v>
      </c>
      <c r="M24" s="717">
        <v>111.64999999999999</v>
      </c>
    </row>
    <row r="25" spans="1:13" ht="14.4" customHeight="1" x14ac:dyDescent="0.3">
      <c r="A25" s="712" t="s">
        <v>596</v>
      </c>
      <c r="B25" s="713" t="s">
        <v>1446</v>
      </c>
      <c r="C25" s="713" t="s">
        <v>945</v>
      </c>
      <c r="D25" s="713" t="s">
        <v>622</v>
      </c>
      <c r="E25" s="713" t="s">
        <v>1447</v>
      </c>
      <c r="F25" s="716"/>
      <c r="G25" s="716"/>
      <c r="H25" s="729">
        <v>0</v>
      </c>
      <c r="I25" s="716">
        <v>30</v>
      </c>
      <c r="J25" s="716">
        <v>1762.2</v>
      </c>
      <c r="K25" s="729">
        <v>1</v>
      </c>
      <c r="L25" s="716">
        <v>30</v>
      </c>
      <c r="M25" s="717">
        <v>1762.2</v>
      </c>
    </row>
    <row r="26" spans="1:13" ht="14.4" customHeight="1" x14ac:dyDescent="0.3">
      <c r="A26" s="712" t="s">
        <v>596</v>
      </c>
      <c r="B26" s="713" t="s">
        <v>1446</v>
      </c>
      <c r="C26" s="713" t="s">
        <v>621</v>
      </c>
      <c r="D26" s="713" t="s">
        <v>622</v>
      </c>
      <c r="E26" s="713" t="s">
        <v>1448</v>
      </c>
      <c r="F26" s="716">
        <v>15</v>
      </c>
      <c r="G26" s="716">
        <v>1549.7999999999995</v>
      </c>
      <c r="H26" s="729">
        <v>1</v>
      </c>
      <c r="I26" s="716"/>
      <c r="J26" s="716"/>
      <c r="K26" s="729">
        <v>0</v>
      </c>
      <c r="L26" s="716">
        <v>15</v>
      </c>
      <c r="M26" s="717">
        <v>1549.7999999999995</v>
      </c>
    </row>
    <row r="27" spans="1:13" ht="14.4" customHeight="1" x14ac:dyDescent="0.3">
      <c r="A27" s="712" t="s">
        <v>596</v>
      </c>
      <c r="B27" s="713" t="s">
        <v>1449</v>
      </c>
      <c r="C27" s="713" t="s">
        <v>991</v>
      </c>
      <c r="D27" s="713" t="s">
        <v>1450</v>
      </c>
      <c r="E27" s="713" t="s">
        <v>1451</v>
      </c>
      <c r="F27" s="716"/>
      <c r="G27" s="716"/>
      <c r="H27" s="729">
        <v>0</v>
      </c>
      <c r="I27" s="716">
        <v>1</v>
      </c>
      <c r="J27" s="716">
        <v>24.930000000000007</v>
      </c>
      <c r="K27" s="729">
        <v>1</v>
      </c>
      <c r="L27" s="716">
        <v>1</v>
      </c>
      <c r="M27" s="717">
        <v>24.930000000000007</v>
      </c>
    </row>
    <row r="28" spans="1:13" ht="14.4" customHeight="1" x14ac:dyDescent="0.3">
      <c r="A28" s="712" t="s">
        <v>596</v>
      </c>
      <c r="B28" s="713" t="s">
        <v>1452</v>
      </c>
      <c r="C28" s="713" t="s">
        <v>929</v>
      </c>
      <c r="D28" s="713" t="s">
        <v>1453</v>
      </c>
      <c r="E28" s="713" t="s">
        <v>1454</v>
      </c>
      <c r="F28" s="716"/>
      <c r="G28" s="716"/>
      <c r="H28" s="729">
        <v>0</v>
      </c>
      <c r="I28" s="716">
        <v>35</v>
      </c>
      <c r="J28" s="716">
        <v>1560.6544071717567</v>
      </c>
      <c r="K28" s="729">
        <v>1</v>
      </c>
      <c r="L28" s="716">
        <v>35</v>
      </c>
      <c r="M28" s="717">
        <v>1560.6544071717567</v>
      </c>
    </row>
    <row r="29" spans="1:13" ht="14.4" customHeight="1" x14ac:dyDescent="0.3">
      <c r="A29" s="712" t="s">
        <v>596</v>
      </c>
      <c r="B29" s="713" t="s">
        <v>1452</v>
      </c>
      <c r="C29" s="713" t="s">
        <v>952</v>
      </c>
      <c r="D29" s="713" t="s">
        <v>1455</v>
      </c>
      <c r="E29" s="713" t="s">
        <v>1456</v>
      </c>
      <c r="F29" s="716"/>
      <c r="G29" s="716"/>
      <c r="H29" s="729">
        <v>0</v>
      </c>
      <c r="I29" s="716">
        <v>13</v>
      </c>
      <c r="J29" s="716">
        <v>739.44120606580589</v>
      </c>
      <c r="K29" s="729">
        <v>1</v>
      </c>
      <c r="L29" s="716">
        <v>13</v>
      </c>
      <c r="M29" s="717">
        <v>739.44120606580589</v>
      </c>
    </row>
    <row r="30" spans="1:13" ht="14.4" customHeight="1" x14ac:dyDescent="0.3">
      <c r="A30" s="712" t="s">
        <v>596</v>
      </c>
      <c r="B30" s="713" t="s">
        <v>1457</v>
      </c>
      <c r="C30" s="713" t="s">
        <v>963</v>
      </c>
      <c r="D30" s="713" t="s">
        <v>1458</v>
      </c>
      <c r="E30" s="713" t="s">
        <v>1459</v>
      </c>
      <c r="F30" s="716"/>
      <c r="G30" s="716"/>
      <c r="H30" s="729">
        <v>0</v>
      </c>
      <c r="I30" s="716">
        <v>14</v>
      </c>
      <c r="J30" s="716">
        <v>4552.24</v>
      </c>
      <c r="K30" s="729">
        <v>1</v>
      </c>
      <c r="L30" s="716">
        <v>14</v>
      </c>
      <c r="M30" s="717">
        <v>4552.24</v>
      </c>
    </row>
    <row r="31" spans="1:13" ht="14.4" customHeight="1" x14ac:dyDescent="0.3">
      <c r="A31" s="712" t="s">
        <v>596</v>
      </c>
      <c r="B31" s="713" t="s">
        <v>1460</v>
      </c>
      <c r="C31" s="713" t="s">
        <v>616</v>
      </c>
      <c r="D31" s="713" t="s">
        <v>1461</v>
      </c>
      <c r="E31" s="713" t="s">
        <v>1462</v>
      </c>
      <c r="F31" s="716">
        <v>4</v>
      </c>
      <c r="G31" s="716">
        <v>176</v>
      </c>
      <c r="H31" s="729">
        <v>1</v>
      </c>
      <c r="I31" s="716"/>
      <c r="J31" s="716"/>
      <c r="K31" s="729">
        <v>0</v>
      </c>
      <c r="L31" s="716">
        <v>4</v>
      </c>
      <c r="M31" s="717">
        <v>176</v>
      </c>
    </row>
    <row r="32" spans="1:13" ht="14.4" customHeight="1" x14ac:dyDescent="0.3">
      <c r="A32" s="712" t="s">
        <v>596</v>
      </c>
      <c r="B32" s="713" t="s">
        <v>1460</v>
      </c>
      <c r="C32" s="713" t="s">
        <v>619</v>
      </c>
      <c r="D32" s="713" t="s">
        <v>1461</v>
      </c>
      <c r="E32" s="713" t="s">
        <v>1463</v>
      </c>
      <c r="F32" s="716">
        <v>1</v>
      </c>
      <c r="G32" s="716">
        <v>110.0000000000001</v>
      </c>
      <c r="H32" s="729">
        <v>1</v>
      </c>
      <c r="I32" s="716"/>
      <c r="J32" s="716"/>
      <c r="K32" s="729">
        <v>0</v>
      </c>
      <c r="L32" s="716">
        <v>1</v>
      </c>
      <c r="M32" s="717">
        <v>110.0000000000001</v>
      </c>
    </row>
    <row r="33" spans="1:13" ht="14.4" customHeight="1" x14ac:dyDescent="0.3">
      <c r="A33" s="712" t="s">
        <v>596</v>
      </c>
      <c r="B33" s="713" t="s">
        <v>1464</v>
      </c>
      <c r="C33" s="713" t="s">
        <v>985</v>
      </c>
      <c r="D33" s="713" t="s">
        <v>1465</v>
      </c>
      <c r="E33" s="713" t="s">
        <v>1466</v>
      </c>
      <c r="F33" s="716"/>
      <c r="G33" s="716"/>
      <c r="H33" s="729">
        <v>0</v>
      </c>
      <c r="I33" s="716">
        <v>1</v>
      </c>
      <c r="J33" s="716">
        <v>63.401620141643761</v>
      </c>
      <c r="K33" s="729">
        <v>1</v>
      </c>
      <c r="L33" s="716">
        <v>1</v>
      </c>
      <c r="M33" s="717">
        <v>63.401620141643761</v>
      </c>
    </row>
    <row r="34" spans="1:13" ht="14.4" customHeight="1" x14ac:dyDescent="0.3">
      <c r="A34" s="712" t="s">
        <v>596</v>
      </c>
      <c r="B34" s="713" t="s">
        <v>1467</v>
      </c>
      <c r="C34" s="713" t="s">
        <v>613</v>
      </c>
      <c r="D34" s="713" t="s">
        <v>1468</v>
      </c>
      <c r="E34" s="713" t="s">
        <v>1469</v>
      </c>
      <c r="F34" s="716"/>
      <c r="G34" s="716"/>
      <c r="H34" s="729">
        <v>0</v>
      </c>
      <c r="I34" s="716">
        <v>1</v>
      </c>
      <c r="J34" s="716">
        <v>99.979999999999976</v>
      </c>
      <c r="K34" s="729">
        <v>1</v>
      </c>
      <c r="L34" s="716">
        <v>1</v>
      </c>
      <c r="M34" s="717">
        <v>99.979999999999976</v>
      </c>
    </row>
    <row r="35" spans="1:13" ht="14.4" customHeight="1" x14ac:dyDescent="0.3">
      <c r="A35" s="712" t="s">
        <v>596</v>
      </c>
      <c r="B35" s="713" t="s">
        <v>1470</v>
      </c>
      <c r="C35" s="713" t="s">
        <v>948</v>
      </c>
      <c r="D35" s="713" t="s">
        <v>949</v>
      </c>
      <c r="E35" s="713" t="s">
        <v>1471</v>
      </c>
      <c r="F35" s="716"/>
      <c r="G35" s="716"/>
      <c r="H35" s="729">
        <v>0</v>
      </c>
      <c r="I35" s="716">
        <v>1</v>
      </c>
      <c r="J35" s="716">
        <v>50.17</v>
      </c>
      <c r="K35" s="729">
        <v>1</v>
      </c>
      <c r="L35" s="716">
        <v>1</v>
      </c>
      <c r="M35" s="717">
        <v>50.17</v>
      </c>
    </row>
    <row r="36" spans="1:13" ht="14.4" customHeight="1" x14ac:dyDescent="0.3">
      <c r="A36" s="712" t="s">
        <v>596</v>
      </c>
      <c r="B36" s="713" t="s">
        <v>1472</v>
      </c>
      <c r="C36" s="713" t="s">
        <v>989</v>
      </c>
      <c r="D36" s="713" t="s">
        <v>1473</v>
      </c>
      <c r="E36" s="713" t="s">
        <v>1474</v>
      </c>
      <c r="F36" s="716"/>
      <c r="G36" s="716"/>
      <c r="H36" s="729">
        <v>0</v>
      </c>
      <c r="I36" s="716">
        <v>3</v>
      </c>
      <c r="J36" s="716">
        <v>108.75</v>
      </c>
      <c r="K36" s="729">
        <v>1</v>
      </c>
      <c r="L36" s="716">
        <v>3</v>
      </c>
      <c r="M36" s="717">
        <v>108.75</v>
      </c>
    </row>
    <row r="37" spans="1:13" ht="14.4" customHeight="1" x14ac:dyDescent="0.3">
      <c r="A37" s="712" t="s">
        <v>596</v>
      </c>
      <c r="B37" s="713" t="s">
        <v>1472</v>
      </c>
      <c r="C37" s="713" t="s">
        <v>609</v>
      </c>
      <c r="D37" s="713" t="s">
        <v>610</v>
      </c>
      <c r="E37" s="713" t="s">
        <v>1474</v>
      </c>
      <c r="F37" s="716">
        <v>2</v>
      </c>
      <c r="G37" s="716">
        <v>79.759999999999991</v>
      </c>
      <c r="H37" s="729">
        <v>1</v>
      </c>
      <c r="I37" s="716"/>
      <c r="J37" s="716"/>
      <c r="K37" s="729">
        <v>0</v>
      </c>
      <c r="L37" s="716">
        <v>2</v>
      </c>
      <c r="M37" s="717">
        <v>79.759999999999991</v>
      </c>
    </row>
    <row r="38" spans="1:13" ht="14.4" customHeight="1" x14ac:dyDescent="0.3">
      <c r="A38" s="712" t="s">
        <v>596</v>
      </c>
      <c r="B38" s="713" t="s">
        <v>1475</v>
      </c>
      <c r="C38" s="713" t="s">
        <v>933</v>
      </c>
      <c r="D38" s="713" t="s">
        <v>934</v>
      </c>
      <c r="E38" s="713" t="s">
        <v>1476</v>
      </c>
      <c r="F38" s="716"/>
      <c r="G38" s="716"/>
      <c r="H38" s="729">
        <v>0</v>
      </c>
      <c r="I38" s="716">
        <v>2</v>
      </c>
      <c r="J38" s="716">
        <v>60.440000000000026</v>
      </c>
      <c r="K38" s="729">
        <v>1</v>
      </c>
      <c r="L38" s="716">
        <v>2</v>
      </c>
      <c r="M38" s="717">
        <v>60.440000000000026</v>
      </c>
    </row>
    <row r="39" spans="1:13" ht="14.4" customHeight="1" x14ac:dyDescent="0.3">
      <c r="A39" s="712" t="s">
        <v>604</v>
      </c>
      <c r="B39" s="713" t="s">
        <v>1404</v>
      </c>
      <c r="C39" s="713" t="s">
        <v>979</v>
      </c>
      <c r="D39" s="713" t="s">
        <v>980</v>
      </c>
      <c r="E39" s="713" t="s">
        <v>1405</v>
      </c>
      <c r="F39" s="716"/>
      <c r="G39" s="716"/>
      <c r="H39" s="729">
        <v>0</v>
      </c>
      <c r="I39" s="716">
        <v>100</v>
      </c>
      <c r="J39" s="716">
        <v>6757.5889986727698</v>
      </c>
      <c r="K39" s="729">
        <v>1</v>
      </c>
      <c r="L39" s="716">
        <v>100</v>
      </c>
      <c r="M39" s="717">
        <v>6757.5889986727698</v>
      </c>
    </row>
    <row r="40" spans="1:13" ht="14.4" customHeight="1" x14ac:dyDescent="0.3">
      <c r="A40" s="712" t="s">
        <v>604</v>
      </c>
      <c r="B40" s="713" t="s">
        <v>1477</v>
      </c>
      <c r="C40" s="713" t="s">
        <v>1312</v>
      </c>
      <c r="D40" s="713" t="s">
        <v>1478</v>
      </c>
      <c r="E40" s="713" t="s">
        <v>1479</v>
      </c>
      <c r="F40" s="716"/>
      <c r="G40" s="716"/>
      <c r="H40" s="729">
        <v>0</v>
      </c>
      <c r="I40" s="716">
        <v>1</v>
      </c>
      <c r="J40" s="716">
        <v>66.399999999999991</v>
      </c>
      <c r="K40" s="729">
        <v>1</v>
      </c>
      <c r="L40" s="716">
        <v>1</v>
      </c>
      <c r="M40" s="717">
        <v>66.399999999999991</v>
      </c>
    </row>
    <row r="41" spans="1:13" ht="14.4" customHeight="1" x14ac:dyDescent="0.3">
      <c r="A41" s="712" t="s">
        <v>604</v>
      </c>
      <c r="B41" s="713" t="s">
        <v>1480</v>
      </c>
      <c r="C41" s="713" t="s">
        <v>1326</v>
      </c>
      <c r="D41" s="713" t="s">
        <v>1481</v>
      </c>
      <c r="E41" s="713" t="s">
        <v>1482</v>
      </c>
      <c r="F41" s="716"/>
      <c r="G41" s="716"/>
      <c r="H41" s="729">
        <v>0</v>
      </c>
      <c r="I41" s="716">
        <v>1</v>
      </c>
      <c r="J41" s="716">
        <v>409.59000000000009</v>
      </c>
      <c r="K41" s="729">
        <v>1</v>
      </c>
      <c r="L41" s="716">
        <v>1</v>
      </c>
      <c r="M41" s="717">
        <v>409.59000000000009</v>
      </c>
    </row>
    <row r="42" spans="1:13" ht="14.4" customHeight="1" x14ac:dyDescent="0.3">
      <c r="A42" s="712" t="s">
        <v>604</v>
      </c>
      <c r="B42" s="713" t="s">
        <v>1411</v>
      </c>
      <c r="C42" s="713" t="s">
        <v>973</v>
      </c>
      <c r="D42" s="713" t="s">
        <v>974</v>
      </c>
      <c r="E42" s="713" t="s">
        <v>1412</v>
      </c>
      <c r="F42" s="716"/>
      <c r="G42" s="716"/>
      <c r="H42" s="729">
        <v>0</v>
      </c>
      <c r="I42" s="716">
        <v>3</v>
      </c>
      <c r="J42" s="716">
        <v>9900</v>
      </c>
      <c r="K42" s="729">
        <v>1</v>
      </c>
      <c r="L42" s="716">
        <v>3</v>
      </c>
      <c r="M42" s="717">
        <v>9900</v>
      </c>
    </row>
    <row r="43" spans="1:13" ht="14.4" customHeight="1" x14ac:dyDescent="0.3">
      <c r="A43" s="712" t="s">
        <v>604</v>
      </c>
      <c r="B43" s="713" t="s">
        <v>1483</v>
      </c>
      <c r="C43" s="713" t="s">
        <v>1316</v>
      </c>
      <c r="D43" s="713" t="s">
        <v>1304</v>
      </c>
      <c r="E43" s="713" t="s">
        <v>1484</v>
      </c>
      <c r="F43" s="716"/>
      <c r="G43" s="716"/>
      <c r="H43" s="729">
        <v>0</v>
      </c>
      <c r="I43" s="716">
        <v>1</v>
      </c>
      <c r="J43" s="716">
        <v>129.32999999999998</v>
      </c>
      <c r="K43" s="729">
        <v>1</v>
      </c>
      <c r="L43" s="716">
        <v>1</v>
      </c>
      <c r="M43" s="717">
        <v>129.32999999999998</v>
      </c>
    </row>
    <row r="44" spans="1:13" ht="14.4" customHeight="1" x14ac:dyDescent="0.3">
      <c r="A44" s="712" t="s">
        <v>604</v>
      </c>
      <c r="B44" s="713" t="s">
        <v>1483</v>
      </c>
      <c r="C44" s="713" t="s">
        <v>1303</v>
      </c>
      <c r="D44" s="713" t="s">
        <v>1304</v>
      </c>
      <c r="E44" s="713" t="s">
        <v>1485</v>
      </c>
      <c r="F44" s="716"/>
      <c r="G44" s="716"/>
      <c r="H44" s="729">
        <v>0</v>
      </c>
      <c r="I44" s="716">
        <v>2</v>
      </c>
      <c r="J44" s="716">
        <v>90.38</v>
      </c>
      <c r="K44" s="729">
        <v>1</v>
      </c>
      <c r="L44" s="716">
        <v>2</v>
      </c>
      <c r="M44" s="717">
        <v>90.38</v>
      </c>
    </row>
    <row r="45" spans="1:13" ht="14.4" customHeight="1" x14ac:dyDescent="0.3">
      <c r="A45" s="712" t="s">
        <v>604</v>
      </c>
      <c r="B45" s="713" t="s">
        <v>1415</v>
      </c>
      <c r="C45" s="713" t="s">
        <v>925</v>
      </c>
      <c r="D45" s="713" t="s">
        <v>1416</v>
      </c>
      <c r="E45" s="713" t="s">
        <v>1417</v>
      </c>
      <c r="F45" s="716"/>
      <c r="G45" s="716"/>
      <c r="H45" s="729">
        <v>0</v>
      </c>
      <c r="I45" s="716">
        <v>1</v>
      </c>
      <c r="J45" s="716">
        <v>42.579999999999991</v>
      </c>
      <c r="K45" s="729">
        <v>1</v>
      </c>
      <c r="L45" s="716">
        <v>1</v>
      </c>
      <c r="M45" s="717">
        <v>42.579999999999991</v>
      </c>
    </row>
    <row r="46" spans="1:13" ht="14.4" customHeight="1" x14ac:dyDescent="0.3">
      <c r="A46" s="712" t="s">
        <v>604</v>
      </c>
      <c r="B46" s="713" t="s">
        <v>1415</v>
      </c>
      <c r="C46" s="713" t="s">
        <v>1307</v>
      </c>
      <c r="D46" s="713" t="s">
        <v>1416</v>
      </c>
      <c r="E46" s="713" t="s">
        <v>1486</v>
      </c>
      <c r="F46" s="716"/>
      <c r="G46" s="716"/>
      <c r="H46" s="729">
        <v>0</v>
      </c>
      <c r="I46" s="716">
        <v>1</v>
      </c>
      <c r="J46" s="716">
        <v>149.03</v>
      </c>
      <c r="K46" s="729">
        <v>1</v>
      </c>
      <c r="L46" s="716">
        <v>1</v>
      </c>
      <c r="M46" s="717">
        <v>149.03</v>
      </c>
    </row>
    <row r="47" spans="1:13" ht="14.4" customHeight="1" x14ac:dyDescent="0.3">
      <c r="A47" s="712" t="s">
        <v>604</v>
      </c>
      <c r="B47" s="713" t="s">
        <v>1487</v>
      </c>
      <c r="C47" s="713" t="s">
        <v>1319</v>
      </c>
      <c r="D47" s="713" t="s">
        <v>1488</v>
      </c>
      <c r="E47" s="713" t="s">
        <v>1489</v>
      </c>
      <c r="F47" s="716"/>
      <c r="G47" s="716"/>
      <c r="H47" s="729">
        <v>0</v>
      </c>
      <c r="I47" s="716">
        <v>1</v>
      </c>
      <c r="J47" s="716">
        <v>182.93000000000006</v>
      </c>
      <c r="K47" s="729">
        <v>1</v>
      </c>
      <c r="L47" s="716">
        <v>1</v>
      </c>
      <c r="M47" s="717">
        <v>182.93000000000006</v>
      </c>
    </row>
    <row r="48" spans="1:13" ht="14.4" customHeight="1" x14ac:dyDescent="0.3">
      <c r="A48" s="712" t="s">
        <v>604</v>
      </c>
      <c r="B48" s="713" t="s">
        <v>1429</v>
      </c>
      <c r="C48" s="713" t="s">
        <v>1333</v>
      </c>
      <c r="D48" s="713" t="s">
        <v>1334</v>
      </c>
      <c r="E48" s="713" t="s">
        <v>1490</v>
      </c>
      <c r="F48" s="716"/>
      <c r="G48" s="716"/>
      <c r="H48" s="729">
        <v>0</v>
      </c>
      <c r="I48" s="716">
        <v>1</v>
      </c>
      <c r="J48" s="716">
        <v>49.720000000000013</v>
      </c>
      <c r="K48" s="729">
        <v>1</v>
      </c>
      <c r="L48" s="716">
        <v>1</v>
      </c>
      <c r="M48" s="717">
        <v>49.720000000000013</v>
      </c>
    </row>
    <row r="49" spans="1:13" ht="14.4" customHeight="1" x14ac:dyDescent="0.3">
      <c r="A49" s="712" t="s">
        <v>604</v>
      </c>
      <c r="B49" s="713" t="s">
        <v>1429</v>
      </c>
      <c r="C49" s="713" t="s">
        <v>959</v>
      </c>
      <c r="D49" s="713" t="s">
        <v>1430</v>
      </c>
      <c r="E49" s="713" t="s">
        <v>1431</v>
      </c>
      <c r="F49" s="716"/>
      <c r="G49" s="716"/>
      <c r="H49" s="729">
        <v>0</v>
      </c>
      <c r="I49" s="716">
        <v>1</v>
      </c>
      <c r="J49" s="716">
        <v>78.290000000000006</v>
      </c>
      <c r="K49" s="729">
        <v>1</v>
      </c>
      <c r="L49" s="716">
        <v>1</v>
      </c>
      <c r="M49" s="717">
        <v>78.290000000000006</v>
      </c>
    </row>
    <row r="50" spans="1:13" ht="14.4" customHeight="1" x14ac:dyDescent="0.3">
      <c r="A50" s="712" t="s">
        <v>604</v>
      </c>
      <c r="B50" s="713" t="s">
        <v>1429</v>
      </c>
      <c r="C50" s="713" t="s">
        <v>1330</v>
      </c>
      <c r="D50" s="713" t="s">
        <v>1430</v>
      </c>
      <c r="E50" s="713" t="s">
        <v>1491</v>
      </c>
      <c r="F50" s="716"/>
      <c r="G50" s="716"/>
      <c r="H50" s="729">
        <v>0</v>
      </c>
      <c r="I50" s="716">
        <v>1</v>
      </c>
      <c r="J50" s="716">
        <v>94.929999999999993</v>
      </c>
      <c r="K50" s="729">
        <v>1</v>
      </c>
      <c r="L50" s="716">
        <v>1</v>
      </c>
      <c r="M50" s="717">
        <v>94.929999999999993</v>
      </c>
    </row>
    <row r="51" spans="1:13" ht="14.4" customHeight="1" x14ac:dyDescent="0.3">
      <c r="A51" s="712" t="s">
        <v>604</v>
      </c>
      <c r="B51" s="713" t="s">
        <v>1435</v>
      </c>
      <c r="C51" s="713" t="s">
        <v>1068</v>
      </c>
      <c r="D51" s="713" t="s">
        <v>1438</v>
      </c>
      <c r="E51" s="713" t="s">
        <v>1439</v>
      </c>
      <c r="F51" s="716"/>
      <c r="G51" s="716"/>
      <c r="H51" s="729">
        <v>0</v>
      </c>
      <c r="I51" s="716">
        <v>3</v>
      </c>
      <c r="J51" s="716">
        <v>333.96</v>
      </c>
      <c r="K51" s="729">
        <v>1</v>
      </c>
      <c r="L51" s="716">
        <v>3</v>
      </c>
      <c r="M51" s="717">
        <v>333.96</v>
      </c>
    </row>
    <row r="52" spans="1:13" ht="14.4" customHeight="1" x14ac:dyDescent="0.3">
      <c r="A52" s="712" t="s">
        <v>604</v>
      </c>
      <c r="B52" s="713" t="s">
        <v>1492</v>
      </c>
      <c r="C52" s="713" t="s">
        <v>1353</v>
      </c>
      <c r="D52" s="713" t="s">
        <v>1493</v>
      </c>
      <c r="E52" s="713" t="s">
        <v>1494</v>
      </c>
      <c r="F52" s="716"/>
      <c r="G52" s="716"/>
      <c r="H52" s="729">
        <v>0</v>
      </c>
      <c r="I52" s="716">
        <v>18</v>
      </c>
      <c r="J52" s="716">
        <v>1641.7200000000003</v>
      </c>
      <c r="K52" s="729">
        <v>1</v>
      </c>
      <c r="L52" s="716">
        <v>18</v>
      </c>
      <c r="M52" s="717">
        <v>1641.7200000000003</v>
      </c>
    </row>
    <row r="53" spans="1:13" ht="14.4" customHeight="1" x14ac:dyDescent="0.3">
      <c r="A53" s="712" t="s">
        <v>604</v>
      </c>
      <c r="B53" s="713" t="s">
        <v>1443</v>
      </c>
      <c r="C53" s="713" t="s">
        <v>1356</v>
      </c>
      <c r="D53" s="713" t="s">
        <v>1444</v>
      </c>
      <c r="E53" s="713" t="s">
        <v>1495</v>
      </c>
      <c r="F53" s="716"/>
      <c r="G53" s="716"/>
      <c r="H53" s="729">
        <v>0</v>
      </c>
      <c r="I53" s="716">
        <v>1.8</v>
      </c>
      <c r="J53" s="716">
        <v>554.4</v>
      </c>
      <c r="K53" s="729">
        <v>1</v>
      </c>
      <c r="L53" s="716">
        <v>1.8</v>
      </c>
      <c r="M53" s="717">
        <v>554.4</v>
      </c>
    </row>
    <row r="54" spans="1:13" ht="14.4" customHeight="1" x14ac:dyDescent="0.3">
      <c r="A54" s="712" t="s">
        <v>604</v>
      </c>
      <c r="B54" s="713" t="s">
        <v>1496</v>
      </c>
      <c r="C54" s="713" t="s">
        <v>1322</v>
      </c>
      <c r="D54" s="713" t="s">
        <v>1323</v>
      </c>
      <c r="E54" s="713" t="s">
        <v>1497</v>
      </c>
      <c r="F54" s="716"/>
      <c r="G54" s="716"/>
      <c r="H54" s="729">
        <v>0</v>
      </c>
      <c r="I54" s="716">
        <v>3</v>
      </c>
      <c r="J54" s="716">
        <v>145.20013770866532</v>
      </c>
      <c r="K54" s="729">
        <v>1</v>
      </c>
      <c r="L54" s="716">
        <v>3</v>
      </c>
      <c r="M54" s="717">
        <v>145.20013770866532</v>
      </c>
    </row>
    <row r="55" spans="1:13" ht="14.4" customHeight="1" x14ac:dyDescent="0.3">
      <c r="A55" s="712" t="s">
        <v>604</v>
      </c>
      <c r="B55" s="713" t="s">
        <v>1446</v>
      </c>
      <c r="C55" s="713" t="s">
        <v>621</v>
      </c>
      <c r="D55" s="713" t="s">
        <v>622</v>
      </c>
      <c r="E55" s="713" t="s">
        <v>1448</v>
      </c>
      <c r="F55" s="716">
        <v>7</v>
      </c>
      <c r="G55" s="716">
        <v>723.23999999999978</v>
      </c>
      <c r="H55" s="729">
        <v>1</v>
      </c>
      <c r="I55" s="716"/>
      <c r="J55" s="716"/>
      <c r="K55" s="729">
        <v>0</v>
      </c>
      <c r="L55" s="716">
        <v>7</v>
      </c>
      <c r="M55" s="717">
        <v>723.23999999999978</v>
      </c>
    </row>
    <row r="56" spans="1:13" ht="14.4" customHeight="1" x14ac:dyDescent="0.3">
      <c r="A56" s="712" t="s">
        <v>604</v>
      </c>
      <c r="B56" s="713" t="s">
        <v>1452</v>
      </c>
      <c r="C56" s="713" t="s">
        <v>929</v>
      </c>
      <c r="D56" s="713" t="s">
        <v>1453</v>
      </c>
      <c r="E56" s="713" t="s">
        <v>1454</v>
      </c>
      <c r="F56" s="716"/>
      <c r="G56" s="716"/>
      <c r="H56" s="729">
        <v>0</v>
      </c>
      <c r="I56" s="716">
        <v>2</v>
      </c>
      <c r="J56" s="716">
        <v>89.18</v>
      </c>
      <c r="K56" s="729">
        <v>1</v>
      </c>
      <c r="L56" s="716">
        <v>2</v>
      </c>
      <c r="M56" s="717">
        <v>89.18</v>
      </c>
    </row>
    <row r="57" spans="1:13" ht="14.4" customHeight="1" x14ac:dyDescent="0.3">
      <c r="A57" s="712" t="s">
        <v>604</v>
      </c>
      <c r="B57" s="713" t="s">
        <v>1457</v>
      </c>
      <c r="C57" s="713" t="s">
        <v>963</v>
      </c>
      <c r="D57" s="713" t="s">
        <v>1458</v>
      </c>
      <c r="E57" s="713" t="s">
        <v>1459</v>
      </c>
      <c r="F57" s="716"/>
      <c r="G57" s="716"/>
      <c r="H57" s="729">
        <v>0</v>
      </c>
      <c r="I57" s="716">
        <v>16</v>
      </c>
      <c r="J57" s="716">
        <v>5202.5599999999995</v>
      </c>
      <c r="K57" s="729">
        <v>1</v>
      </c>
      <c r="L57" s="716">
        <v>16</v>
      </c>
      <c r="M57" s="717">
        <v>5202.5599999999995</v>
      </c>
    </row>
    <row r="58" spans="1:13" ht="14.4" customHeight="1" x14ac:dyDescent="0.3">
      <c r="A58" s="712" t="s">
        <v>604</v>
      </c>
      <c r="B58" s="713" t="s">
        <v>1498</v>
      </c>
      <c r="C58" s="713" t="s">
        <v>1113</v>
      </c>
      <c r="D58" s="713" t="s">
        <v>1114</v>
      </c>
      <c r="E58" s="713" t="s">
        <v>1499</v>
      </c>
      <c r="F58" s="716">
        <v>1</v>
      </c>
      <c r="G58" s="716">
        <v>46.989999999999995</v>
      </c>
      <c r="H58" s="729">
        <v>1</v>
      </c>
      <c r="I58" s="716"/>
      <c r="J58" s="716"/>
      <c r="K58" s="729">
        <v>0</v>
      </c>
      <c r="L58" s="716">
        <v>1</v>
      </c>
      <c r="M58" s="717">
        <v>46.989999999999995</v>
      </c>
    </row>
    <row r="59" spans="1:13" ht="14.4" customHeight="1" x14ac:dyDescent="0.3">
      <c r="A59" s="712" t="s">
        <v>604</v>
      </c>
      <c r="B59" s="713" t="s">
        <v>1460</v>
      </c>
      <c r="C59" s="713" t="s">
        <v>616</v>
      </c>
      <c r="D59" s="713" t="s">
        <v>1461</v>
      </c>
      <c r="E59" s="713" t="s">
        <v>1462</v>
      </c>
      <c r="F59" s="716">
        <v>1</v>
      </c>
      <c r="G59" s="716">
        <v>43.999999999999993</v>
      </c>
      <c r="H59" s="729">
        <v>1</v>
      </c>
      <c r="I59" s="716"/>
      <c r="J59" s="716"/>
      <c r="K59" s="729">
        <v>0</v>
      </c>
      <c r="L59" s="716">
        <v>1</v>
      </c>
      <c r="M59" s="717">
        <v>43.999999999999993</v>
      </c>
    </row>
    <row r="60" spans="1:13" ht="14.4" customHeight="1" x14ac:dyDescent="0.3">
      <c r="A60" s="712" t="s">
        <v>604</v>
      </c>
      <c r="B60" s="713" t="s">
        <v>1475</v>
      </c>
      <c r="C60" s="713" t="s">
        <v>1310</v>
      </c>
      <c r="D60" s="713" t="s">
        <v>934</v>
      </c>
      <c r="E60" s="713" t="s">
        <v>1500</v>
      </c>
      <c r="F60" s="716"/>
      <c r="G60" s="716"/>
      <c r="H60" s="729">
        <v>0</v>
      </c>
      <c r="I60" s="716">
        <v>1</v>
      </c>
      <c r="J60" s="716">
        <v>29.27</v>
      </c>
      <c r="K60" s="729">
        <v>1</v>
      </c>
      <c r="L60" s="716">
        <v>1</v>
      </c>
      <c r="M60" s="717">
        <v>29.27</v>
      </c>
    </row>
    <row r="61" spans="1:13" ht="14.4" customHeight="1" thickBot="1" x14ac:dyDescent="0.35">
      <c r="A61" s="718" t="s">
        <v>604</v>
      </c>
      <c r="B61" s="719" t="s">
        <v>1501</v>
      </c>
      <c r="C61" s="719" t="s">
        <v>1338</v>
      </c>
      <c r="D61" s="719" t="s">
        <v>1339</v>
      </c>
      <c r="E61" s="719" t="s">
        <v>1502</v>
      </c>
      <c r="F61" s="722"/>
      <c r="G61" s="722"/>
      <c r="H61" s="730">
        <v>0</v>
      </c>
      <c r="I61" s="722">
        <v>5</v>
      </c>
      <c r="J61" s="722">
        <v>782.45</v>
      </c>
      <c r="K61" s="730">
        <v>1</v>
      </c>
      <c r="L61" s="722">
        <v>5</v>
      </c>
      <c r="M61" s="723">
        <v>782.45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6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59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7" t="s">
        <v>281</v>
      </c>
      <c r="B1" s="557"/>
      <c r="C1" s="557"/>
      <c r="D1" s="557"/>
      <c r="E1" s="557"/>
      <c r="F1" s="519"/>
      <c r="G1" s="519"/>
      <c r="H1" s="519"/>
      <c r="I1" s="519"/>
      <c r="J1" s="550"/>
      <c r="K1" s="550"/>
      <c r="L1" s="550"/>
      <c r="M1" s="550"/>
      <c r="N1" s="550"/>
      <c r="O1" s="550"/>
      <c r="P1" s="550"/>
      <c r="Q1" s="550"/>
    </row>
    <row r="2" spans="1:17" ht="14.4" customHeight="1" thickBot="1" x14ac:dyDescent="0.35">
      <c r="A2" s="374" t="s">
        <v>353</v>
      </c>
      <c r="B2" s="336"/>
      <c r="C2" s="336"/>
      <c r="D2" s="336"/>
      <c r="E2" s="336"/>
    </row>
    <row r="3" spans="1:17" ht="14.4" customHeight="1" thickBot="1" x14ac:dyDescent="0.35">
      <c r="A3" s="448" t="s">
        <v>3</v>
      </c>
      <c r="B3" s="452">
        <f>SUM(B6:B1048576)</f>
        <v>443</v>
      </c>
      <c r="C3" s="453">
        <f>SUM(C6:C1048576)</f>
        <v>211</v>
      </c>
      <c r="D3" s="453">
        <f>SUM(D6:D1048576)</f>
        <v>271</v>
      </c>
      <c r="E3" s="454">
        <f>SUM(E6:E1048576)</f>
        <v>0</v>
      </c>
      <c r="F3" s="451">
        <f>IF(SUM($B3:$E3)=0,"",B3/SUM($B3:$E3))</f>
        <v>0.47891891891891891</v>
      </c>
      <c r="G3" s="449">
        <f t="shared" ref="G3:I3" si="0">IF(SUM($B3:$E3)=0,"",C3/SUM($B3:$E3))</f>
        <v>0.22810810810810811</v>
      </c>
      <c r="H3" s="449">
        <f t="shared" si="0"/>
        <v>0.29297297297297298</v>
      </c>
      <c r="I3" s="450">
        <f t="shared" si="0"/>
        <v>0</v>
      </c>
      <c r="J3" s="453">
        <f>SUM(J6:J1048576)</f>
        <v>83</v>
      </c>
      <c r="K3" s="453">
        <f>SUM(K6:K1048576)</f>
        <v>107</v>
      </c>
      <c r="L3" s="453">
        <f>SUM(L6:L1048576)</f>
        <v>271</v>
      </c>
      <c r="M3" s="454">
        <f>SUM(M6:M1048576)</f>
        <v>0</v>
      </c>
      <c r="N3" s="451">
        <f>IF(SUM($J3:$M3)=0,"",J3/SUM($J3:$M3))</f>
        <v>0.18004338394793926</v>
      </c>
      <c r="O3" s="449">
        <f t="shared" ref="O3:Q3" si="1">IF(SUM($J3:$M3)=0,"",K3/SUM($J3:$M3))</f>
        <v>0.23210412147505424</v>
      </c>
      <c r="P3" s="449">
        <f t="shared" si="1"/>
        <v>0.5878524945770065</v>
      </c>
      <c r="Q3" s="450">
        <f t="shared" si="1"/>
        <v>0</v>
      </c>
    </row>
    <row r="4" spans="1:17" ht="14.4" customHeight="1" thickBot="1" x14ac:dyDescent="0.35">
      <c r="A4" s="447"/>
      <c r="B4" s="570" t="s">
        <v>283</v>
      </c>
      <c r="C4" s="571"/>
      <c r="D4" s="571"/>
      <c r="E4" s="572"/>
      <c r="F4" s="567" t="s">
        <v>288</v>
      </c>
      <c r="G4" s="568"/>
      <c r="H4" s="568"/>
      <c r="I4" s="569"/>
      <c r="J4" s="570" t="s">
        <v>289</v>
      </c>
      <c r="K4" s="571"/>
      <c r="L4" s="571"/>
      <c r="M4" s="572"/>
      <c r="N4" s="567" t="s">
        <v>290</v>
      </c>
      <c r="O4" s="568"/>
      <c r="P4" s="568"/>
      <c r="Q4" s="569"/>
    </row>
    <row r="5" spans="1:17" ht="14.4" customHeight="1" thickBot="1" x14ac:dyDescent="0.35">
      <c r="A5" s="745" t="s">
        <v>282</v>
      </c>
      <c r="B5" s="746" t="s">
        <v>284</v>
      </c>
      <c r="C5" s="746" t="s">
        <v>285</v>
      </c>
      <c r="D5" s="746" t="s">
        <v>286</v>
      </c>
      <c r="E5" s="747" t="s">
        <v>287</v>
      </c>
      <c r="F5" s="748" t="s">
        <v>284</v>
      </c>
      <c r="G5" s="749" t="s">
        <v>285</v>
      </c>
      <c r="H5" s="749" t="s">
        <v>286</v>
      </c>
      <c r="I5" s="750" t="s">
        <v>287</v>
      </c>
      <c r="J5" s="746" t="s">
        <v>284</v>
      </c>
      <c r="K5" s="746" t="s">
        <v>285</v>
      </c>
      <c r="L5" s="746" t="s">
        <v>286</v>
      </c>
      <c r="M5" s="747" t="s">
        <v>287</v>
      </c>
      <c r="N5" s="748" t="s">
        <v>284</v>
      </c>
      <c r="O5" s="749" t="s">
        <v>285</v>
      </c>
      <c r="P5" s="749" t="s">
        <v>286</v>
      </c>
      <c r="Q5" s="750" t="s">
        <v>287</v>
      </c>
    </row>
    <row r="6" spans="1:17" ht="14.4" customHeight="1" x14ac:dyDescent="0.3">
      <c r="A6" s="754" t="s">
        <v>1504</v>
      </c>
      <c r="B6" s="760"/>
      <c r="C6" s="710"/>
      <c r="D6" s="710"/>
      <c r="E6" s="711"/>
      <c r="F6" s="757"/>
      <c r="G6" s="728"/>
      <c r="H6" s="728"/>
      <c r="I6" s="763"/>
      <c r="J6" s="760"/>
      <c r="K6" s="710"/>
      <c r="L6" s="710"/>
      <c r="M6" s="711"/>
      <c r="N6" s="757"/>
      <c r="O6" s="728"/>
      <c r="P6" s="728"/>
      <c r="Q6" s="751"/>
    </row>
    <row r="7" spans="1:17" ht="14.4" customHeight="1" x14ac:dyDescent="0.3">
      <c r="A7" s="755" t="s">
        <v>1505</v>
      </c>
      <c r="B7" s="761">
        <v>210</v>
      </c>
      <c r="C7" s="716">
        <v>146</v>
      </c>
      <c r="D7" s="716">
        <v>203</v>
      </c>
      <c r="E7" s="717"/>
      <c r="F7" s="758">
        <v>0.37567084078711988</v>
      </c>
      <c r="G7" s="729">
        <v>0.26118067978533094</v>
      </c>
      <c r="H7" s="729">
        <v>0.36314847942754919</v>
      </c>
      <c r="I7" s="764">
        <v>0</v>
      </c>
      <c r="J7" s="761">
        <v>38</v>
      </c>
      <c r="K7" s="716">
        <v>71</v>
      </c>
      <c r="L7" s="716">
        <v>203</v>
      </c>
      <c r="M7" s="717"/>
      <c r="N7" s="758">
        <v>0.12179487179487179</v>
      </c>
      <c r="O7" s="729">
        <v>0.22756410256410256</v>
      </c>
      <c r="P7" s="729">
        <v>0.65064102564102566</v>
      </c>
      <c r="Q7" s="752">
        <v>0</v>
      </c>
    </row>
    <row r="8" spans="1:17" ht="14.4" customHeight="1" x14ac:dyDescent="0.3">
      <c r="A8" s="755" t="s">
        <v>1506</v>
      </c>
      <c r="B8" s="761">
        <v>17</v>
      </c>
      <c r="C8" s="716"/>
      <c r="D8" s="716"/>
      <c r="E8" s="717"/>
      <c r="F8" s="758">
        <v>1</v>
      </c>
      <c r="G8" s="729">
        <v>0</v>
      </c>
      <c r="H8" s="729">
        <v>0</v>
      </c>
      <c r="I8" s="764">
        <v>0</v>
      </c>
      <c r="J8" s="761">
        <v>7</v>
      </c>
      <c r="K8" s="716"/>
      <c r="L8" s="716"/>
      <c r="M8" s="717"/>
      <c r="N8" s="758">
        <v>1</v>
      </c>
      <c r="O8" s="729">
        <v>0</v>
      </c>
      <c r="P8" s="729">
        <v>0</v>
      </c>
      <c r="Q8" s="752">
        <v>0</v>
      </c>
    </row>
    <row r="9" spans="1:17" ht="14.4" customHeight="1" thickBot="1" x14ac:dyDescent="0.35">
      <c r="A9" s="756" t="s">
        <v>1507</v>
      </c>
      <c r="B9" s="762">
        <v>216</v>
      </c>
      <c r="C9" s="722">
        <v>65</v>
      </c>
      <c r="D9" s="722">
        <v>68</v>
      </c>
      <c r="E9" s="723"/>
      <c r="F9" s="759">
        <v>0.61891117478510027</v>
      </c>
      <c r="G9" s="730">
        <v>0.18624641833810887</v>
      </c>
      <c r="H9" s="730">
        <v>0.19484240687679083</v>
      </c>
      <c r="I9" s="765">
        <v>0</v>
      </c>
      <c r="J9" s="762">
        <v>38</v>
      </c>
      <c r="K9" s="722">
        <v>36</v>
      </c>
      <c r="L9" s="722">
        <v>68</v>
      </c>
      <c r="M9" s="723"/>
      <c r="N9" s="759">
        <v>0.26760563380281688</v>
      </c>
      <c r="O9" s="730">
        <v>0.25352112676056338</v>
      </c>
      <c r="P9" s="730">
        <v>0.47887323943661969</v>
      </c>
      <c r="Q9" s="75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6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7" t="s">
        <v>177</v>
      </c>
      <c r="B1" s="557"/>
      <c r="C1" s="557"/>
      <c r="D1" s="557"/>
      <c r="E1" s="557"/>
      <c r="F1" s="557"/>
      <c r="G1" s="557"/>
      <c r="H1" s="557"/>
      <c r="I1" s="519"/>
      <c r="J1" s="519"/>
      <c r="K1" s="519"/>
      <c r="L1" s="519"/>
    </row>
    <row r="2" spans="1:14" ht="14.4" customHeight="1" thickBot="1" x14ac:dyDescent="0.35">
      <c r="A2" s="374" t="s">
        <v>353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74" t="s">
        <v>15</v>
      </c>
      <c r="D3" s="573"/>
      <c r="E3" s="573" t="s">
        <v>16</v>
      </c>
      <c r="F3" s="573"/>
      <c r="G3" s="573"/>
      <c r="H3" s="573"/>
      <c r="I3" s="573" t="s">
        <v>190</v>
      </c>
      <c r="J3" s="573"/>
      <c r="K3" s="573"/>
      <c r="L3" s="575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96">
        <v>31</v>
      </c>
      <c r="B5" s="697" t="s">
        <v>592</v>
      </c>
      <c r="C5" s="700">
        <v>616487.64</v>
      </c>
      <c r="D5" s="700">
        <v>1399</v>
      </c>
      <c r="E5" s="700">
        <v>536542.44000000006</v>
      </c>
      <c r="F5" s="766">
        <v>0.87032148771060525</v>
      </c>
      <c r="G5" s="700">
        <v>1147</v>
      </c>
      <c r="H5" s="766">
        <v>0.81987133666904932</v>
      </c>
      <c r="I5" s="700">
        <v>79945.200000000012</v>
      </c>
      <c r="J5" s="766">
        <v>0.12967851228939481</v>
      </c>
      <c r="K5" s="700">
        <v>252</v>
      </c>
      <c r="L5" s="766">
        <v>0.18012866333095068</v>
      </c>
      <c r="M5" s="700" t="s">
        <v>74</v>
      </c>
      <c r="N5" s="270"/>
    </row>
    <row r="6" spans="1:14" ht="14.4" customHeight="1" x14ac:dyDescent="0.3">
      <c r="A6" s="696">
        <v>31</v>
      </c>
      <c r="B6" s="697" t="s">
        <v>1508</v>
      </c>
      <c r="C6" s="700">
        <v>335687.77000000008</v>
      </c>
      <c r="D6" s="700">
        <v>663</v>
      </c>
      <c r="E6" s="700">
        <v>288057.66000000009</v>
      </c>
      <c r="F6" s="766">
        <v>0.8581118698485799</v>
      </c>
      <c r="G6" s="700">
        <v>445</v>
      </c>
      <c r="H6" s="766">
        <v>0.67119155354449467</v>
      </c>
      <c r="I6" s="700">
        <v>47630.11</v>
      </c>
      <c r="J6" s="766">
        <v>0.14188813015142016</v>
      </c>
      <c r="K6" s="700">
        <v>218</v>
      </c>
      <c r="L6" s="766">
        <v>0.32880844645550528</v>
      </c>
      <c r="M6" s="700" t="s">
        <v>1</v>
      </c>
      <c r="N6" s="270"/>
    </row>
    <row r="7" spans="1:14" ht="14.4" customHeight="1" x14ac:dyDescent="0.3">
      <c r="A7" s="696">
        <v>31</v>
      </c>
      <c r="B7" s="697" t="s">
        <v>1509</v>
      </c>
      <c r="C7" s="700">
        <v>0</v>
      </c>
      <c r="D7" s="700">
        <v>1</v>
      </c>
      <c r="E7" s="700">
        <v>0</v>
      </c>
      <c r="F7" s="766" t="s">
        <v>593</v>
      </c>
      <c r="G7" s="700">
        <v>1</v>
      </c>
      <c r="H7" s="766">
        <v>1</v>
      </c>
      <c r="I7" s="700" t="s">
        <v>593</v>
      </c>
      <c r="J7" s="766" t="s">
        <v>593</v>
      </c>
      <c r="K7" s="700" t="s">
        <v>593</v>
      </c>
      <c r="L7" s="766">
        <v>0</v>
      </c>
      <c r="M7" s="700" t="s">
        <v>1</v>
      </c>
      <c r="N7" s="270"/>
    </row>
    <row r="8" spans="1:14" ht="14.4" customHeight="1" x14ac:dyDescent="0.3">
      <c r="A8" s="696">
        <v>31</v>
      </c>
      <c r="B8" s="697" t="s">
        <v>1510</v>
      </c>
      <c r="C8" s="700">
        <v>280799.86999999994</v>
      </c>
      <c r="D8" s="700">
        <v>735</v>
      </c>
      <c r="E8" s="700">
        <v>248484.77999999994</v>
      </c>
      <c r="F8" s="766">
        <v>0.8849177173764361</v>
      </c>
      <c r="G8" s="700">
        <v>701</v>
      </c>
      <c r="H8" s="766">
        <v>0.95374149659863949</v>
      </c>
      <c r="I8" s="700">
        <v>32315.090000000004</v>
      </c>
      <c r="J8" s="766">
        <v>0.11508228262356393</v>
      </c>
      <c r="K8" s="700">
        <v>34</v>
      </c>
      <c r="L8" s="766">
        <v>4.6258503401360541E-2</v>
      </c>
      <c r="M8" s="700" t="s">
        <v>1</v>
      </c>
      <c r="N8" s="270"/>
    </row>
    <row r="9" spans="1:14" ht="14.4" customHeight="1" x14ac:dyDescent="0.3">
      <c r="A9" s="696" t="s">
        <v>591</v>
      </c>
      <c r="B9" s="697" t="s">
        <v>3</v>
      </c>
      <c r="C9" s="700">
        <v>616487.64</v>
      </c>
      <c r="D9" s="700">
        <v>1399</v>
      </c>
      <c r="E9" s="700">
        <v>536542.44000000006</v>
      </c>
      <c r="F9" s="766">
        <v>0.87032148771060525</v>
      </c>
      <c r="G9" s="700">
        <v>1147</v>
      </c>
      <c r="H9" s="766">
        <v>0.81987133666904932</v>
      </c>
      <c r="I9" s="700">
        <v>79945.200000000012</v>
      </c>
      <c r="J9" s="766">
        <v>0.12967851228939481</v>
      </c>
      <c r="K9" s="700">
        <v>252</v>
      </c>
      <c r="L9" s="766">
        <v>0.18012866333095068</v>
      </c>
      <c r="M9" s="700" t="s">
        <v>595</v>
      </c>
      <c r="N9" s="270"/>
    </row>
    <row r="11" spans="1:14" ht="14.4" customHeight="1" x14ac:dyDescent="0.3">
      <c r="A11" s="696">
        <v>31</v>
      </c>
      <c r="B11" s="697" t="s">
        <v>592</v>
      </c>
      <c r="C11" s="700" t="s">
        <v>593</v>
      </c>
      <c r="D11" s="700" t="s">
        <v>593</v>
      </c>
      <c r="E11" s="700" t="s">
        <v>593</v>
      </c>
      <c r="F11" s="766" t="s">
        <v>593</v>
      </c>
      <c r="G11" s="700" t="s">
        <v>593</v>
      </c>
      <c r="H11" s="766" t="s">
        <v>593</v>
      </c>
      <c r="I11" s="700" t="s">
        <v>593</v>
      </c>
      <c r="J11" s="766" t="s">
        <v>593</v>
      </c>
      <c r="K11" s="700" t="s">
        <v>593</v>
      </c>
      <c r="L11" s="766" t="s">
        <v>593</v>
      </c>
      <c r="M11" s="700" t="s">
        <v>74</v>
      </c>
      <c r="N11" s="270"/>
    </row>
    <row r="12" spans="1:14" ht="14.4" customHeight="1" x14ac:dyDescent="0.3">
      <c r="A12" s="696" t="s">
        <v>1511</v>
      </c>
      <c r="B12" s="697" t="s">
        <v>1508</v>
      </c>
      <c r="C12" s="700">
        <v>192171.44000000006</v>
      </c>
      <c r="D12" s="700">
        <v>349</v>
      </c>
      <c r="E12" s="700">
        <v>166619.50000000006</v>
      </c>
      <c r="F12" s="766">
        <v>0.86703570520156381</v>
      </c>
      <c r="G12" s="700">
        <v>196</v>
      </c>
      <c r="H12" s="766">
        <v>0.56160458452722062</v>
      </c>
      <c r="I12" s="700">
        <v>25551.94000000001</v>
      </c>
      <c r="J12" s="766">
        <v>0.13296429479843624</v>
      </c>
      <c r="K12" s="700">
        <v>153</v>
      </c>
      <c r="L12" s="766">
        <v>0.43839541547277938</v>
      </c>
      <c r="M12" s="700" t="s">
        <v>1</v>
      </c>
      <c r="N12" s="270"/>
    </row>
    <row r="13" spans="1:14" ht="14.4" customHeight="1" x14ac:dyDescent="0.3">
      <c r="A13" s="696" t="s">
        <v>1511</v>
      </c>
      <c r="B13" s="697" t="s">
        <v>1510</v>
      </c>
      <c r="C13" s="700">
        <v>121207.78000000006</v>
      </c>
      <c r="D13" s="700">
        <v>455</v>
      </c>
      <c r="E13" s="700">
        <v>112444.71000000005</v>
      </c>
      <c r="F13" s="766">
        <v>0.92770208315010805</v>
      </c>
      <c r="G13" s="700">
        <v>444</v>
      </c>
      <c r="H13" s="766">
        <v>0.9758241758241758</v>
      </c>
      <c r="I13" s="700">
        <v>8763.07</v>
      </c>
      <c r="J13" s="766">
        <v>7.2297916849891938E-2</v>
      </c>
      <c r="K13" s="700">
        <v>11</v>
      </c>
      <c r="L13" s="766">
        <v>2.4175824175824177E-2</v>
      </c>
      <c r="M13" s="700" t="s">
        <v>1</v>
      </c>
      <c r="N13" s="270"/>
    </row>
    <row r="14" spans="1:14" ht="14.4" customHeight="1" x14ac:dyDescent="0.3">
      <c r="A14" s="696" t="s">
        <v>1511</v>
      </c>
      <c r="B14" s="697" t="s">
        <v>1512</v>
      </c>
      <c r="C14" s="700">
        <v>313379.22000000009</v>
      </c>
      <c r="D14" s="700">
        <v>804</v>
      </c>
      <c r="E14" s="700">
        <v>279064.21000000008</v>
      </c>
      <c r="F14" s="766">
        <v>0.89050004655701165</v>
      </c>
      <c r="G14" s="700">
        <v>640</v>
      </c>
      <c r="H14" s="766">
        <v>0.79601990049751248</v>
      </c>
      <c r="I14" s="700">
        <v>34315.010000000009</v>
      </c>
      <c r="J14" s="766">
        <v>0.10949995344298834</v>
      </c>
      <c r="K14" s="700">
        <v>164</v>
      </c>
      <c r="L14" s="766">
        <v>0.20398009950248755</v>
      </c>
      <c r="M14" s="700" t="s">
        <v>599</v>
      </c>
      <c r="N14" s="270"/>
    </row>
    <row r="15" spans="1:14" ht="14.4" customHeight="1" x14ac:dyDescent="0.3">
      <c r="A15" s="696" t="s">
        <v>593</v>
      </c>
      <c r="B15" s="697" t="s">
        <v>593</v>
      </c>
      <c r="C15" s="700" t="s">
        <v>593</v>
      </c>
      <c r="D15" s="700" t="s">
        <v>593</v>
      </c>
      <c r="E15" s="700" t="s">
        <v>593</v>
      </c>
      <c r="F15" s="766" t="s">
        <v>593</v>
      </c>
      <c r="G15" s="700" t="s">
        <v>593</v>
      </c>
      <c r="H15" s="766" t="s">
        <v>593</v>
      </c>
      <c r="I15" s="700" t="s">
        <v>593</v>
      </c>
      <c r="J15" s="766" t="s">
        <v>593</v>
      </c>
      <c r="K15" s="700" t="s">
        <v>593</v>
      </c>
      <c r="L15" s="766" t="s">
        <v>593</v>
      </c>
      <c r="M15" s="700" t="s">
        <v>600</v>
      </c>
      <c r="N15" s="270"/>
    </row>
    <row r="16" spans="1:14" ht="14.4" customHeight="1" x14ac:dyDescent="0.3">
      <c r="A16" s="696" t="s">
        <v>1513</v>
      </c>
      <c r="B16" s="697" t="s">
        <v>1508</v>
      </c>
      <c r="C16" s="700">
        <v>143516.33000000005</v>
      </c>
      <c r="D16" s="700">
        <v>313</v>
      </c>
      <c r="E16" s="700">
        <v>121438.16000000005</v>
      </c>
      <c r="F16" s="766">
        <v>0.84616266316174615</v>
      </c>
      <c r="G16" s="700">
        <v>249</v>
      </c>
      <c r="H16" s="766">
        <v>0.79552715654952078</v>
      </c>
      <c r="I16" s="700">
        <v>22078.170000000006</v>
      </c>
      <c r="J16" s="766">
        <v>0.15383733683825387</v>
      </c>
      <c r="K16" s="700">
        <v>64</v>
      </c>
      <c r="L16" s="766">
        <v>0.20447284345047922</v>
      </c>
      <c r="M16" s="700" t="s">
        <v>1</v>
      </c>
      <c r="N16" s="270"/>
    </row>
    <row r="17" spans="1:14" ht="14.4" customHeight="1" x14ac:dyDescent="0.3">
      <c r="A17" s="696" t="s">
        <v>1513</v>
      </c>
      <c r="B17" s="697" t="s">
        <v>1509</v>
      </c>
      <c r="C17" s="700">
        <v>0</v>
      </c>
      <c r="D17" s="700">
        <v>1</v>
      </c>
      <c r="E17" s="700">
        <v>0</v>
      </c>
      <c r="F17" s="766" t="s">
        <v>593</v>
      </c>
      <c r="G17" s="700">
        <v>1</v>
      </c>
      <c r="H17" s="766">
        <v>1</v>
      </c>
      <c r="I17" s="700" t="s">
        <v>593</v>
      </c>
      <c r="J17" s="766" t="s">
        <v>593</v>
      </c>
      <c r="K17" s="700" t="s">
        <v>593</v>
      </c>
      <c r="L17" s="766">
        <v>0</v>
      </c>
      <c r="M17" s="700" t="s">
        <v>1</v>
      </c>
      <c r="N17" s="270"/>
    </row>
    <row r="18" spans="1:14" ht="14.4" customHeight="1" x14ac:dyDescent="0.3">
      <c r="A18" s="696" t="s">
        <v>1513</v>
      </c>
      <c r="B18" s="697" t="s">
        <v>1510</v>
      </c>
      <c r="C18" s="700">
        <v>158311.55000000005</v>
      </c>
      <c r="D18" s="700">
        <v>273</v>
      </c>
      <c r="E18" s="700">
        <v>134759.53000000003</v>
      </c>
      <c r="F18" s="766">
        <v>0.85122993237069555</v>
      </c>
      <c r="G18" s="700">
        <v>250</v>
      </c>
      <c r="H18" s="766">
        <v>0.91575091575091572</v>
      </c>
      <c r="I18" s="700">
        <v>23552.020000000004</v>
      </c>
      <c r="J18" s="766">
        <v>0.14877006762930434</v>
      </c>
      <c r="K18" s="700">
        <v>23</v>
      </c>
      <c r="L18" s="766">
        <v>8.4249084249084255E-2</v>
      </c>
      <c r="M18" s="700" t="s">
        <v>1</v>
      </c>
      <c r="N18" s="270"/>
    </row>
    <row r="19" spans="1:14" ht="14.4" customHeight="1" x14ac:dyDescent="0.3">
      <c r="A19" s="696" t="s">
        <v>1513</v>
      </c>
      <c r="B19" s="697" t="s">
        <v>1514</v>
      </c>
      <c r="C19" s="700">
        <v>301827.88000000012</v>
      </c>
      <c r="D19" s="700">
        <v>587</v>
      </c>
      <c r="E19" s="700">
        <v>256197.69000000006</v>
      </c>
      <c r="F19" s="766">
        <v>0.84882049332222043</v>
      </c>
      <c r="G19" s="700">
        <v>500</v>
      </c>
      <c r="H19" s="766">
        <v>0.85178875638841567</v>
      </c>
      <c r="I19" s="700">
        <v>45630.19000000001</v>
      </c>
      <c r="J19" s="766">
        <v>0.15117950667777938</v>
      </c>
      <c r="K19" s="700">
        <v>87</v>
      </c>
      <c r="L19" s="766">
        <v>0.14821124361158433</v>
      </c>
      <c r="M19" s="700" t="s">
        <v>599</v>
      </c>
      <c r="N19" s="270"/>
    </row>
    <row r="20" spans="1:14" ht="14.4" customHeight="1" x14ac:dyDescent="0.3">
      <c r="A20" s="696" t="s">
        <v>593</v>
      </c>
      <c r="B20" s="697" t="s">
        <v>593</v>
      </c>
      <c r="C20" s="700" t="s">
        <v>593</v>
      </c>
      <c r="D20" s="700" t="s">
        <v>593</v>
      </c>
      <c r="E20" s="700" t="s">
        <v>593</v>
      </c>
      <c r="F20" s="766" t="s">
        <v>593</v>
      </c>
      <c r="G20" s="700" t="s">
        <v>593</v>
      </c>
      <c r="H20" s="766" t="s">
        <v>593</v>
      </c>
      <c r="I20" s="700" t="s">
        <v>593</v>
      </c>
      <c r="J20" s="766" t="s">
        <v>593</v>
      </c>
      <c r="K20" s="700" t="s">
        <v>593</v>
      </c>
      <c r="L20" s="766" t="s">
        <v>593</v>
      </c>
      <c r="M20" s="700" t="s">
        <v>600</v>
      </c>
      <c r="N20" s="270"/>
    </row>
    <row r="21" spans="1:14" ht="14.4" customHeight="1" x14ac:dyDescent="0.3">
      <c r="A21" s="696" t="s">
        <v>1515</v>
      </c>
      <c r="B21" s="697" t="s">
        <v>1508</v>
      </c>
      <c r="C21" s="700">
        <v>0</v>
      </c>
      <c r="D21" s="700">
        <v>1</v>
      </c>
      <c r="E21" s="700" t="s">
        <v>593</v>
      </c>
      <c r="F21" s="766" t="s">
        <v>593</v>
      </c>
      <c r="G21" s="700" t="s">
        <v>593</v>
      </c>
      <c r="H21" s="766">
        <v>0</v>
      </c>
      <c r="I21" s="700">
        <v>0</v>
      </c>
      <c r="J21" s="766" t="s">
        <v>593</v>
      </c>
      <c r="K21" s="700">
        <v>1</v>
      </c>
      <c r="L21" s="766">
        <v>1</v>
      </c>
      <c r="M21" s="700" t="s">
        <v>1</v>
      </c>
      <c r="N21" s="270"/>
    </row>
    <row r="22" spans="1:14" ht="14.4" customHeight="1" x14ac:dyDescent="0.3">
      <c r="A22" s="696" t="s">
        <v>1515</v>
      </c>
      <c r="B22" s="697" t="s">
        <v>1510</v>
      </c>
      <c r="C22" s="700">
        <v>1280.54</v>
      </c>
      <c r="D22" s="700">
        <v>7</v>
      </c>
      <c r="E22" s="700">
        <v>1280.54</v>
      </c>
      <c r="F22" s="766">
        <v>1</v>
      </c>
      <c r="G22" s="700">
        <v>7</v>
      </c>
      <c r="H22" s="766">
        <v>1</v>
      </c>
      <c r="I22" s="700" t="s">
        <v>593</v>
      </c>
      <c r="J22" s="766">
        <v>0</v>
      </c>
      <c r="K22" s="700" t="s">
        <v>593</v>
      </c>
      <c r="L22" s="766">
        <v>0</v>
      </c>
      <c r="M22" s="700" t="s">
        <v>1</v>
      </c>
      <c r="N22" s="270"/>
    </row>
    <row r="23" spans="1:14" ht="14.4" customHeight="1" x14ac:dyDescent="0.3">
      <c r="A23" s="696" t="s">
        <v>1515</v>
      </c>
      <c r="B23" s="697" t="s">
        <v>1516</v>
      </c>
      <c r="C23" s="700">
        <v>1280.54</v>
      </c>
      <c r="D23" s="700">
        <v>8</v>
      </c>
      <c r="E23" s="700">
        <v>1280.54</v>
      </c>
      <c r="F23" s="766">
        <v>1</v>
      </c>
      <c r="G23" s="700">
        <v>7</v>
      </c>
      <c r="H23" s="766">
        <v>0.875</v>
      </c>
      <c r="I23" s="700">
        <v>0</v>
      </c>
      <c r="J23" s="766">
        <v>0</v>
      </c>
      <c r="K23" s="700">
        <v>1</v>
      </c>
      <c r="L23" s="766">
        <v>0.125</v>
      </c>
      <c r="M23" s="700" t="s">
        <v>599</v>
      </c>
      <c r="N23" s="270"/>
    </row>
    <row r="24" spans="1:14" ht="14.4" customHeight="1" x14ac:dyDescent="0.3">
      <c r="A24" s="696" t="s">
        <v>593</v>
      </c>
      <c r="B24" s="697" t="s">
        <v>593</v>
      </c>
      <c r="C24" s="700" t="s">
        <v>593</v>
      </c>
      <c r="D24" s="700" t="s">
        <v>593</v>
      </c>
      <c r="E24" s="700" t="s">
        <v>593</v>
      </c>
      <c r="F24" s="766" t="s">
        <v>593</v>
      </c>
      <c r="G24" s="700" t="s">
        <v>593</v>
      </c>
      <c r="H24" s="766" t="s">
        <v>593</v>
      </c>
      <c r="I24" s="700" t="s">
        <v>593</v>
      </c>
      <c r="J24" s="766" t="s">
        <v>593</v>
      </c>
      <c r="K24" s="700" t="s">
        <v>593</v>
      </c>
      <c r="L24" s="766" t="s">
        <v>593</v>
      </c>
      <c r="M24" s="700" t="s">
        <v>600</v>
      </c>
      <c r="N24" s="270"/>
    </row>
    <row r="25" spans="1:14" ht="14.4" customHeight="1" x14ac:dyDescent="0.3">
      <c r="A25" s="696" t="s">
        <v>591</v>
      </c>
      <c r="B25" s="697" t="s">
        <v>594</v>
      </c>
      <c r="C25" s="700">
        <v>616487.64000000025</v>
      </c>
      <c r="D25" s="700">
        <v>1399</v>
      </c>
      <c r="E25" s="700">
        <v>536542.44000000018</v>
      </c>
      <c r="F25" s="766">
        <v>0.87032148771060514</v>
      </c>
      <c r="G25" s="700">
        <v>1147</v>
      </c>
      <c r="H25" s="766">
        <v>0.81987133666904932</v>
      </c>
      <c r="I25" s="700">
        <v>79945.200000000012</v>
      </c>
      <c r="J25" s="766">
        <v>0.12967851228939478</v>
      </c>
      <c r="K25" s="700">
        <v>252</v>
      </c>
      <c r="L25" s="766">
        <v>0.18012866333095068</v>
      </c>
      <c r="M25" s="700" t="s">
        <v>595</v>
      </c>
      <c r="N25" s="270"/>
    </row>
    <row r="26" spans="1:14" ht="14.4" customHeight="1" x14ac:dyDescent="0.3">
      <c r="A26" s="767" t="s">
        <v>1517</v>
      </c>
    </row>
    <row r="27" spans="1:14" ht="14.4" customHeight="1" x14ac:dyDescent="0.3">
      <c r="A27" s="768" t="s">
        <v>1518</v>
      </c>
    </row>
    <row r="28" spans="1:14" ht="14.4" customHeight="1" x14ac:dyDescent="0.3">
      <c r="A28" s="767" t="s">
        <v>1519</v>
      </c>
    </row>
  </sheetData>
  <autoFilter ref="A4:M4"/>
  <mergeCells count="4">
    <mergeCell ref="E3:H3"/>
    <mergeCell ref="C3:D3"/>
    <mergeCell ref="I3:L3"/>
    <mergeCell ref="A1:L1"/>
  </mergeCells>
  <conditionalFormatting sqref="F4 F10 F26:F1048576">
    <cfRule type="cellIs" dxfId="60" priority="15" stopIfTrue="1" operator="lessThan">
      <formula>0.6</formula>
    </cfRule>
  </conditionalFormatting>
  <conditionalFormatting sqref="B5:B9">
    <cfRule type="expression" dxfId="59" priority="10">
      <formula>AND(LEFT(M5,6)&lt;&gt;"mezera",M5&lt;&gt;"")</formula>
    </cfRule>
  </conditionalFormatting>
  <conditionalFormatting sqref="A5:A9">
    <cfRule type="expression" dxfId="58" priority="8">
      <formula>AND(M5&lt;&gt;"",M5&lt;&gt;"mezeraKL")</formula>
    </cfRule>
  </conditionalFormatting>
  <conditionalFormatting sqref="F5:F9">
    <cfRule type="cellIs" dxfId="57" priority="7" operator="lessThan">
      <formula>0.6</formula>
    </cfRule>
  </conditionalFormatting>
  <conditionalFormatting sqref="B5:L9">
    <cfRule type="expression" dxfId="56" priority="9">
      <formula>OR($M5="KL",$M5="SumaKL")</formula>
    </cfRule>
    <cfRule type="expression" dxfId="55" priority="11">
      <formula>$M5="SumaNS"</formula>
    </cfRule>
  </conditionalFormatting>
  <conditionalFormatting sqref="A5:L9">
    <cfRule type="expression" dxfId="54" priority="12">
      <formula>$M5&lt;&gt;""</formula>
    </cfRule>
  </conditionalFormatting>
  <conditionalFormatting sqref="B11:B25">
    <cfRule type="expression" dxfId="53" priority="4">
      <formula>AND(LEFT(M11,6)&lt;&gt;"mezera",M11&lt;&gt;"")</formula>
    </cfRule>
  </conditionalFormatting>
  <conditionalFormatting sqref="A11:A25">
    <cfRule type="expression" dxfId="52" priority="2">
      <formula>AND(M11&lt;&gt;"",M11&lt;&gt;"mezeraKL")</formula>
    </cfRule>
  </conditionalFormatting>
  <conditionalFormatting sqref="F11:F25">
    <cfRule type="cellIs" dxfId="51" priority="1" operator="lessThan">
      <formula>0.6</formula>
    </cfRule>
  </conditionalFormatting>
  <conditionalFormatting sqref="B11:L25">
    <cfRule type="expression" dxfId="50" priority="3">
      <formula>OR($M11="KL",$M11="SumaKL")</formula>
    </cfRule>
    <cfRule type="expression" dxfId="49" priority="5">
      <formula>$M11="SumaNS"</formula>
    </cfRule>
  </conditionalFormatting>
  <conditionalFormatting sqref="A11:L25">
    <cfRule type="expression" dxfId="48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2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7" t="s">
        <v>191</v>
      </c>
      <c r="B1" s="557"/>
      <c r="C1" s="557"/>
      <c r="D1" s="557"/>
      <c r="E1" s="557"/>
      <c r="F1" s="557"/>
      <c r="G1" s="557"/>
      <c r="H1" s="557"/>
      <c r="I1" s="557"/>
      <c r="J1" s="519"/>
      <c r="K1" s="519"/>
      <c r="L1" s="519"/>
      <c r="M1" s="519"/>
    </row>
    <row r="2" spans="1:13" ht="14.4" customHeight="1" thickBot="1" x14ac:dyDescent="0.35">
      <c r="A2" s="374" t="s">
        <v>353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74" t="s">
        <v>15</v>
      </c>
      <c r="C3" s="576"/>
      <c r="D3" s="573"/>
      <c r="E3" s="261"/>
      <c r="F3" s="573" t="s">
        <v>16</v>
      </c>
      <c r="G3" s="573"/>
      <c r="H3" s="573"/>
      <c r="I3" s="573"/>
      <c r="J3" s="573" t="s">
        <v>190</v>
      </c>
      <c r="K3" s="573"/>
      <c r="L3" s="573"/>
      <c r="M3" s="575"/>
    </row>
    <row r="4" spans="1:13" ht="14.4" customHeight="1" thickBot="1" x14ac:dyDescent="0.35">
      <c r="A4" s="745" t="s">
        <v>167</v>
      </c>
      <c r="B4" s="746" t="s">
        <v>19</v>
      </c>
      <c r="C4" s="772"/>
      <c r="D4" s="746" t="s">
        <v>20</v>
      </c>
      <c r="E4" s="772"/>
      <c r="F4" s="746" t="s">
        <v>19</v>
      </c>
      <c r="G4" s="749" t="s">
        <v>2</v>
      </c>
      <c r="H4" s="746" t="s">
        <v>20</v>
      </c>
      <c r="I4" s="749" t="s">
        <v>2</v>
      </c>
      <c r="J4" s="746" t="s">
        <v>19</v>
      </c>
      <c r="K4" s="749" t="s">
        <v>2</v>
      </c>
      <c r="L4" s="746" t="s">
        <v>20</v>
      </c>
      <c r="M4" s="750" t="s">
        <v>2</v>
      </c>
    </row>
    <row r="5" spans="1:13" ht="14.4" customHeight="1" x14ac:dyDescent="0.3">
      <c r="A5" s="769" t="s">
        <v>1520</v>
      </c>
      <c r="B5" s="760">
        <v>2386.33</v>
      </c>
      <c r="C5" s="707">
        <v>1</v>
      </c>
      <c r="D5" s="773">
        <v>3</v>
      </c>
      <c r="E5" s="776" t="s">
        <v>1520</v>
      </c>
      <c r="F5" s="760">
        <v>2386.33</v>
      </c>
      <c r="G5" s="728">
        <v>1</v>
      </c>
      <c r="H5" s="710">
        <v>3</v>
      </c>
      <c r="I5" s="751">
        <v>1</v>
      </c>
      <c r="J5" s="779"/>
      <c r="K5" s="728">
        <v>0</v>
      </c>
      <c r="L5" s="710"/>
      <c r="M5" s="751">
        <v>0</v>
      </c>
    </row>
    <row r="6" spans="1:13" ht="14.4" customHeight="1" x14ac:dyDescent="0.3">
      <c r="A6" s="770" t="s">
        <v>1521</v>
      </c>
      <c r="B6" s="761">
        <v>15648.830000000002</v>
      </c>
      <c r="C6" s="713">
        <v>1</v>
      </c>
      <c r="D6" s="774">
        <v>22</v>
      </c>
      <c r="E6" s="777" t="s">
        <v>1521</v>
      </c>
      <c r="F6" s="761">
        <v>13053.870000000003</v>
      </c>
      <c r="G6" s="729">
        <v>0.83417546231890827</v>
      </c>
      <c r="H6" s="716">
        <v>20</v>
      </c>
      <c r="I6" s="752">
        <v>0.90909090909090906</v>
      </c>
      <c r="J6" s="780">
        <v>2594.96</v>
      </c>
      <c r="K6" s="729">
        <v>0.16582453768109179</v>
      </c>
      <c r="L6" s="716">
        <v>2</v>
      </c>
      <c r="M6" s="752">
        <v>9.0909090909090912E-2</v>
      </c>
    </row>
    <row r="7" spans="1:13" ht="14.4" customHeight="1" x14ac:dyDescent="0.3">
      <c r="A7" s="770" t="s">
        <v>1522</v>
      </c>
      <c r="B7" s="761">
        <v>29239.360000000001</v>
      </c>
      <c r="C7" s="713">
        <v>1</v>
      </c>
      <c r="D7" s="774">
        <v>78</v>
      </c>
      <c r="E7" s="777" t="s">
        <v>1522</v>
      </c>
      <c r="F7" s="761">
        <v>18404.86</v>
      </c>
      <c r="G7" s="729">
        <v>0.6294549538703994</v>
      </c>
      <c r="H7" s="716">
        <v>60</v>
      </c>
      <c r="I7" s="752">
        <v>0.76923076923076927</v>
      </c>
      <c r="J7" s="780">
        <v>10834.5</v>
      </c>
      <c r="K7" s="729">
        <v>0.37054504612960065</v>
      </c>
      <c r="L7" s="716">
        <v>18</v>
      </c>
      <c r="M7" s="752">
        <v>0.23076923076923078</v>
      </c>
    </row>
    <row r="8" spans="1:13" ht="14.4" customHeight="1" x14ac:dyDescent="0.3">
      <c r="A8" s="770" t="s">
        <v>1523</v>
      </c>
      <c r="B8" s="761">
        <v>159665.02000000002</v>
      </c>
      <c r="C8" s="713">
        <v>1</v>
      </c>
      <c r="D8" s="774">
        <v>374</v>
      </c>
      <c r="E8" s="777" t="s">
        <v>1523</v>
      </c>
      <c r="F8" s="761">
        <v>146202.98000000001</v>
      </c>
      <c r="G8" s="729">
        <v>0.91568572753130273</v>
      </c>
      <c r="H8" s="716">
        <v>307</v>
      </c>
      <c r="I8" s="752">
        <v>0.82085561497326198</v>
      </c>
      <c r="J8" s="780">
        <v>13462.04</v>
      </c>
      <c r="K8" s="729">
        <v>8.4314272468697271E-2</v>
      </c>
      <c r="L8" s="716">
        <v>67</v>
      </c>
      <c r="M8" s="752">
        <v>0.17914438502673796</v>
      </c>
    </row>
    <row r="9" spans="1:13" ht="14.4" customHeight="1" x14ac:dyDescent="0.3">
      <c r="A9" s="770" t="s">
        <v>1524</v>
      </c>
      <c r="B9" s="761">
        <v>18938.620000000003</v>
      </c>
      <c r="C9" s="713">
        <v>1</v>
      </c>
      <c r="D9" s="774">
        <v>38</v>
      </c>
      <c r="E9" s="777" t="s">
        <v>1524</v>
      </c>
      <c r="F9" s="761">
        <v>13659.28</v>
      </c>
      <c r="G9" s="729">
        <v>0.72123945672915968</v>
      </c>
      <c r="H9" s="716">
        <v>25</v>
      </c>
      <c r="I9" s="752">
        <v>0.65789473684210531</v>
      </c>
      <c r="J9" s="780">
        <v>5279.34</v>
      </c>
      <c r="K9" s="729">
        <v>0.27876054327084021</v>
      </c>
      <c r="L9" s="716">
        <v>13</v>
      </c>
      <c r="M9" s="752">
        <v>0.34210526315789475</v>
      </c>
    </row>
    <row r="10" spans="1:13" ht="14.4" customHeight="1" x14ac:dyDescent="0.3">
      <c r="A10" s="770" t="s">
        <v>1525</v>
      </c>
      <c r="B10" s="761">
        <v>736.33</v>
      </c>
      <c r="C10" s="713">
        <v>1</v>
      </c>
      <c r="D10" s="774">
        <v>1</v>
      </c>
      <c r="E10" s="777" t="s">
        <v>1525</v>
      </c>
      <c r="F10" s="761">
        <v>736.33</v>
      </c>
      <c r="G10" s="729">
        <v>1</v>
      </c>
      <c r="H10" s="716">
        <v>1</v>
      </c>
      <c r="I10" s="752">
        <v>1</v>
      </c>
      <c r="J10" s="780"/>
      <c r="K10" s="729">
        <v>0</v>
      </c>
      <c r="L10" s="716"/>
      <c r="M10" s="752">
        <v>0</v>
      </c>
    </row>
    <row r="11" spans="1:13" ht="14.4" customHeight="1" x14ac:dyDescent="0.3">
      <c r="A11" s="770" t="s">
        <v>1526</v>
      </c>
      <c r="B11" s="761">
        <v>23572.93</v>
      </c>
      <c r="C11" s="713">
        <v>1</v>
      </c>
      <c r="D11" s="774">
        <v>43</v>
      </c>
      <c r="E11" s="777" t="s">
        <v>1526</v>
      </c>
      <c r="F11" s="761">
        <v>19179.23</v>
      </c>
      <c r="G11" s="729">
        <v>0.81361247838092254</v>
      </c>
      <c r="H11" s="716">
        <v>32</v>
      </c>
      <c r="I11" s="752">
        <v>0.7441860465116279</v>
      </c>
      <c r="J11" s="780">
        <v>4393.7</v>
      </c>
      <c r="K11" s="729">
        <v>0.18638752161907746</v>
      </c>
      <c r="L11" s="716">
        <v>11</v>
      </c>
      <c r="M11" s="752">
        <v>0.2558139534883721</v>
      </c>
    </row>
    <row r="12" spans="1:13" ht="14.4" customHeight="1" x14ac:dyDescent="0.3">
      <c r="A12" s="770" t="s">
        <v>1527</v>
      </c>
      <c r="B12" s="761">
        <v>33365.270000000004</v>
      </c>
      <c r="C12" s="713">
        <v>1</v>
      </c>
      <c r="D12" s="774">
        <v>83</v>
      </c>
      <c r="E12" s="777" t="s">
        <v>1527</v>
      </c>
      <c r="F12" s="761">
        <v>28845.06</v>
      </c>
      <c r="G12" s="729">
        <v>0.86452350003461675</v>
      </c>
      <c r="H12" s="716">
        <v>66</v>
      </c>
      <c r="I12" s="752">
        <v>0.79518072289156627</v>
      </c>
      <c r="J12" s="780">
        <v>4520.2100000000009</v>
      </c>
      <c r="K12" s="729">
        <v>0.13547649996538319</v>
      </c>
      <c r="L12" s="716">
        <v>17</v>
      </c>
      <c r="M12" s="752">
        <v>0.20481927710843373</v>
      </c>
    </row>
    <row r="13" spans="1:13" ht="14.4" customHeight="1" x14ac:dyDescent="0.3">
      <c r="A13" s="770" t="s">
        <v>1528</v>
      </c>
      <c r="B13" s="761">
        <v>20737.550000000003</v>
      </c>
      <c r="C13" s="713">
        <v>1</v>
      </c>
      <c r="D13" s="774">
        <v>41</v>
      </c>
      <c r="E13" s="777" t="s">
        <v>1528</v>
      </c>
      <c r="F13" s="761">
        <v>14468.230000000001</v>
      </c>
      <c r="G13" s="729">
        <v>0.69768270600914761</v>
      </c>
      <c r="H13" s="716">
        <v>35</v>
      </c>
      <c r="I13" s="752">
        <v>0.85365853658536583</v>
      </c>
      <c r="J13" s="780">
        <v>6269.32</v>
      </c>
      <c r="K13" s="729">
        <v>0.30231729399085228</v>
      </c>
      <c r="L13" s="716">
        <v>6</v>
      </c>
      <c r="M13" s="752">
        <v>0.14634146341463414</v>
      </c>
    </row>
    <row r="14" spans="1:13" ht="14.4" customHeight="1" x14ac:dyDescent="0.3">
      <c r="A14" s="770" t="s">
        <v>1529</v>
      </c>
      <c r="B14" s="761">
        <v>22343.869999999995</v>
      </c>
      <c r="C14" s="713">
        <v>1</v>
      </c>
      <c r="D14" s="774">
        <v>47</v>
      </c>
      <c r="E14" s="777" t="s">
        <v>1529</v>
      </c>
      <c r="F14" s="761">
        <v>19724.519999999997</v>
      </c>
      <c r="G14" s="729">
        <v>0.88277097924397163</v>
      </c>
      <c r="H14" s="716">
        <v>41</v>
      </c>
      <c r="I14" s="752">
        <v>0.87234042553191493</v>
      </c>
      <c r="J14" s="780">
        <v>2619.3500000000004</v>
      </c>
      <c r="K14" s="729">
        <v>0.11722902075602842</v>
      </c>
      <c r="L14" s="716">
        <v>6</v>
      </c>
      <c r="M14" s="752">
        <v>0.1276595744680851</v>
      </c>
    </row>
    <row r="15" spans="1:13" ht="14.4" customHeight="1" x14ac:dyDescent="0.3">
      <c r="A15" s="770" t="s">
        <v>1530</v>
      </c>
      <c r="B15" s="761">
        <v>105247.84000000005</v>
      </c>
      <c r="C15" s="713">
        <v>1</v>
      </c>
      <c r="D15" s="774">
        <v>320</v>
      </c>
      <c r="E15" s="777" t="s">
        <v>1530</v>
      </c>
      <c r="F15" s="761">
        <v>94890.770000000048</v>
      </c>
      <c r="G15" s="729">
        <v>0.90159351488828654</v>
      </c>
      <c r="H15" s="716">
        <v>266</v>
      </c>
      <c r="I15" s="752">
        <v>0.83125000000000004</v>
      </c>
      <c r="J15" s="780">
        <v>10357.07</v>
      </c>
      <c r="K15" s="729">
        <v>9.8406485111713404E-2</v>
      </c>
      <c r="L15" s="716">
        <v>54</v>
      </c>
      <c r="M15" s="752">
        <v>0.16875000000000001</v>
      </c>
    </row>
    <row r="16" spans="1:13" ht="14.4" customHeight="1" x14ac:dyDescent="0.3">
      <c r="A16" s="770" t="s">
        <v>1531</v>
      </c>
      <c r="B16" s="761">
        <v>25391.900000000009</v>
      </c>
      <c r="C16" s="713">
        <v>1</v>
      </c>
      <c r="D16" s="774">
        <v>61</v>
      </c>
      <c r="E16" s="777" t="s">
        <v>1531</v>
      </c>
      <c r="F16" s="761">
        <v>23739.910000000007</v>
      </c>
      <c r="G16" s="729">
        <v>0.93494027622982123</v>
      </c>
      <c r="H16" s="716">
        <v>51</v>
      </c>
      <c r="I16" s="752">
        <v>0.83606557377049184</v>
      </c>
      <c r="J16" s="780">
        <v>1651.9900000000002</v>
      </c>
      <c r="K16" s="729">
        <v>6.5059723770178671E-2</v>
      </c>
      <c r="L16" s="716">
        <v>10</v>
      </c>
      <c r="M16" s="752">
        <v>0.16393442622950818</v>
      </c>
    </row>
    <row r="17" spans="1:13" ht="14.4" customHeight="1" x14ac:dyDescent="0.3">
      <c r="A17" s="770" t="s">
        <v>1532</v>
      </c>
      <c r="B17" s="761">
        <v>62944.05</v>
      </c>
      <c r="C17" s="713">
        <v>1</v>
      </c>
      <c r="D17" s="774">
        <v>65</v>
      </c>
      <c r="E17" s="777" t="s">
        <v>1532</v>
      </c>
      <c r="F17" s="761">
        <v>55194.61</v>
      </c>
      <c r="G17" s="729">
        <v>0.87688367685269697</v>
      </c>
      <c r="H17" s="716">
        <v>54</v>
      </c>
      <c r="I17" s="752">
        <v>0.83076923076923082</v>
      </c>
      <c r="J17" s="780">
        <v>7749.4400000000005</v>
      </c>
      <c r="K17" s="729">
        <v>0.12311632314730304</v>
      </c>
      <c r="L17" s="716">
        <v>11</v>
      </c>
      <c r="M17" s="752">
        <v>0.16923076923076924</v>
      </c>
    </row>
    <row r="18" spans="1:13" ht="14.4" customHeight="1" x14ac:dyDescent="0.3">
      <c r="A18" s="770" t="s">
        <v>1533</v>
      </c>
      <c r="B18" s="761">
        <v>10604.81</v>
      </c>
      <c r="C18" s="713">
        <v>1</v>
      </c>
      <c r="D18" s="774">
        <v>27</v>
      </c>
      <c r="E18" s="777" t="s">
        <v>1533</v>
      </c>
      <c r="F18" s="761">
        <v>9604.81</v>
      </c>
      <c r="G18" s="729">
        <v>0.90570316677055029</v>
      </c>
      <c r="H18" s="716">
        <v>25</v>
      </c>
      <c r="I18" s="752">
        <v>0.92592592592592593</v>
      </c>
      <c r="J18" s="780">
        <v>1000</v>
      </c>
      <c r="K18" s="729">
        <v>9.4296833229449664E-2</v>
      </c>
      <c r="L18" s="716">
        <v>2</v>
      </c>
      <c r="M18" s="752">
        <v>7.407407407407407E-2</v>
      </c>
    </row>
    <row r="19" spans="1:13" ht="14.4" customHeight="1" x14ac:dyDescent="0.3">
      <c r="A19" s="770" t="s">
        <v>1534</v>
      </c>
      <c r="B19" s="761">
        <v>31232.5</v>
      </c>
      <c r="C19" s="713">
        <v>1</v>
      </c>
      <c r="D19" s="774">
        <v>60</v>
      </c>
      <c r="E19" s="777" t="s">
        <v>1534</v>
      </c>
      <c r="F19" s="761">
        <v>29564.85</v>
      </c>
      <c r="G19" s="729">
        <v>0.94660529896742174</v>
      </c>
      <c r="H19" s="716">
        <v>50</v>
      </c>
      <c r="I19" s="752">
        <v>0.83333333333333337</v>
      </c>
      <c r="J19" s="780">
        <v>1667.65</v>
      </c>
      <c r="K19" s="729">
        <v>5.3394701032578248E-2</v>
      </c>
      <c r="L19" s="716">
        <v>10</v>
      </c>
      <c r="M19" s="752">
        <v>0.16666666666666666</v>
      </c>
    </row>
    <row r="20" spans="1:13" ht="14.4" customHeight="1" x14ac:dyDescent="0.3">
      <c r="A20" s="770" t="s">
        <v>1535</v>
      </c>
      <c r="B20" s="761">
        <v>23000.350000000002</v>
      </c>
      <c r="C20" s="713">
        <v>1</v>
      </c>
      <c r="D20" s="774">
        <v>61</v>
      </c>
      <c r="E20" s="777" t="s">
        <v>1535</v>
      </c>
      <c r="F20" s="761">
        <v>17691.420000000002</v>
      </c>
      <c r="G20" s="729">
        <v>0.76918046899286319</v>
      </c>
      <c r="H20" s="716">
        <v>45</v>
      </c>
      <c r="I20" s="752">
        <v>0.73770491803278693</v>
      </c>
      <c r="J20" s="780">
        <v>5308.93</v>
      </c>
      <c r="K20" s="729">
        <v>0.23081953100713684</v>
      </c>
      <c r="L20" s="716">
        <v>16</v>
      </c>
      <c r="M20" s="752">
        <v>0.26229508196721313</v>
      </c>
    </row>
    <row r="21" spans="1:13" ht="14.4" customHeight="1" thickBot="1" x14ac:dyDescent="0.35">
      <c r="A21" s="771" t="s">
        <v>1536</v>
      </c>
      <c r="B21" s="762">
        <v>31432.079999999998</v>
      </c>
      <c r="C21" s="719">
        <v>1</v>
      </c>
      <c r="D21" s="775">
        <v>75</v>
      </c>
      <c r="E21" s="778" t="s">
        <v>1536</v>
      </c>
      <c r="F21" s="762">
        <v>29195.379999999997</v>
      </c>
      <c r="G21" s="730">
        <v>0.92884021674671224</v>
      </c>
      <c r="H21" s="722">
        <v>66</v>
      </c>
      <c r="I21" s="753">
        <v>0.88</v>
      </c>
      <c r="J21" s="781">
        <v>2236.6999999999998</v>
      </c>
      <c r="K21" s="730">
        <v>7.1159783253287728E-2</v>
      </c>
      <c r="L21" s="722">
        <v>9</v>
      </c>
      <c r="M21" s="753">
        <v>0.12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7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0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8" t="s">
        <v>2057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519"/>
      <c r="T1" s="519"/>
      <c r="U1" s="519"/>
    </row>
    <row r="2" spans="1:21" ht="14.4" customHeight="1" thickBot="1" x14ac:dyDescent="0.35">
      <c r="A2" s="374" t="s">
        <v>353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80"/>
      <c r="B3" s="581"/>
      <c r="C3" s="581"/>
      <c r="D3" s="581"/>
      <c r="E3" s="581"/>
      <c r="F3" s="581"/>
      <c r="G3" s="581"/>
      <c r="H3" s="581"/>
      <c r="I3" s="581"/>
      <c r="J3" s="581"/>
      <c r="K3" s="582" t="s">
        <v>159</v>
      </c>
      <c r="L3" s="583"/>
      <c r="M3" s="70">
        <f>SUBTOTAL(9,M7:M1048576)</f>
        <v>616487.64000000025</v>
      </c>
      <c r="N3" s="70">
        <f>SUBTOTAL(9,N7:N1048576)</f>
        <v>2513</v>
      </c>
      <c r="O3" s="70">
        <f>SUBTOTAL(9,O7:O1048576)</f>
        <v>1399</v>
      </c>
      <c r="P3" s="70">
        <f>SUBTOTAL(9,P7:P1048576)</f>
        <v>536542.44000000018</v>
      </c>
      <c r="Q3" s="71">
        <f>IF(M3=0,0,P3/M3)</f>
        <v>0.87032148771060514</v>
      </c>
      <c r="R3" s="70">
        <f>SUBTOTAL(9,R7:R1048576)</f>
        <v>2084</v>
      </c>
      <c r="S3" s="71">
        <f>IF(N3=0,0,R3/N3)</f>
        <v>0.82928770393951456</v>
      </c>
      <c r="T3" s="70">
        <f>SUBTOTAL(9,T7:T1048576)</f>
        <v>1147</v>
      </c>
      <c r="U3" s="72">
        <f>IF(O3=0,0,T3/O3)</f>
        <v>0.81987133666904932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84" t="s">
        <v>15</v>
      </c>
      <c r="N4" s="585"/>
      <c r="O4" s="585"/>
      <c r="P4" s="586" t="s">
        <v>21</v>
      </c>
      <c r="Q4" s="585"/>
      <c r="R4" s="585"/>
      <c r="S4" s="585"/>
      <c r="T4" s="585"/>
      <c r="U4" s="587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7" t="s">
        <v>22</v>
      </c>
      <c r="Q5" s="578"/>
      <c r="R5" s="577" t="s">
        <v>13</v>
      </c>
      <c r="S5" s="578"/>
      <c r="T5" s="577" t="s">
        <v>20</v>
      </c>
      <c r="U5" s="579"/>
    </row>
    <row r="6" spans="1:21" s="330" customFormat="1" ht="14.4" customHeight="1" thickBot="1" x14ac:dyDescent="0.35">
      <c r="A6" s="782" t="s">
        <v>23</v>
      </c>
      <c r="B6" s="783" t="s">
        <v>5</v>
      </c>
      <c r="C6" s="782" t="s">
        <v>24</v>
      </c>
      <c r="D6" s="783" t="s">
        <v>6</v>
      </c>
      <c r="E6" s="783" t="s">
        <v>193</v>
      </c>
      <c r="F6" s="783" t="s">
        <v>25</v>
      </c>
      <c r="G6" s="783" t="s">
        <v>26</v>
      </c>
      <c r="H6" s="783" t="s">
        <v>8</v>
      </c>
      <c r="I6" s="783" t="s">
        <v>10</v>
      </c>
      <c r="J6" s="783" t="s">
        <v>11</v>
      </c>
      <c r="K6" s="783" t="s">
        <v>12</v>
      </c>
      <c r="L6" s="783" t="s">
        <v>27</v>
      </c>
      <c r="M6" s="784" t="s">
        <v>14</v>
      </c>
      <c r="N6" s="785" t="s">
        <v>28</v>
      </c>
      <c r="O6" s="785" t="s">
        <v>28</v>
      </c>
      <c r="P6" s="785" t="s">
        <v>14</v>
      </c>
      <c r="Q6" s="785" t="s">
        <v>2</v>
      </c>
      <c r="R6" s="785" t="s">
        <v>28</v>
      </c>
      <c r="S6" s="785" t="s">
        <v>2</v>
      </c>
      <c r="T6" s="785" t="s">
        <v>28</v>
      </c>
      <c r="U6" s="786" t="s">
        <v>2</v>
      </c>
    </row>
    <row r="7" spans="1:21" ht="14.4" customHeight="1" x14ac:dyDescent="0.3">
      <c r="A7" s="787">
        <v>31</v>
      </c>
      <c r="B7" s="788" t="s">
        <v>592</v>
      </c>
      <c r="C7" s="788" t="s">
        <v>1511</v>
      </c>
      <c r="D7" s="789" t="s">
        <v>2054</v>
      </c>
      <c r="E7" s="790" t="s">
        <v>1521</v>
      </c>
      <c r="F7" s="788" t="s">
        <v>1508</v>
      </c>
      <c r="G7" s="788" t="s">
        <v>1537</v>
      </c>
      <c r="H7" s="788" t="s">
        <v>593</v>
      </c>
      <c r="I7" s="788" t="s">
        <v>747</v>
      </c>
      <c r="J7" s="788" t="s">
        <v>748</v>
      </c>
      <c r="K7" s="788" t="s">
        <v>1538</v>
      </c>
      <c r="L7" s="791">
        <v>0</v>
      </c>
      <c r="M7" s="791">
        <v>0</v>
      </c>
      <c r="N7" s="788">
        <v>1</v>
      </c>
      <c r="O7" s="792">
        <v>1</v>
      </c>
      <c r="P7" s="791"/>
      <c r="Q7" s="793"/>
      <c r="R7" s="788"/>
      <c r="S7" s="793">
        <v>0</v>
      </c>
      <c r="T7" s="792"/>
      <c r="U7" s="231">
        <v>0</v>
      </c>
    </row>
    <row r="8" spans="1:21" ht="14.4" customHeight="1" x14ac:dyDescent="0.3">
      <c r="A8" s="794">
        <v>31</v>
      </c>
      <c r="B8" s="795" t="s">
        <v>592</v>
      </c>
      <c r="C8" s="795" t="s">
        <v>1511</v>
      </c>
      <c r="D8" s="796" t="s">
        <v>2054</v>
      </c>
      <c r="E8" s="797" t="s">
        <v>1521</v>
      </c>
      <c r="F8" s="795" t="s">
        <v>1508</v>
      </c>
      <c r="G8" s="795" t="s">
        <v>1539</v>
      </c>
      <c r="H8" s="795" t="s">
        <v>912</v>
      </c>
      <c r="I8" s="795" t="s">
        <v>1540</v>
      </c>
      <c r="J8" s="795" t="s">
        <v>977</v>
      </c>
      <c r="K8" s="795" t="s">
        <v>1414</v>
      </c>
      <c r="L8" s="798">
        <v>490.89</v>
      </c>
      <c r="M8" s="798">
        <v>2454.4499999999998</v>
      </c>
      <c r="N8" s="795">
        <v>5</v>
      </c>
      <c r="O8" s="799">
        <v>0.5</v>
      </c>
      <c r="P8" s="798">
        <v>1472.67</v>
      </c>
      <c r="Q8" s="800">
        <v>0.60000000000000009</v>
      </c>
      <c r="R8" s="795">
        <v>3</v>
      </c>
      <c r="S8" s="800">
        <v>0.6</v>
      </c>
      <c r="T8" s="799">
        <v>0.5</v>
      </c>
      <c r="U8" s="801">
        <v>1</v>
      </c>
    </row>
    <row r="9" spans="1:21" ht="14.4" customHeight="1" x14ac:dyDescent="0.3">
      <c r="A9" s="794">
        <v>31</v>
      </c>
      <c r="B9" s="795" t="s">
        <v>592</v>
      </c>
      <c r="C9" s="795" t="s">
        <v>1511</v>
      </c>
      <c r="D9" s="796" t="s">
        <v>2054</v>
      </c>
      <c r="E9" s="797" t="s">
        <v>1521</v>
      </c>
      <c r="F9" s="795" t="s">
        <v>1508</v>
      </c>
      <c r="G9" s="795" t="s">
        <v>1541</v>
      </c>
      <c r="H9" s="795" t="s">
        <v>912</v>
      </c>
      <c r="I9" s="795" t="s">
        <v>929</v>
      </c>
      <c r="J9" s="795" t="s">
        <v>1453</v>
      </c>
      <c r="K9" s="795" t="s">
        <v>1454</v>
      </c>
      <c r="L9" s="798">
        <v>0</v>
      </c>
      <c r="M9" s="798">
        <v>0</v>
      </c>
      <c r="N9" s="795">
        <v>2</v>
      </c>
      <c r="O9" s="799">
        <v>0.5</v>
      </c>
      <c r="P9" s="798">
        <v>0</v>
      </c>
      <c r="Q9" s="800"/>
      <c r="R9" s="795">
        <v>1</v>
      </c>
      <c r="S9" s="800">
        <v>0.5</v>
      </c>
      <c r="T9" s="799">
        <v>0.5</v>
      </c>
      <c r="U9" s="801">
        <v>1</v>
      </c>
    </row>
    <row r="10" spans="1:21" ht="14.4" customHeight="1" x14ac:dyDescent="0.3">
      <c r="A10" s="794">
        <v>31</v>
      </c>
      <c r="B10" s="795" t="s">
        <v>592</v>
      </c>
      <c r="C10" s="795" t="s">
        <v>1511</v>
      </c>
      <c r="D10" s="796" t="s">
        <v>2054</v>
      </c>
      <c r="E10" s="797" t="s">
        <v>1521</v>
      </c>
      <c r="F10" s="795" t="s">
        <v>1508</v>
      </c>
      <c r="G10" s="795" t="s">
        <v>1542</v>
      </c>
      <c r="H10" s="795" t="s">
        <v>593</v>
      </c>
      <c r="I10" s="795" t="s">
        <v>1020</v>
      </c>
      <c r="J10" s="795" t="s">
        <v>1017</v>
      </c>
      <c r="K10" s="795" t="s">
        <v>1543</v>
      </c>
      <c r="L10" s="798">
        <v>186.27</v>
      </c>
      <c r="M10" s="798">
        <v>372.54</v>
      </c>
      <c r="N10" s="795">
        <v>2</v>
      </c>
      <c r="O10" s="799">
        <v>0.5</v>
      </c>
      <c r="P10" s="798"/>
      <c r="Q10" s="800">
        <v>0</v>
      </c>
      <c r="R10" s="795"/>
      <c r="S10" s="800">
        <v>0</v>
      </c>
      <c r="T10" s="799"/>
      <c r="U10" s="801">
        <v>0</v>
      </c>
    </row>
    <row r="11" spans="1:21" ht="14.4" customHeight="1" x14ac:dyDescent="0.3">
      <c r="A11" s="794">
        <v>31</v>
      </c>
      <c r="B11" s="795" t="s">
        <v>592</v>
      </c>
      <c r="C11" s="795" t="s">
        <v>1511</v>
      </c>
      <c r="D11" s="796" t="s">
        <v>2054</v>
      </c>
      <c r="E11" s="797" t="s">
        <v>1521</v>
      </c>
      <c r="F11" s="795" t="s">
        <v>1508</v>
      </c>
      <c r="G11" s="795" t="s">
        <v>1544</v>
      </c>
      <c r="H11" s="795" t="s">
        <v>593</v>
      </c>
      <c r="I11" s="795" t="s">
        <v>1545</v>
      </c>
      <c r="J11" s="795" t="s">
        <v>1546</v>
      </c>
      <c r="K11" s="795" t="s">
        <v>1547</v>
      </c>
      <c r="L11" s="798">
        <v>50.32</v>
      </c>
      <c r="M11" s="798">
        <v>50.32</v>
      </c>
      <c r="N11" s="795">
        <v>1</v>
      </c>
      <c r="O11" s="799">
        <v>0.5</v>
      </c>
      <c r="P11" s="798"/>
      <c r="Q11" s="800">
        <v>0</v>
      </c>
      <c r="R11" s="795"/>
      <c r="S11" s="800">
        <v>0</v>
      </c>
      <c r="T11" s="799"/>
      <c r="U11" s="801">
        <v>0</v>
      </c>
    </row>
    <row r="12" spans="1:21" ht="14.4" customHeight="1" x14ac:dyDescent="0.3">
      <c r="A12" s="794">
        <v>31</v>
      </c>
      <c r="B12" s="795" t="s">
        <v>592</v>
      </c>
      <c r="C12" s="795" t="s">
        <v>1511</v>
      </c>
      <c r="D12" s="796" t="s">
        <v>2054</v>
      </c>
      <c r="E12" s="797" t="s">
        <v>1521</v>
      </c>
      <c r="F12" s="795" t="s">
        <v>1510</v>
      </c>
      <c r="G12" s="795" t="s">
        <v>1548</v>
      </c>
      <c r="H12" s="795" t="s">
        <v>593</v>
      </c>
      <c r="I12" s="795" t="s">
        <v>1549</v>
      </c>
      <c r="J12" s="795" t="s">
        <v>1550</v>
      </c>
      <c r="K12" s="795" t="s">
        <v>1551</v>
      </c>
      <c r="L12" s="798">
        <v>35.130000000000003</v>
      </c>
      <c r="M12" s="798">
        <v>210.78000000000003</v>
      </c>
      <c r="N12" s="795">
        <v>6</v>
      </c>
      <c r="O12" s="799">
        <v>3</v>
      </c>
      <c r="P12" s="798">
        <v>210.78000000000003</v>
      </c>
      <c r="Q12" s="800">
        <v>1</v>
      </c>
      <c r="R12" s="795">
        <v>6</v>
      </c>
      <c r="S12" s="800">
        <v>1</v>
      </c>
      <c r="T12" s="799">
        <v>3</v>
      </c>
      <c r="U12" s="801">
        <v>1</v>
      </c>
    </row>
    <row r="13" spans="1:21" ht="14.4" customHeight="1" x14ac:dyDescent="0.3">
      <c r="A13" s="794">
        <v>31</v>
      </c>
      <c r="B13" s="795" t="s">
        <v>592</v>
      </c>
      <c r="C13" s="795" t="s">
        <v>1511</v>
      </c>
      <c r="D13" s="796" t="s">
        <v>2054</v>
      </c>
      <c r="E13" s="797" t="s">
        <v>1522</v>
      </c>
      <c r="F13" s="795" t="s">
        <v>1508</v>
      </c>
      <c r="G13" s="795" t="s">
        <v>1539</v>
      </c>
      <c r="H13" s="795" t="s">
        <v>912</v>
      </c>
      <c r="I13" s="795" t="s">
        <v>1540</v>
      </c>
      <c r="J13" s="795" t="s">
        <v>977</v>
      </c>
      <c r="K13" s="795" t="s">
        <v>1414</v>
      </c>
      <c r="L13" s="798">
        <v>490.89</v>
      </c>
      <c r="M13" s="798">
        <v>1472.67</v>
      </c>
      <c r="N13" s="795">
        <v>3</v>
      </c>
      <c r="O13" s="799">
        <v>1</v>
      </c>
      <c r="P13" s="798">
        <v>981.78</v>
      </c>
      <c r="Q13" s="800">
        <v>0.66666666666666663</v>
      </c>
      <c r="R13" s="795">
        <v>2</v>
      </c>
      <c r="S13" s="800">
        <v>0.66666666666666663</v>
      </c>
      <c r="T13" s="799">
        <v>0.5</v>
      </c>
      <c r="U13" s="801">
        <v>0.5</v>
      </c>
    </row>
    <row r="14" spans="1:21" ht="14.4" customHeight="1" x14ac:dyDescent="0.3">
      <c r="A14" s="794">
        <v>31</v>
      </c>
      <c r="B14" s="795" t="s">
        <v>592</v>
      </c>
      <c r="C14" s="795" t="s">
        <v>1511</v>
      </c>
      <c r="D14" s="796" t="s">
        <v>2054</v>
      </c>
      <c r="E14" s="797" t="s">
        <v>1522</v>
      </c>
      <c r="F14" s="795" t="s">
        <v>1508</v>
      </c>
      <c r="G14" s="795" t="s">
        <v>1539</v>
      </c>
      <c r="H14" s="795" t="s">
        <v>912</v>
      </c>
      <c r="I14" s="795" t="s">
        <v>1552</v>
      </c>
      <c r="J14" s="795" t="s">
        <v>977</v>
      </c>
      <c r="K14" s="795" t="s">
        <v>1413</v>
      </c>
      <c r="L14" s="798">
        <v>736.33</v>
      </c>
      <c r="M14" s="798">
        <v>7363.3000000000011</v>
      </c>
      <c r="N14" s="795">
        <v>10</v>
      </c>
      <c r="O14" s="799">
        <v>2</v>
      </c>
      <c r="P14" s="798">
        <v>2208.9900000000002</v>
      </c>
      <c r="Q14" s="800">
        <v>0.3</v>
      </c>
      <c r="R14" s="795">
        <v>3</v>
      </c>
      <c r="S14" s="800">
        <v>0.3</v>
      </c>
      <c r="T14" s="799">
        <v>0.5</v>
      </c>
      <c r="U14" s="801">
        <v>0.25</v>
      </c>
    </row>
    <row r="15" spans="1:21" ht="14.4" customHeight="1" x14ac:dyDescent="0.3">
      <c r="A15" s="794">
        <v>31</v>
      </c>
      <c r="B15" s="795" t="s">
        <v>592</v>
      </c>
      <c r="C15" s="795" t="s">
        <v>1511</v>
      </c>
      <c r="D15" s="796" t="s">
        <v>2054</v>
      </c>
      <c r="E15" s="797" t="s">
        <v>1522</v>
      </c>
      <c r="F15" s="795" t="s">
        <v>1508</v>
      </c>
      <c r="G15" s="795" t="s">
        <v>1541</v>
      </c>
      <c r="H15" s="795" t="s">
        <v>912</v>
      </c>
      <c r="I15" s="795" t="s">
        <v>929</v>
      </c>
      <c r="J15" s="795" t="s">
        <v>1453</v>
      </c>
      <c r="K15" s="795" t="s">
        <v>1454</v>
      </c>
      <c r="L15" s="798">
        <v>0</v>
      </c>
      <c r="M15" s="798">
        <v>0</v>
      </c>
      <c r="N15" s="795">
        <v>9</v>
      </c>
      <c r="O15" s="799">
        <v>3</v>
      </c>
      <c r="P15" s="798">
        <v>0</v>
      </c>
      <c r="Q15" s="800"/>
      <c r="R15" s="795">
        <v>2</v>
      </c>
      <c r="S15" s="800">
        <v>0.22222222222222221</v>
      </c>
      <c r="T15" s="799">
        <v>1</v>
      </c>
      <c r="U15" s="801">
        <v>0.33333333333333331</v>
      </c>
    </row>
    <row r="16" spans="1:21" ht="14.4" customHeight="1" x14ac:dyDescent="0.3">
      <c r="A16" s="794">
        <v>31</v>
      </c>
      <c r="B16" s="795" t="s">
        <v>592</v>
      </c>
      <c r="C16" s="795" t="s">
        <v>1511</v>
      </c>
      <c r="D16" s="796" t="s">
        <v>2054</v>
      </c>
      <c r="E16" s="797" t="s">
        <v>1523</v>
      </c>
      <c r="F16" s="795" t="s">
        <v>1508</v>
      </c>
      <c r="G16" s="795" t="s">
        <v>1553</v>
      </c>
      <c r="H16" s="795" t="s">
        <v>593</v>
      </c>
      <c r="I16" s="795" t="s">
        <v>1554</v>
      </c>
      <c r="J16" s="795" t="s">
        <v>1555</v>
      </c>
      <c r="K16" s="795" t="s">
        <v>1556</v>
      </c>
      <c r="L16" s="798">
        <v>154.36000000000001</v>
      </c>
      <c r="M16" s="798">
        <v>154.36000000000001</v>
      </c>
      <c r="N16" s="795">
        <v>1</v>
      </c>
      <c r="O16" s="799">
        <v>0.5</v>
      </c>
      <c r="P16" s="798">
        <v>154.36000000000001</v>
      </c>
      <c r="Q16" s="800">
        <v>1</v>
      </c>
      <c r="R16" s="795">
        <v>1</v>
      </c>
      <c r="S16" s="800">
        <v>1</v>
      </c>
      <c r="T16" s="799">
        <v>0.5</v>
      </c>
      <c r="U16" s="801">
        <v>1</v>
      </c>
    </row>
    <row r="17" spans="1:21" ht="14.4" customHeight="1" x14ac:dyDescent="0.3">
      <c r="A17" s="794">
        <v>31</v>
      </c>
      <c r="B17" s="795" t="s">
        <v>592</v>
      </c>
      <c r="C17" s="795" t="s">
        <v>1511</v>
      </c>
      <c r="D17" s="796" t="s">
        <v>2054</v>
      </c>
      <c r="E17" s="797" t="s">
        <v>1523</v>
      </c>
      <c r="F17" s="795" t="s">
        <v>1508</v>
      </c>
      <c r="G17" s="795" t="s">
        <v>1553</v>
      </c>
      <c r="H17" s="795" t="s">
        <v>912</v>
      </c>
      <c r="I17" s="795" t="s">
        <v>1064</v>
      </c>
      <c r="J17" s="795" t="s">
        <v>971</v>
      </c>
      <c r="K17" s="795" t="s">
        <v>1437</v>
      </c>
      <c r="L17" s="798">
        <v>154.36000000000001</v>
      </c>
      <c r="M17" s="798">
        <v>463.08000000000004</v>
      </c>
      <c r="N17" s="795">
        <v>3</v>
      </c>
      <c r="O17" s="799">
        <v>1.5</v>
      </c>
      <c r="P17" s="798">
        <v>308.72000000000003</v>
      </c>
      <c r="Q17" s="800">
        <v>0.66666666666666663</v>
      </c>
      <c r="R17" s="795">
        <v>2</v>
      </c>
      <c r="S17" s="800">
        <v>0.66666666666666663</v>
      </c>
      <c r="T17" s="799">
        <v>1</v>
      </c>
      <c r="U17" s="801">
        <v>0.66666666666666663</v>
      </c>
    </row>
    <row r="18" spans="1:21" ht="14.4" customHeight="1" x14ac:dyDescent="0.3">
      <c r="A18" s="794">
        <v>31</v>
      </c>
      <c r="B18" s="795" t="s">
        <v>592</v>
      </c>
      <c r="C18" s="795" t="s">
        <v>1511</v>
      </c>
      <c r="D18" s="796" t="s">
        <v>2054</v>
      </c>
      <c r="E18" s="797" t="s">
        <v>1523</v>
      </c>
      <c r="F18" s="795" t="s">
        <v>1508</v>
      </c>
      <c r="G18" s="795" t="s">
        <v>1553</v>
      </c>
      <c r="H18" s="795" t="s">
        <v>912</v>
      </c>
      <c r="I18" s="795" t="s">
        <v>970</v>
      </c>
      <c r="J18" s="795" t="s">
        <v>971</v>
      </c>
      <c r="K18" s="795" t="s">
        <v>1436</v>
      </c>
      <c r="L18" s="798">
        <v>225.06</v>
      </c>
      <c r="M18" s="798">
        <v>225.06</v>
      </c>
      <c r="N18" s="795">
        <v>1</v>
      </c>
      <c r="O18" s="799">
        <v>0.5</v>
      </c>
      <c r="P18" s="798"/>
      <c r="Q18" s="800">
        <v>0</v>
      </c>
      <c r="R18" s="795"/>
      <c r="S18" s="800">
        <v>0</v>
      </c>
      <c r="T18" s="799"/>
      <c r="U18" s="801">
        <v>0</v>
      </c>
    </row>
    <row r="19" spans="1:21" ht="14.4" customHeight="1" x14ac:dyDescent="0.3">
      <c r="A19" s="794">
        <v>31</v>
      </c>
      <c r="B19" s="795" t="s">
        <v>592</v>
      </c>
      <c r="C19" s="795" t="s">
        <v>1511</v>
      </c>
      <c r="D19" s="796" t="s">
        <v>2054</v>
      </c>
      <c r="E19" s="797" t="s">
        <v>1523</v>
      </c>
      <c r="F19" s="795" t="s">
        <v>1508</v>
      </c>
      <c r="G19" s="795" t="s">
        <v>1557</v>
      </c>
      <c r="H19" s="795" t="s">
        <v>593</v>
      </c>
      <c r="I19" s="795" t="s">
        <v>1061</v>
      </c>
      <c r="J19" s="795" t="s">
        <v>1062</v>
      </c>
      <c r="K19" s="795" t="s">
        <v>1558</v>
      </c>
      <c r="L19" s="798">
        <v>78.33</v>
      </c>
      <c r="M19" s="798">
        <v>78.33</v>
      </c>
      <c r="N19" s="795">
        <v>1</v>
      </c>
      <c r="O19" s="799">
        <v>0.5</v>
      </c>
      <c r="P19" s="798">
        <v>78.33</v>
      </c>
      <c r="Q19" s="800">
        <v>1</v>
      </c>
      <c r="R19" s="795">
        <v>1</v>
      </c>
      <c r="S19" s="800">
        <v>1</v>
      </c>
      <c r="T19" s="799">
        <v>0.5</v>
      </c>
      <c r="U19" s="801">
        <v>1</v>
      </c>
    </row>
    <row r="20" spans="1:21" ht="14.4" customHeight="1" x14ac:dyDescent="0.3">
      <c r="A20" s="794">
        <v>31</v>
      </c>
      <c r="B20" s="795" t="s">
        <v>592</v>
      </c>
      <c r="C20" s="795" t="s">
        <v>1511</v>
      </c>
      <c r="D20" s="796" t="s">
        <v>2054</v>
      </c>
      <c r="E20" s="797" t="s">
        <v>1523</v>
      </c>
      <c r="F20" s="795" t="s">
        <v>1508</v>
      </c>
      <c r="G20" s="795" t="s">
        <v>1559</v>
      </c>
      <c r="H20" s="795" t="s">
        <v>593</v>
      </c>
      <c r="I20" s="795" t="s">
        <v>669</v>
      </c>
      <c r="J20" s="795" t="s">
        <v>670</v>
      </c>
      <c r="K20" s="795" t="s">
        <v>1560</v>
      </c>
      <c r="L20" s="798">
        <v>55.01</v>
      </c>
      <c r="M20" s="798">
        <v>55.01</v>
      </c>
      <c r="N20" s="795">
        <v>1</v>
      </c>
      <c r="O20" s="799">
        <v>1</v>
      </c>
      <c r="P20" s="798">
        <v>55.01</v>
      </c>
      <c r="Q20" s="800">
        <v>1</v>
      </c>
      <c r="R20" s="795">
        <v>1</v>
      </c>
      <c r="S20" s="800">
        <v>1</v>
      </c>
      <c r="T20" s="799">
        <v>1</v>
      </c>
      <c r="U20" s="801">
        <v>1</v>
      </c>
    </row>
    <row r="21" spans="1:21" ht="14.4" customHeight="1" x14ac:dyDescent="0.3">
      <c r="A21" s="794">
        <v>31</v>
      </c>
      <c r="B21" s="795" t="s">
        <v>592</v>
      </c>
      <c r="C21" s="795" t="s">
        <v>1511</v>
      </c>
      <c r="D21" s="796" t="s">
        <v>2054</v>
      </c>
      <c r="E21" s="797" t="s">
        <v>1523</v>
      </c>
      <c r="F21" s="795" t="s">
        <v>1508</v>
      </c>
      <c r="G21" s="795" t="s">
        <v>1537</v>
      </c>
      <c r="H21" s="795" t="s">
        <v>593</v>
      </c>
      <c r="I21" s="795" t="s">
        <v>747</v>
      </c>
      <c r="J21" s="795" t="s">
        <v>748</v>
      </c>
      <c r="K21" s="795" t="s">
        <v>1538</v>
      </c>
      <c r="L21" s="798">
        <v>0</v>
      </c>
      <c r="M21" s="798">
        <v>0</v>
      </c>
      <c r="N21" s="795">
        <v>2</v>
      </c>
      <c r="O21" s="799">
        <v>1</v>
      </c>
      <c r="P21" s="798">
        <v>0</v>
      </c>
      <c r="Q21" s="800"/>
      <c r="R21" s="795">
        <v>2</v>
      </c>
      <c r="S21" s="800">
        <v>1</v>
      </c>
      <c r="T21" s="799">
        <v>1</v>
      </c>
      <c r="U21" s="801">
        <v>1</v>
      </c>
    </row>
    <row r="22" spans="1:21" ht="14.4" customHeight="1" x14ac:dyDescent="0.3">
      <c r="A22" s="794">
        <v>31</v>
      </c>
      <c r="B22" s="795" t="s">
        <v>592</v>
      </c>
      <c r="C22" s="795" t="s">
        <v>1511</v>
      </c>
      <c r="D22" s="796" t="s">
        <v>2054</v>
      </c>
      <c r="E22" s="797" t="s">
        <v>1523</v>
      </c>
      <c r="F22" s="795" t="s">
        <v>1508</v>
      </c>
      <c r="G22" s="795" t="s">
        <v>1561</v>
      </c>
      <c r="H22" s="795" t="s">
        <v>593</v>
      </c>
      <c r="I22" s="795" t="s">
        <v>1562</v>
      </c>
      <c r="J22" s="795" t="s">
        <v>1563</v>
      </c>
      <c r="K22" s="795" t="s">
        <v>1564</v>
      </c>
      <c r="L22" s="798">
        <v>77.52</v>
      </c>
      <c r="M22" s="798">
        <v>155.04</v>
      </c>
      <c r="N22" s="795">
        <v>2</v>
      </c>
      <c r="O22" s="799">
        <v>0.5</v>
      </c>
      <c r="P22" s="798">
        <v>155.04</v>
      </c>
      <c r="Q22" s="800">
        <v>1</v>
      </c>
      <c r="R22" s="795">
        <v>2</v>
      </c>
      <c r="S22" s="800">
        <v>1</v>
      </c>
      <c r="T22" s="799">
        <v>0.5</v>
      </c>
      <c r="U22" s="801">
        <v>1</v>
      </c>
    </row>
    <row r="23" spans="1:21" ht="14.4" customHeight="1" x14ac:dyDescent="0.3">
      <c r="A23" s="794">
        <v>31</v>
      </c>
      <c r="B23" s="795" t="s">
        <v>592</v>
      </c>
      <c r="C23" s="795" t="s">
        <v>1511</v>
      </c>
      <c r="D23" s="796" t="s">
        <v>2054</v>
      </c>
      <c r="E23" s="797" t="s">
        <v>1523</v>
      </c>
      <c r="F23" s="795" t="s">
        <v>1508</v>
      </c>
      <c r="G23" s="795" t="s">
        <v>1561</v>
      </c>
      <c r="H23" s="795" t="s">
        <v>593</v>
      </c>
      <c r="I23" s="795" t="s">
        <v>1565</v>
      </c>
      <c r="J23" s="795" t="s">
        <v>1563</v>
      </c>
      <c r="K23" s="795" t="s">
        <v>1566</v>
      </c>
      <c r="L23" s="798">
        <v>132.97999999999999</v>
      </c>
      <c r="M23" s="798">
        <v>531.91999999999996</v>
      </c>
      <c r="N23" s="795">
        <v>4</v>
      </c>
      <c r="O23" s="799">
        <v>1.5</v>
      </c>
      <c r="P23" s="798"/>
      <c r="Q23" s="800">
        <v>0</v>
      </c>
      <c r="R23" s="795"/>
      <c r="S23" s="800">
        <v>0</v>
      </c>
      <c r="T23" s="799"/>
      <c r="U23" s="801">
        <v>0</v>
      </c>
    </row>
    <row r="24" spans="1:21" ht="14.4" customHeight="1" x14ac:dyDescent="0.3">
      <c r="A24" s="794">
        <v>31</v>
      </c>
      <c r="B24" s="795" t="s">
        <v>592</v>
      </c>
      <c r="C24" s="795" t="s">
        <v>1511</v>
      </c>
      <c r="D24" s="796" t="s">
        <v>2054</v>
      </c>
      <c r="E24" s="797" t="s">
        <v>1523</v>
      </c>
      <c r="F24" s="795" t="s">
        <v>1508</v>
      </c>
      <c r="G24" s="795" t="s">
        <v>1567</v>
      </c>
      <c r="H24" s="795" t="s">
        <v>593</v>
      </c>
      <c r="I24" s="795" t="s">
        <v>1568</v>
      </c>
      <c r="J24" s="795" t="s">
        <v>1569</v>
      </c>
      <c r="K24" s="795" t="s">
        <v>1570</v>
      </c>
      <c r="L24" s="798">
        <v>111.07</v>
      </c>
      <c r="M24" s="798">
        <v>222.14</v>
      </c>
      <c r="N24" s="795">
        <v>2</v>
      </c>
      <c r="O24" s="799">
        <v>0.5</v>
      </c>
      <c r="P24" s="798">
        <v>222.14</v>
      </c>
      <c r="Q24" s="800">
        <v>1</v>
      </c>
      <c r="R24" s="795">
        <v>2</v>
      </c>
      <c r="S24" s="800">
        <v>1</v>
      </c>
      <c r="T24" s="799">
        <v>0.5</v>
      </c>
      <c r="U24" s="801">
        <v>1</v>
      </c>
    </row>
    <row r="25" spans="1:21" ht="14.4" customHeight="1" x14ac:dyDescent="0.3">
      <c r="A25" s="794">
        <v>31</v>
      </c>
      <c r="B25" s="795" t="s">
        <v>592</v>
      </c>
      <c r="C25" s="795" t="s">
        <v>1511</v>
      </c>
      <c r="D25" s="796" t="s">
        <v>2054</v>
      </c>
      <c r="E25" s="797" t="s">
        <v>1523</v>
      </c>
      <c r="F25" s="795" t="s">
        <v>1508</v>
      </c>
      <c r="G25" s="795" t="s">
        <v>1539</v>
      </c>
      <c r="H25" s="795" t="s">
        <v>912</v>
      </c>
      <c r="I25" s="795" t="s">
        <v>1540</v>
      </c>
      <c r="J25" s="795" t="s">
        <v>977</v>
      </c>
      <c r="K25" s="795" t="s">
        <v>1414</v>
      </c>
      <c r="L25" s="798">
        <v>490.89</v>
      </c>
      <c r="M25" s="798">
        <v>13254.03</v>
      </c>
      <c r="N25" s="795">
        <v>27</v>
      </c>
      <c r="O25" s="799">
        <v>5</v>
      </c>
      <c r="P25" s="798">
        <v>12272.25</v>
      </c>
      <c r="Q25" s="800">
        <v>0.92592592592592593</v>
      </c>
      <c r="R25" s="795">
        <v>25</v>
      </c>
      <c r="S25" s="800">
        <v>0.92592592592592593</v>
      </c>
      <c r="T25" s="799">
        <v>4.5</v>
      </c>
      <c r="U25" s="801">
        <v>0.9</v>
      </c>
    </row>
    <row r="26" spans="1:21" ht="14.4" customHeight="1" x14ac:dyDescent="0.3">
      <c r="A26" s="794">
        <v>31</v>
      </c>
      <c r="B26" s="795" t="s">
        <v>592</v>
      </c>
      <c r="C26" s="795" t="s">
        <v>1511</v>
      </c>
      <c r="D26" s="796" t="s">
        <v>2054</v>
      </c>
      <c r="E26" s="797" t="s">
        <v>1523</v>
      </c>
      <c r="F26" s="795" t="s">
        <v>1508</v>
      </c>
      <c r="G26" s="795" t="s">
        <v>1539</v>
      </c>
      <c r="H26" s="795" t="s">
        <v>912</v>
      </c>
      <c r="I26" s="795" t="s">
        <v>1552</v>
      </c>
      <c r="J26" s="795" t="s">
        <v>977</v>
      </c>
      <c r="K26" s="795" t="s">
        <v>1413</v>
      </c>
      <c r="L26" s="798">
        <v>736.33</v>
      </c>
      <c r="M26" s="798">
        <v>62588.05</v>
      </c>
      <c r="N26" s="795">
        <v>85</v>
      </c>
      <c r="O26" s="799">
        <v>17</v>
      </c>
      <c r="P26" s="798">
        <v>56697.41</v>
      </c>
      <c r="Q26" s="800">
        <v>0.90588235294117647</v>
      </c>
      <c r="R26" s="795">
        <v>77</v>
      </c>
      <c r="S26" s="800">
        <v>0.90588235294117647</v>
      </c>
      <c r="T26" s="799">
        <v>15</v>
      </c>
      <c r="U26" s="801">
        <v>0.88235294117647056</v>
      </c>
    </row>
    <row r="27" spans="1:21" ht="14.4" customHeight="1" x14ac:dyDescent="0.3">
      <c r="A27" s="794">
        <v>31</v>
      </c>
      <c r="B27" s="795" t="s">
        <v>592</v>
      </c>
      <c r="C27" s="795" t="s">
        <v>1511</v>
      </c>
      <c r="D27" s="796" t="s">
        <v>2054</v>
      </c>
      <c r="E27" s="797" t="s">
        <v>1523</v>
      </c>
      <c r="F27" s="795" t="s">
        <v>1508</v>
      </c>
      <c r="G27" s="795" t="s">
        <v>1539</v>
      </c>
      <c r="H27" s="795" t="s">
        <v>912</v>
      </c>
      <c r="I27" s="795" t="s">
        <v>1571</v>
      </c>
      <c r="J27" s="795" t="s">
        <v>977</v>
      </c>
      <c r="K27" s="795" t="s">
        <v>1572</v>
      </c>
      <c r="L27" s="798">
        <v>923.74</v>
      </c>
      <c r="M27" s="798">
        <v>923.74</v>
      </c>
      <c r="N27" s="795">
        <v>1</v>
      </c>
      <c r="O27" s="799">
        <v>1</v>
      </c>
      <c r="P27" s="798">
        <v>923.74</v>
      </c>
      <c r="Q27" s="800">
        <v>1</v>
      </c>
      <c r="R27" s="795">
        <v>1</v>
      </c>
      <c r="S27" s="800">
        <v>1</v>
      </c>
      <c r="T27" s="799">
        <v>1</v>
      </c>
      <c r="U27" s="801">
        <v>1</v>
      </c>
    </row>
    <row r="28" spans="1:21" ht="14.4" customHeight="1" x14ac:dyDescent="0.3">
      <c r="A28" s="794">
        <v>31</v>
      </c>
      <c r="B28" s="795" t="s">
        <v>592</v>
      </c>
      <c r="C28" s="795" t="s">
        <v>1511</v>
      </c>
      <c r="D28" s="796" t="s">
        <v>2054</v>
      </c>
      <c r="E28" s="797" t="s">
        <v>1523</v>
      </c>
      <c r="F28" s="795" t="s">
        <v>1508</v>
      </c>
      <c r="G28" s="795" t="s">
        <v>1539</v>
      </c>
      <c r="H28" s="795" t="s">
        <v>912</v>
      </c>
      <c r="I28" s="795" t="s">
        <v>982</v>
      </c>
      <c r="J28" s="795" t="s">
        <v>977</v>
      </c>
      <c r="K28" s="795" t="s">
        <v>1413</v>
      </c>
      <c r="L28" s="798">
        <v>736.33</v>
      </c>
      <c r="M28" s="798">
        <v>4417.9800000000005</v>
      </c>
      <c r="N28" s="795">
        <v>6</v>
      </c>
      <c r="O28" s="799">
        <v>1</v>
      </c>
      <c r="P28" s="798">
        <v>4417.9800000000005</v>
      </c>
      <c r="Q28" s="800">
        <v>1</v>
      </c>
      <c r="R28" s="795">
        <v>6</v>
      </c>
      <c r="S28" s="800">
        <v>1</v>
      </c>
      <c r="T28" s="799">
        <v>1</v>
      </c>
      <c r="U28" s="801">
        <v>1</v>
      </c>
    </row>
    <row r="29" spans="1:21" ht="14.4" customHeight="1" x14ac:dyDescent="0.3">
      <c r="A29" s="794">
        <v>31</v>
      </c>
      <c r="B29" s="795" t="s">
        <v>592</v>
      </c>
      <c r="C29" s="795" t="s">
        <v>1511</v>
      </c>
      <c r="D29" s="796" t="s">
        <v>2054</v>
      </c>
      <c r="E29" s="797" t="s">
        <v>1523</v>
      </c>
      <c r="F29" s="795" t="s">
        <v>1508</v>
      </c>
      <c r="G29" s="795" t="s">
        <v>1539</v>
      </c>
      <c r="H29" s="795" t="s">
        <v>912</v>
      </c>
      <c r="I29" s="795" t="s">
        <v>976</v>
      </c>
      <c r="J29" s="795" t="s">
        <v>977</v>
      </c>
      <c r="K29" s="795" t="s">
        <v>1414</v>
      </c>
      <c r="L29" s="798">
        <v>490.89</v>
      </c>
      <c r="M29" s="798">
        <v>981.78</v>
      </c>
      <c r="N29" s="795">
        <v>2</v>
      </c>
      <c r="O29" s="799">
        <v>0.5</v>
      </c>
      <c r="P29" s="798">
        <v>981.78</v>
      </c>
      <c r="Q29" s="800">
        <v>1</v>
      </c>
      <c r="R29" s="795">
        <v>2</v>
      </c>
      <c r="S29" s="800">
        <v>1</v>
      </c>
      <c r="T29" s="799">
        <v>0.5</v>
      </c>
      <c r="U29" s="801">
        <v>1</v>
      </c>
    </row>
    <row r="30" spans="1:21" ht="14.4" customHeight="1" x14ac:dyDescent="0.3">
      <c r="A30" s="794">
        <v>31</v>
      </c>
      <c r="B30" s="795" t="s">
        <v>592</v>
      </c>
      <c r="C30" s="795" t="s">
        <v>1511</v>
      </c>
      <c r="D30" s="796" t="s">
        <v>2054</v>
      </c>
      <c r="E30" s="797" t="s">
        <v>1523</v>
      </c>
      <c r="F30" s="795" t="s">
        <v>1508</v>
      </c>
      <c r="G30" s="795" t="s">
        <v>1573</v>
      </c>
      <c r="H30" s="795" t="s">
        <v>912</v>
      </c>
      <c r="I30" s="795" t="s">
        <v>1574</v>
      </c>
      <c r="J30" s="795" t="s">
        <v>622</v>
      </c>
      <c r="K30" s="795" t="s">
        <v>1448</v>
      </c>
      <c r="L30" s="798">
        <v>48.42</v>
      </c>
      <c r="M30" s="798">
        <v>96.84</v>
      </c>
      <c r="N30" s="795">
        <v>2</v>
      </c>
      <c r="O30" s="799">
        <v>1.5</v>
      </c>
      <c r="P30" s="798">
        <v>48.42</v>
      </c>
      <c r="Q30" s="800">
        <v>0.5</v>
      </c>
      <c r="R30" s="795">
        <v>1</v>
      </c>
      <c r="S30" s="800">
        <v>0.5</v>
      </c>
      <c r="T30" s="799">
        <v>1</v>
      </c>
      <c r="U30" s="801">
        <v>0.66666666666666663</v>
      </c>
    </row>
    <row r="31" spans="1:21" ht="14.4" customHeight="1" x14ac:dyDescent="0.3">
      <c r="A31" s="794">
        <v>31</v>
      </c>
      <c r="B31" s="795" t="s">
        <v>592</v>
      </c>
      <c r="C31" s="795" t="s">
        <v>1511</v>
      </c>
      <c r="D31" s="796" t="s">
        <v>2054</v>
      </c>
      <c r="E31" s="797" t="s">
        <v>1523</v>
      </c>
      <c r="F31" s="795" t="s">
        <v>1508</v>
      </c>
      <c r="G31" s="795" t="s">
        <v>1575</v>
      </c>
      <c r="H31" s="795" t="s">
        <v>593</v>
      </c>
      <c r="I31" s="795" t="s">
        <v>1576</v>
      </c>
      <c r="J31" s="795" t="s">
        <v>756</v>
      </c>
      <c r="K31" s="795" t="s">
        <v>1577</v>
      </c>
      <c r="L31" s="798">
        <v>90.53</v>
      </c>
      <c r="M31" s="798">
        <v>90.53</v>
      </c>
      <c r="N31" s="795">
        <v>1</v>
      </c>
      <c r="O31" s="799">
        <v>1</v>
      </c>
      <c r="P31" s="798">
        <v>90.53</v>
      </c>
      <c r="Q31" s="800">
        <v>1</v>
      </c>
      <c r="R31" s="795">
        <v>1</v>
      </c>
      <c r="S31" s="800">
        <v>1</v>
      </c>
      <c r="T31" s="799">
        <v>1</v>
      </c>
      <c r="U31" s="801">
        <v>1</v>
      </c>
    </row>
    <row r="32" spans="1:21" ht="14.4" customHeight="1" x14ac:dyDescent="0.3">
      <c r="A32" s="794">
        <v>31</v>
      </c>
      <c r="B32" s="795" t="s">
        <v>592</v>
      </c>
      <c r="C32" s="795" t="s">
        <v>1511</v>
      </c>
      <c r="D32" s="796" t="s">
        <v>2054</v>
      </c>
      <c r="E32" s="797" t="s">
        <v>1523</v>
      </c>
      <c r="F32" s="795" t="s">
        <v>1508</v>
      </c>
      <c r="G32" s="795" t="s">
        <v>1541</v>
      </c>
      <c r="H32" s="795" t="s">
        <v>912</v>
      </c>
      <c r="I32" s="795" t="s">
        <v>929</v>
      </c>
      <c r="J32" s="795" t="s">
        <v>1453</v>
      </c>
      <c r="K32" s="795" t="s">
        <v>1454</v>
      </c>
      <c r="L32" s="798">
        <v>0</v>
      </c>
      <c r="M32" s="798">
        <v>0</v>
      </c>
      <c r="N32" s="795">
        <v>209</v>
      </c>
      <c r="O32" s="799">
        <v>91.5</v>
      </c>
      <c r="P32" s="798">
        <v>0</v>
      </c>
      <c r="Q32" s="800"/>
      <c r="R32" s="795">
        <v>115</v>
      </c>
      <c r="S32" s="800">
        <v>0.55023923444976075</v>
      </c>
      <c r="T32" s="799">
        <v>41.5</v>
      </c>
      <c r="U32" s="801">
        <v>0.45355191256830601</v>
      </c>
    </row>
    <row r="33" spans="1:21" ht="14.4" customHeight="1" x14ac:dyDescent="0.3">
      <c r="A33" s="794">
        <v>31</v>
      </c>
      <c r="B33" s="795" t="s">
        <v>592</v>
      </c>
      <c r="C33" s="795" t="s">
        <v>1511</v>
      </c>
      <c r="D33" s="796" t="s">
        <v>2054</v>
      </c>
      <c r="E33" s="797" t="s">
        <v>1523</v>
      </c>
      <c r="F33" s="795" t="s">
        <v>1508</v>
      </c>
      <c r="G33" s="795" t="s">
        <v>1578</v>
      </c>
      <c r="H33" s="795" t="s">
        <v>593</v>
      </c>
      <c r="I33" s="795" t="s">
        <v>1012</v>
      </c>
      <c r="J33" s="795" t="s">
        <v>1013</v>
      </c>
      <c r="K33" s="795" t="s">
        <v>1579</v>
      </c>
      <c r="L33" s="798">
        <v>42.54</v>
      </c>
      <c r="M33" s="798">
        <v>85.08</v>
      </c>
      <c r="N33" s="795">
        <v>2</v>
      </c>
      <c r="O33" s="799">
        <v>1</v>
      </c>
      <c r="P33" s="798"/>
      <c r="Q33" s="800">
        <v>0</v>
      </c>
      <c r="R33" s="795"/>
      <c r="S33" s="800">
        <v>0</v>
      </c>
      <c r="T33" s="799"/>
      <c r="U33" s="801">
        <v>0</v>
      </c>
    </row>
    <row r="34" spans="1:21" ht="14.4" customHeight="1" x14ac:dyDescent="0.3">
      <c r="A34" s="794">
        <v>31</v>
      </c>
      <c r="B34" s="795" t="s">
        <v>592</v>
      </c>
      <c r="C34" s="795" t="s">
        <v>1511</v>
      </c>
      <c r="D34" s="796" t="s">
        <v>2054</v>
      </c>
      <c r="E34" s="797" t="s">
        <v>1523</v>
      </c>
      <c r="F34" s="795" t="s">
        <v>1508</v>
      </c>
      <c r="G34" s="795" t="s">
        <v>1542</v>
      </c>
      <c r="H34" s="795" t="s">
        <v>593</v>
      </c>
      <c r="I34" s="795" t="s">
        <v>1020</v>
      </c>
      <c r="J34" s="795" t="s">
        <v>1017</v>
      </c>
      <c r="K34" s="795" t="s">
        <v>1543</v>
      </c>
      <c r="L34" s="798">
        <v>186.27</v>
      </c>
      <c r="M34" s="798">
        <v>2607.7800000000002</v>
      </c>
      <c r="N34" s="795">
        <v>14</v>
      </c>
      <c r="O34" s="799">
        <v>7</v>
      </c>
      <c r="P34" s="798">
        <v>1490.16</v>
      </c>
      <c r="Q34" s="800">
        <v>0.5714285714285714</v>
      </c>
      <c r="R34" s="795">
        <v>8</v>
      </c>
      <c r="S34" s="800">
        <v>0.5714285714285714</v>
      </c>
      <c r="T34" s="799">
        <v>4</v>
      </c>
      <c r="U34" s="801">
        <v>0.5714285714285714</v>
      </c>
    </row>
    <row r="35" spans="1:21" ht="14.4" customHeight="1" x14ac:dyDescent="0.3">
      <c r="A35" s="794">
        <v>31</v>
      </c>
      <c r="B35" s="795" t="s">
        <v>592</v>
      </c>
      <c r="C35" s="795" t="s">
        <v>1511</v>
      </c>
      <c r="D35" s="796" t="s">
        <v>2054</v>
      </c>
      <c r="E35" s="797" t="s">
        <v>1523</v>
      </c>
      <c r="F35" s="795" t="s">
        <v>1508</v>
      </c>
      <c r="G35" s="795" t="s">
        <v>1580</v>
      </c>
      <c r="H35" s="795" t="s">
        <v>593</v>
      </c>
      <c r="I35" s="795" t="s">
        <v>696</v>
      </c>
      <c r="J35" s="795" t="s">
        <v>1581</v>
      </c>
      <c r="K35" s="795" t="s">
        <v>1582</v>
      </c>
      <c r="L35" s="798">
        <v>77.13</v>
      </c>
      <c r="M35" s="798">
        <v>385.65</v>
      </c>
      <c r="N35" s="795">
        <v>5</v>
      </c>
      <c r="O35" s="799">
        <v>1.5</v>
      </c>
      <c r="P35" s="798"/>
      <c r="Q35" s="800">
        <v>0</v>
      </c>
      <c r="R35" s="795"/>
      <c r="S35" s="800">
        <v>0</v>
      </c>
      <c r="T35" s="799"/>
      <c r="U35" s="801">
        <v>0</v>
      </c>
    </row>
    <row r="36" spans="1:21" ht="14.4" customHeight="1" x14ac:dyDescent="0.3">
      <c r="A36" s="794">
        <v>31</v>
      </c>
      <c r="B36" s="795" t="s">
        <v>592</v>
      </c>
      <c r="C36" s="795" t="s">
        <v>1511</v>
      </c>
      <c r="D36" s="796" t="s">
        <v>2054</v>
      </c>
      <c r="E36" s="797" t="s">
        <v>1523</v>
      </c>
      <c r="F36" s="795" t="s">
        <v>1508</v>
      </c>
      <c r="G36" s="795" t="s">
        <v>1544</v>
      </c>
      <c r="H36" s="795" t="s">
        <v>593</v>
      </c>
      <c r="I36" s="795" t="s">
        <v>1583</v>
      </c>
      <c r="J36" s="795" t="s">
        <v>1546</v>
      </c>
      <c r="K36" s="795" t="s">
        <v>1584</v>
      </c>
      <c r="L36" s="798">
        <v>0</v>
      </c>
      <c r="M36" s="798">
        <v>0</v>
      </c>
      <c r="N36" s="795">
        <v>2</v>
      </c>
      <c r="O36" s="799">
        <v>1.5</v>
      </c>
      <c r="P36" s="798">
        <v>0</v>
      </c>
      <c r="Q36" s="800"/>
      <c r="R36" s="795">
        <v>2</v>
      </c>
      <c r="S36" s="800">
        <v>1</v>
      </c>
      <c r="T36" s="799">
        <v>1.5</v>
      </c>
      <c r="U36" s="801">
        <v>1</v>
      </c>
    </row>
    <row r="37" spans="1:21" ht="14.4" customHeight="1" x14ac:dyDescent="0.3">
      <c r="A37" s="794">
        <v>31</v>
      </c>
      <c r="B37" s="795" t="s">
        <v>592</v>
      </c>
      <c r="C37" s="795" t="s">
        <v>1511</v>
      </c>
      <c r="D37" s="796" t="s">
        <v>2054</v>
      </c>
      <c r="E37" s="797" t="s">
        <v>1523</v>
      </c>
      <c r="F37" s="795" t="s">
        <v>1510</v>
      </c>
      <c r="G37" s="795" t="s">
        <v>1548</v>
      </c>
      <c r="H37" s="795" t="s">
        <v>593</v>
      </c>
      <c r="I37" s="795" t="s">
        <v>1549</v>
      </c>
      <c r="J37" s="795" t="s">
        <v>1550</v>
      </c>
      <c r="K37" s="795" t="s">
        <v>1551</v>
      </c>
      <c r="L37" s="798">
        <v>35.130000000000003</v>
      </c>
      <c r="M37" s="798">
        <v>9204.0600000000213</v>
      </c>
      <c r="N37" s="795">
        <v>262</v>
      </c>
      <c r="O37" s="799">
        <v>125</v>
      </c>
      <c r="P37" s="798">
        <v>9133.8000000000211</v>
      </c>
      <c r="Q37" s="800">
        <v>0.99236641221374045</v>
      </c>
      <c r="R37" s="795">
        <v>260</v>
      </c>
      <c r="S37" s="800">
        <v>0.99236641221374045</v>
      </c>
      <c r="T37" s="799">
        <v>124</v>
      </c>
      <c r="U37" s="801">
        <v>0.99199999999999999</v>
      </c>
    </row>
    <row r="38" spans="1:21" ht="14.4" customHeight="1" x14ac:dyDescent="0.3">
      <c r="A38" s="794">
        <v>31</v>
      </c>
      <c r="B38" s="795" t="s">
        <v>592</v>
      </c>
      <c r="C38" s="795" t="s">
        <v>1511</v>
      </c>
      <c r="D38" s="796" t="s">
        <v>2054</v>
      </c>
      <c r="E38" s="797" t="s">
        <v>1523</v>
      </c>
      <c r="F38" s="795" t="s">
        <v>1510</v>
      </c>
      <c r="G38" s="795" t="s">
        <v>1585</v>
      </c>
      <c r="H38" s="795" t="s">
        <v>593</v>
      </c>
      <c r="I38" s="795" t="s">
        <v>1586</v>
      </c>
      <c r="J38" s="795" t="s">
        <v>1587</v>
      </c>
      <c r="K38" s="795" t="s">
        <v>1588</v>
      </c>
      <c r="L38" s="798">
        <v>410</v>
      </c>
      <c r="M38" s="798">
        <v>4920</v>
      </c>
      <c r="N38" s="795">
        <v>12</v>
      </c>
      <c r="O38" s="799">
        <v>12</v>
      </c>
      <c r="P38" s="798">
        <v>4920</v>
      </c>
      <c r="Q38" s="800">
        <v>1</v>
      </c>
      <c r="R38" s="795">
        <v>12</v>
      </c>
      <c r="S38" s="800">
        <v>1</v>
      </c>
      <c r="T38" s="799">
        <v>12</v>
      </c>
      <c r="U38" s="801">
        <v>1</v>
      </c>
    </row>
    <row r="39" spans="1:21" ht="14.4" customHeight="1" x14ac:dyDescent="0.3">
      <c r="A39" s="794">
        <v>31</v>
      </c>
      <c r="B39" s="795" t="s">
        <v>592</v>
      </c>
      <c r="C39" s="795" t="s">
        <v>1511</v>
      </c>
      <c r="D39" s="796" t="s">
        <v>2054</v>
      </c>
      <c r="E39" s="797" t="s">
        <v>1523</v>
      </c>
      <c r="F39" s="795" t="s">
        <v>1510</v>
      </c>
      <c r="G39" s="795" t="s">
        <v>1589</v>
      </c>
      <c r="H39" s="795" t="s">
        <v>593</v>
      </c>
      <c r="I39" s="795" t="s">
        <v>1590</v>
      </c>
      <c r="J39" s="795" t="s">
        <v>1591</v>
      </c>
      <c r="K39" s="795" t="s">
        <v>1592</v>
      </c>
      <c r="L39" s="798">
        <v>3000</v>
      </c>
      <c r="M39" s="798">
        <v>12000</v>
      </c>
      <c r="N39" s="795">
        <v>4</v>
      </c>
      <c r="O39" s="799">
        <v>4</v>
      </c>
      <c r="P39" s="798">
        <v>9000</v>
      </c>
      <c r="Q39" s="800">
        <v>0.75</v>
      </c>
      <c r="R39" s="795">
        <v>3</v>
      </c>
      <c r="S39" s="800">
        <v>0.75</v>
      </c>
      <c r="T39" s="799">
        <v>3</v>
      </c>
      <c r="U39" s="801">
        <v>0.75</v>
      </c>
    </row>
    <row r="40" spans="1:21" ht="14.4" customHeight="1" x14ac:dyDescent="0.3">
      <c r="A40" s="794">
        <v>31</v>
      </c>
      <c r="B40" s="795" t="s">
        <v>592</v>
      </c>
      <c r="C40" s="795" t="s">
        <v>1511</v>
      </c>
      <c r="D40" s="796" t="s">
        <v>2054</v>
      </c>
      <c r="E40" s="797" t="s">
        <v>1523</v>
      </c>
      <c r="F40" s="795" t="s">
        <v>1510</v>
      </c>
      <c r="G40" s="795" t="s">
        <v>1589</v>
      </c>
      <c r="H40" s="795" t="s">
        <v>593</v>
      </c>
      <c r="I40" s="795" t="s">
        <v>1593</v>
      </c>
      <c r="J40" s="795" t="s">
        <v>1594</v>
      </c>
      <c r="K40" s="795" t="s">
        <v>1595</v>
      </c>
      <c r="L40" s="798">
        <v>199.5</v>
      </c>
      <c r="M40" s="798">
        <v>997.5</v>
      </c>
      <c r="N40" s="795">
        <v>5</v>
      </c>
      <c r="O40" s="799">
        <v>5</v>
      </c>
      <c r="P40" s="798">
        <v>997.5</v>
      </c>
      <c r="Q40" s="800">
        <v>1</v>
      </c>
      <c r="R40" s="795">
        <v>5</v>
      </c>
      <c r="S40" s="800">
        <v>1</v>
      </c>
      <c r="T40" s="799">
        <v>5</v>
      </c>
      <c r="U40" s="801">
        <v>1</v>
      </c>
    </row>
    <row r="41" spans="1:21" ht="14.4" customHeight="1" x14ac:dyDescent="0.3">
      <c r="A41" s="794">
        <v>31</v>
      </c>
      <c r="B41" s="795" t="s">
        <v>592</v>
      </c>
      <c r="C41" s="795" t="s">
        <v>1511</v>
      </c>
      <c r="D41" s="796" t="s">
        <v>2054</v>
      </c>
      <c r="E41" s="797" t="s">
        <v>1523</v>
      </c>
      <c r="F41" s="795" t="s">
        <v>1510</v>
      </c>
      <c r="G41" s="795" t="s">
        <v>1589</v>
      </c>
      <c r="H41" s="795" t="s">
        <v>593</v>
      </c>
      <c r="I41" s="795" t="s">
        <v>1596</v>
      </c>
      <c r="J41" s="795" t="s">
        <v>1597</v>
      </c>
      <c r="K41" s="795" t="s">
        <v>1598</v>
      </c>
      <c r="L41" s="798">
        <v>492.18</v>
      </c>
      <c r="M41" s="798">
        <v>6398.3400000000011</v>
      </c>
      <c r="N41" s="795">
        <v>13</v>
      </c>
      <c r="O41" s="799">
        <v>13</v>
      </c>
      <c r="P41" s="798">
        <v>6398.3400000000011</v>
      </c>
      <c r="Q41" s="800">
        <v>1</v>
      </c>
      <c r="R41" s="795">
        <v>13</v>
      </c>
      <c r="S41" s="800">
        <v>1</v>
      </c>
      <c r="T41" s="799">
        <v>13</v>
      </c>
      <c r="U41" s="801">
        <v>1</v>
      </c>
    </row>
    <row r="42" spans="1:21" ht="14.4" customHeight="1" x14ac:dyDescent="0.3">
      <c r="A42" s="794">
        <v>31</v>
      </c>
      <c r="B42" s="795" t="s">
        <v>592</v>
      </c>
      <c r="C42" s="795" t="s">
        <v>1511</v>
      </c>
      <c r="D42" s="796" t="s">
        <v>2054</v>
      </c>
      <c r="E42" s="797" t="s">
        <v>1523</v>
      </c>
      <c r="F42" s="795" t="s">
        <v>1510</v>
      </c>
      <c r="G42" s="795" t="s">
        <v>1589</v>
      </c>
      <c r="H42" s="795" t="s">
        <v>593</v>
      </c>
      <c r="I42" s="795" t="s">
        <v>1599</v>
      </c>
      <c r="J42" s="795" t="s">
        <v>1600</v>
      </c>
      <c r="K42" s="795" t="s">
        <v>1601</v>
      </c>
      <c r="L42" s="798">
        <v>347.81</v>
      </c>
      <c r="M42" s="798">
        <v>1391.24</v>
      </c>
      <c r="N42" s="795">
        <v>4</v>
      </c>
      <c r="O42" s="799">
        <v>4</v>
      </c>
      <c r="P42" s="798">
        <v>1391.24</v>
      </c>
      <c r="Q42" s="800">
        <v>1</v>
      </c>
      <c r="R42" s="795">
        <v>4</v>
      </c>
      <c r="S42" s="800">
        <v>1</v>
      </c>
      <c r="T42" s="799">
        <v>4</v>
      </c>
      <c r="U42" s="801">
        <v>1</v>
      </c>
    </row>
    <row r="43" spans="1:21" ht="14.4" customHeight="1" x14ac:dyDescent="0.3">
      <c r="A43" s="794">
        <v>31</v>
      </c>
      <c r="B43" s="795" t="s">
        <v>592</v>
      </c>
      <c r="C43" s="795" t="s">
        <v>1511</v>
      </c>
      <c r="D43" s="796" t="s">
        <v>2054</v>
      </c>
      <c r="E43" s="797" t="s">
        <v>1523</v>
      </c>
      <c r="F43" s="795" t="s">
        <v>1510</v>
      </c>
      <c r="G43" s="795" t="s">
        <v>1589</v>
      </c>
      <c r="H43" s="795" t="s">
        <v>593</v>
      </c>
      <c r="I43" s="795" t="s">
        <v>1602</v>
      </c>
      <c r="J43" s="795" t="s">
        <v>1603</v>
      </c>
      <c r="K43" s="795" t="s">
        <v>1604</v>
      </c>
      <c r="L43" s="798">
        <v>971.25</v>
      </c>
      <c r="M43" s="798">
        <v>5827.5</v>
      </c>
      <c r="N43" s="795">
        <v>6</v>
      </c>
      <c r="O43" s="799">
        <v>6</v>
      </c>
      <c r="P43" s="798">
        <v>4856.25</v>
      </c>
      <c r="Q43" s="800">
        <v>0.83333333333333337</v>
      </c>
      <c r="R43" s="795">
        <v>5</v>
      </c>
      <c r="S43" s="800">
        <v>0.83333333333333337</v>
      </c>
      <c r="T43" s="799">
        <v>5</v>
      </c>
      <c r="U43" s="801">
        <v>0.83333333333333337</v>
      </c>
    </row>
    <row r="44" spans="1:21" ht="14.4" customHeight="1" x14ac:dyDescent="0.3">
      <c r="A44" s="794">
        <v>31</v>
      </c>
      <c r="B44" s="795" t="s">
        <v>592</v>
      </c>
      <c r="C44" s="795" t="s">
        <v>1511</v>
      </c>
      <c r="D44" s="796" t="s">
        <v>2054</v>
      </c>
      <c r="E44" s="797" t="s">
        <v>1523</v>
      </c>
      <c r="F44" s="795" t="s">
        <v>1510</v>
      </c>
      <c r="G44" s="795" t="s">
        <v>1589</v>
      </c>
      <c r="H44" s="795" t="s">
        <v>593</v>
      </c>
      <c r="I44" s="795" t="s">
        <v>1605</v>
      </c>
      <c r="J44" s="795" t="s">
        <v>1606</v>
      </c>
      <c r="K44" s="795" t="s">
        <v>1607</v>
      </c>
      <c r="L44" s="798">
        <v>350</v>
      </c>
      <c r="M44" s="798">
        <v>350</v>
      </c>
      <c r="N44" s="795">
        <v>1</v>
      </c>
      <c r="O44" s="799">
        <v>1</v>
      </c>
      <c r="P44" s="798">
        <v>350</v>
      </c>
      <c r="Q44" s="800">
        <v>1</v>
      </c>
      <c r="R44" s="795">
        <v>1</v>
      </c>
      <c r="S44" s="800">
        <v>1</v>
      </c>
      <c r="T44" s="799">
        <v>1</v>
      </c>
      <c r="U44" s="801">
        <v>1</v>
      </c>
    </row>
    <row r="45" spans="1:21" ht="14.4" customHeight="1" x14ac:dyDescent="0.3">
      <c r="A45" s="794">
        <v>31</v>
      </c>
      <c r="B45" s="795" t="s">
        <v>592</v>
      </c>
      <c r="C45" s="795" t="s">
        <v>1511</v>
      </c>
      <c r="D45" s="796" t="s">
        <v>2054</v>
      </c>
      <c r="E45" s="797" t="s">
        <v>1523</v>
      </c>
      <c r="F45" s="795" t="s">
        <v>1510</v>
      </c>
      <c r="G45" s="795" t="s">
        <v>1589</v>
      </c>
      <c r="H45" s="795" t="s">
        <v>593</v>
      </c>
      <c r="I45" s="795" t="s">
        <v>1608</v>
      </c>
      <c r="J45" s="795" t="s">
        <v>1609</v>
      </c>
      <c r="K45" s="795" t="s">
        <v>1610</v>
      </c>
      <c r="L45" s="798">
        <v>1000</v>
      </c>
      <c r="M45" s="798">
        <v>3000</v>
      </c>
      <c r="N45" s="795">
        <v>3</v>
      </c>
      <c r="O45" s="799">
        <v>3</v>
      </c>
      <c r="P45" s="798">
        <v>3000</v>
      </c>
      <c r="Q45" s="800">
        <v>1</v>
      </c>
      <c r="R45" s="795">
        <v>3</v>
      </c>
      <c r="S45" s="800">
        <v>1</v>
      </c>
      <c r="T45" s="799">
        <v>3</v>
      </c>
      <c r="U45" s="801">
        <v>1</v>
      </c>
    </row>
    <row r="46" spans="1:21" ht="14.4" customHeight="1" x14ac:dyDescent="0.3">
      <c r="A46" s="794">
        <v>31</v>
      </c>
      <c r="B46" s="795" t="s">
        <v>592</v>
      </c>
      <c r="C46" s="795" t="s">
        <v>1511</v>
      </c>
      <c r="D46" s="796" t="s">
        <v>2054</v>
      </c>
      <c r="E46" s="797" t="s">
        <v>1523</v>
      </c>
      <c r="F46" s="795" t="s">
        <v>1510</v>
      </c>
      <c r="G46" s="795" t="s">
        <v>1589</v>
      </c>
      <c r="H46" s="795" t="s">
        <v>593</v>
      </c>
      <c r="I46" s="795" t="s">
        <v>1611</v>
      </c>
      <c r="J46" s="795" t="s">
        <v>1612</v>
      </c>
      <c r="K46" s="795" t="s">
        <v>1613</v>
      </c>
      <c r="L46" s="798">
        <v>750</v>
      </c>
      <c r="M46" s="798">
        <v>750</v>
      </c>
      <c r="N46" s="795">
        <v>1</v>
      </c>
      <c r="O46" s="799">
        <v>1</v>
      </c>
      <c r="P46" s="798">
        <v>750</v>
      </c>
      <c r="Q46" s="800">
        <v>1</v>
      </c>
      <c r="R46" s="795">
        <v>1</v>
      </c>
      <c r="S46" s="800">
        <v>1</v>
      </c>
      <c r="T46" s="799">
        <v>1</v>
      </c>
      <c r="U46" s="801">
        <v>1</v>
      </c>
    </row>
    <row r="47" spans="1:21" ht="14.4" customHeight="1" x14ac:dyDescent="0.3">
      <c r="A47" s="794">
        <v>31</v>
      </c>
      <c r="B47" s="795" t="s">
        <v>592</v>
      </c>
      <c r="C47" s="795" t="s">
        <v>1511</v>
      </c>
      <c r="D47" s="796" t="s">
        <v>2054</v>
      </c>
      <c r="E47" s="797" t="s">
        <v>1523</v>
      </c>
      <c r="F47" s="795" t="s">
        <v>1510</v>
      </c>
      <c r="G47" s="795" t="s">
        <v>1589</v>
      </c>
      <c r="H47" s="795" t="s">
        <v>593</v>
      </c>
      <c r="I47" s="795" t="s">
        <v>1614</v>
      </c>
      <c r="J47" s="795" t="s">
        <v>1615</v>
      </c>
      <c r="K47" s="795" t="s">
        <v>1616</v>
      </c>
      <c r="L47" s="798">
        <v>1690</v>
      </c>
      <c r="M47" s="798">
        <v>1690</v>
      </c>
      <c r="N47" s="795">
        <v>1</v>
      </c>
      <c r="O47" s="799">
        <v>1</v>
      </c>
      <c r="P47" s="798">
        <v>1690</v>
      </c>
      <c r="Q47" s="800">
        <v>1</v>
      </c>
      <c r="R47" s="795">
        <v>1</v>
      </c>
      <c r="S47" s="800">
        <v>1</v>
      </c>
      <c r="T47" s="799">
        <v>1</v>
      </c>
      <c r="U47" s="801">
        <v>1</v>
      </c>
    </row>
    <row r="48" spans="1:21" ht="14.4" customHeight="1" x14ac:dyDescent="0.3">
      <c r="A48" s="794">
        <v>31</v>
      </c>
      <c r="B48" s="795" t="s">
        <v>592</v>
      </c>
      <c r="C48" s="795" t="s">
        <v>1511</v>
      </c>
      <c r="D48" s="796" t="s">
        <v>2054</v>
      </c>
      <c r="E48" s="797" t="s">
        <v>1523</v>
      </c>
      <c r="F48" s="795" t="s">
        <v>1510</v>
      </c>
      <c r="G48" s="795" t="s">
        <v>1617</v>
      </c>
      <c r="H48" s="795" t="s">
        <v>593</v>
      </c>
      <c r="I48" s="795" t="s">
        <v>1618</v>
      </c>
      <c r="J48" s="795" t="s">
        <v>1619</v>
      </c>
      <c r="K48" s="795" t="s">
        <v>1620</v>
      </c>
      <c r="L48" s="798">
        <v>260</v>
      </c>
      <c r="M48" s="798">
        <v>520</v>
      </c>
      <c r="N48" s="795">
        <v>2</v>
      </c>
      <c r="O48" s="799">
        <v>1</v>
      </c>
      <c r="P48" s="798">
        <v>520</v>
      </c>
      <c r="Q48" s="800">
        <v>1</v>
      </c>
      <c r="R48" s="795">
        <v>2</v>
      </c>
      <c r="S48" s="800">
        <v>1</v>
      </c>
      <c r="T48" s="799">
        <v>1</v>
      </c>
      <c r="U48" s="801">
        <v>1</v>
      </c>
    </row>
    <row r="49" spans="1:21" ht="14.4" customHeight="1" x14ac:dyDescent="0.3">
      <c r="A49" s="794">
        <v>31</v>
      </c>
      <c r="B49" s="795" t="s">
        <v>592</v>
      </c>
      <c r="C49" s="795" t="s">
        <v>1511</v>
      </c>
      <c r="D49" s="796" t="s">
        <v>2054</v>
      </c>
      <c r="E49" s="797" t="s">
        <v>1523</v>
      </c>
      <c r="F49" s="795" t="s">
        <v>1510</v>
      </c>
      <c r="G49" s="795" t="s">
        <v>1617</v>
      </c>
      <c r="H49" s="795" t="s">
        <v>593</v>
      </c>
      <c r="I49" s="795" t="s">
        <v>1621</v>
      </c>
      <c r="J49" s="795" t="s">
        <v>1622</v>
      </c>
      <c r="K49" s="795" t="s">
        <v>1623</v>
      </c>
      <c r="L49" s="798">
        <v>200</v>
      </c>
      <c r="M49" s="798">
        <v>13200</v>
      </c>
      <c r="N49" s="795">
        <v>66</v>
      </c>
      <c r="O49" s="799">
        <v>33</v>
      </c>
      <c r="P49" s="798">
        <v>13200</v>
      </c>
      <c r="Q49" s="800">
        <v>1</v>
      </c>
      <c r="R49" s="795">
        <v>66</v>
      </c>
      <c r="S49" s="800">
        <v>1</v>
      </c>
      <c r="T49" s="799">
        <v>33</v>
      </c>
      <c r="U49" s="801">
        <v>1</v>
      </c>
    </row>
    <row r="50" spans="1:21" ht="14.4" customHeight="1" x14ac:dyDescent="0.3">
      <c r="A50" s="794">
        <v>31</v>
      </c>
      <c r="B50" s="795" t="s">
        <v>592</v>
      </c>
      <c r="C50" s="795" t="s">
        <v>1511</v>
      </c>
      <c r="D50" s="796" t="s">
        <v>2054</v>
      </c>
      <c r="E50" s="797" t="s">
        <v>1523</v>
      </c>
      <c r="F50" s="795" t="s">
        <v>1510</v>
      </c>
      <c r="G50" s="795" t="s">
        <v>1617</v>
      </c>
      <c r="H50" s="795" t="s">
        <v>593</v>
      </c>
      <c r="I50" s="795" t="s">
        <v>1624</v>
      </c>
      <c r="J50" s="795" t="s">
        <v>1625</v>
      </c>
      <c r="K50" s="795" t="s">
        <v>1626</v>
      </c>
      <c r="L50" s="798">
        <v>1200</v>
      </c>
      <c r="M50" s="798">
        <v>1200</v>
      </c>
      <c r="N50" s="795">
        <v>1</v>
      </c>
      <c r="O50" s="799">
        <v>1</v>
      </c>
      <c r="P50" s="798">
        <v>1200</v>
      </c>
      <c r="Q50" s="800">
        <v>1</v>
      </c>
      <c r="R50" s="795">
        <v>1</v>
      </c>
      <c r="S50" s="800">
        <v>1</v>
      </c>
      <c r="T50" s="799">
        <v>1</v>
      </c>
      <c r="U50" s="801">
        <v>1</v>
      </c>
    </row>
    <row r="51" spans="1:21" ht="14.4" customHeight="1" x14ac:dyDescent="0.3">
      <c r="A51" s="794">
        <v>31</v>
      </c>
      <c r="B51" s="795" t="s">
        <v>592</v>
      </c>
      <c r="C51" s="795" t="s">
        <v>1511</v>
      </c>
      <c r="D51" s="796" t="s">
        <v>2054</v>
      </c>
      <c r="E51" s="797" t="s">
        <v>1524</v>
      </c>
      <c r="F51" s="795" t="s">
        <v>1508</v>
      </c>
      <c r="G51" s="795" t="s">
        <v>1539</v>
      </c>
      <c r="H51" s="795" t="s">
        <v>912</v>
      </c>
      <c r="I51" s="795" t="s">
        <v>1540</v>
      </c>
      <c r="J51" s="795" t="s">
        <v>977</v>
      </c>
      <c r="K51" s="795" t="s">
        <v>1414</v>
      </c>
      <c r="L51" s="798">
        <v>490.89</v>
      </c>
      <c r="M51" s="798">
        <v>1963.56</v>
      </c>
      <c r="N51" s="795">
        <v>4</v>
      </c>
      <c r="O51" s="799">
        <v>1</v>
      </c>
      <c r="P51" s="798">
        <v>1963.56</v>
      </c>
      <c r="Q51" s="800">
        <v>1</v>
      </c>
      <c r="R51" s="795">
        <v>4</v>
      </c>
      <c r="S51" s="800">
        <v>1</v>
      </c>
      <c r="T51" s="799">
        <v>1</v>
      </c>
      <c r="U51" s="801">
        <v>1</v>
      </c>
    </row>
    <row r="52" spans="1:21" ht="14.4" customHeight="1" x14ac:dyDescent="0.3">
      <c r="A52" s="794">
        <v>31</v>
      </c>
      <c r="B52" s="795" t="s">
        <v>592</v>
      </c>
      <c r="C52" s="795" t="s">
        <v>1511</v>
      </c>
      <c r="D52" s="796" t="s">
        <v>2054</v>
      </c>
      <c r="E52" s="797" t="s">
        <v>1524</v>
      </c>
      <c r="F52" s="795" t="s">
        <v>1508</v>
      </c>
      <c r="G52" s="795" t="s">
        <v>1541</v>
      </c>
      <c r="H52" s="795" t="s">
        <v>912</v>
      </c>
      <c r="I52" s="795" t="s">
        <v>929</v>
      </c>
      <c r="J52" s="795" t="s">
        <v>1453</v>
      </c>
      <c r="K52" s="795" t="s">
        <v>1454</v>
      </c>
      <c r="L52" s="798">
        <v>0</v>
      </c>
      <c r="M52" s="798">
        <v>0</v>
      </c>
      <c r="N52" s="795">
        <v>5</v>
      </c>
      <c r="O52" s="799">
        <v>3.5</v>
      </c>
      <c r="P52" s="798">
        <v>0</v>
      </c>
      <c r="Q52" s="800"/>
      <c r="R52" s="795">
        <v>3</v>
      </c>
      <c r="S52" s="800">
        <v>0.6</v>
      </c>
      <c r="T52" s="799">
        <v>1.5</v>
      </c>
      <c r="U52" s="801">
        <v>0.42857142857142855</v>
      </c>
    </row>
    <row r="53" spans="1:21" ht="14.4" customHeight="1" x14ac:dyDescent="0.3">
      <c r="A53" s="794">
        <v>31</v>
      </c>
      <c r="B53" s="795" t="s">
        <v>592</v>
      </c>
      <c r="C53" s="795" t="s">
        <v>1511</v>
      </c>
      <c r="D53" s="796" t="s">
        <v>2054</v>
      </c>
      <c r="E53" s="797" t="s">
        <v>1524</v>
      </c>
      <c r="F53" s="795" t="s">
        <v>1508</v>
      </c>
      <c r="G53" s="795" t="s">
        <v>1542</v>
      </c>
      <c r="H53" s="795" t="s">
        <v>593</v>
      </c>
      <c r="I53" s="795" t="s">
        <v>1020</v>
      </c>
      <c r="J53" s="795" t="s">
        <v>1017</v>
      </c>
      <c r="K53" s="795" t="s">
        <v>1543</v>
      </c>
      <c r="L53" s="798">
        <v>186.27</v>
      </c>
      <c r="M53" s="798">
        <v>186.27</v>
      </c>
      <c r="N53" s="795">
        <v>1</v>
      </c>
      <c r="O53" s="799">
        <v>0.5</v>
      </c>
      <c r="P53" s="798">
        <v>186.27</v>
      </c>
      <c r="Q53" s="800">
        <v>1</v>
      </c>
      <c r="R53" s="795">
        <v>1</v>
      </c>
      <c r="S53" s="800">
        <v>1</v>
      </c>
      <c r="T53" s="799">
        <v>0.5</v>
      </c>
      <c r="U53" s="801">
        <v>1</v>
      </c>
    </row>
    <row r="54" spans="1:21" ht="14.4" customHeight="1" x14ac:dyDescent="0.3">
      <c r="A54" s="794">
        <v>31</v>
      </c>
      <c r="B54" s="795" t="s">
        <v>592</v>
      </c>
      <c r="C54" s="795" t="s">
        <v>1511</v>
      </c>
      <c r="D54" s="796" t="s">
        <v>2054</v>
      </c>
      <c r="E54" s="797" t="s">
        <v>1526</v>
      </c>
      <c r="F54" s="795" t="s">
        <v>1508</v>
      </c>
      <c r="G54" s="795" t="s">
        <v>1537</v>
      </c>
      <c r="H54" s="795" t="s">
        <v>593</v>
      </c>
      <c r="I54" s="795" t="s">
        <v>747</v>
      </c>
      <c r="J54" s="795" t="s">
        <v>748</v>
      </c>
      <c r="K54" s="795" t="s">
        <v>1538</v>
      </c>
      <c r="L54" s="798">
        <v>0</v>
      </c>
      <c r="M54" s="798">
        <v>0</v>
      </c>
      <c r="N54" s="795">
        <v>1</v>
      </c>
      <c r="O54" s="799">
        <v>0.5</v>
      </c>
      <c r="P54" s="798"/>
      <c r="Q54" s="800"/>
      <c r="R54" s="795"/>
      <c r="S54" s="800">
        <v>0</v>
      </c>
      <c r="T54" s="799"/>
      <c r="U54" s="801">
        <v>0</v>
      </c>
    </row>
    <row r="55" spans="1:21" ht="14.4" customHeight="1" x14ac:dyDescent="0.3">
      <c r="A55" s="794">
        <v>31</v>
      </c>
      <c r="B55" s="795" t="s">
        <v>592</v>
      </c>
      <c r="C55" s="795" t="s">
        <v>1511</v>
      </c>
      <c r="D55" s="796" t="s">
        <v>2054</v>
      </c>
      <c r="E55" s="797" t="s">
        <v>1526</v>
      </c>
      <c r="F55" s="795" t="s">
        <v>1508</v>
      </c>
      <c r="G55" s="795" t="s">
        <v>1539</v>
      </c>
      <c r="H55" s="795" t="s">
        <v>912</v>
      </c>
      <c r="I55" s="795" t="s">
        <v>1540</v>
      </c>
      <c r="J55" s="795" t="s">
        <v>977</v>
      </c>
      <c r="K55" s="795" t="s">
        <v>1414</v>
      </c>
      <c r="L55" s="798">
        <v>490.89</v>
      </c>
      <c r="M55" s="798">
        <v>1472.67</v>
      </c>
      <c r="N55" s="795">
        <v>3</v>
      </c>
      <c r="O55" s="799">
        <v>1</v>
      </c>
      <c r="P55" s="798">
        <v>1472.67</v>
      </c>
      <c r="Q55" s="800">
        <v>1</v>
      </c>
      <c r="R55" s="795">
        <v>3</v>
      </c>
      <c r="S55" s="800">
        <v>1</v>
      </c>
      <c r="T55" s="799">
        <v>1</v>
      </c>
      <c r="U55" s="801">
        <v>1</v>
      </c>
    </row>
    <row r="56" spans="1:21" ht="14.4" customHeight="1" x14ac:dyDescent="0.3">
      <c r="A56" s="794">
        <v>31</v>
      </c>
      <c r="B56" s="795" t="s">
        <v>592</v>
      </c>
      <c r="C56" s="795" t="s">
        <v>1511</v>
      </c>
      <c r="D56" s="796" t="s">
        <v>2054</v>
      </c>
      <c r="E56" s="797" t="s">
        <v>1526</v>
      </c>
      <c r="F56" s="795" t="s">
        <v>1508</v>
      </c>
      <c r="G56" s="795" t="s">
        <v>1539</v>
      </c>
      <c r="H56" s="795" t="s">
        <v>912</v>
      </c>
      <c r="I56" s="795" t="s">
        <v>1552</v>
      </c>
      <c r="J56" s="795" t="s">
        <v>977</v>
      </c>
      <c r="K56" s="795" t="s">
        <v>1413</v>
      </c>
      <c r="L56" s="798">
        <v>736.33</v>
      </c>
      <c r="M56" s="798">
        <v>736.33</v>
      </c>
      <c r="N56" s="795">
        <v>1</v>
      </c>
      <c r="O56" s="799">
        <v>0.5</v>
      </c>
      <c r="P56" s="798">
        <v>736.33</v>
      </c>
      <c r="Q56" s="800">
        <v>1</v>
      </c>
      <c r="R56" s="795">
        <v>1</v>
      </c>
      <c r="S56" s="800">
        <v>1</v>
      </c>
      <c r="T56" s="799">
        <v>0.5</v>
      </c>
      <c r="U56" s="801">
        <v>1</v>
      </c>
    </row>
    <row r="57" spans="1:21" ht="14.4" customHeight="1" x14ac:dyDescent="0.3">
      <c r="A57" s="794">
        <v>31</v>
      </c>
      <c r="B57" s="795" t="s">
        <v>592</v>
      </c>
      <c r="C57" s="795" t="s">
        <v>1511</v>
      </c>
      <c r="D57" s="796" t="s">
        <v>2054</v>
      </c>
      <c r="E57" s="797" t="s">
        <v>1526</v>
      </c>
      <c r="F57" s="795" t="s">
        <v>1508</v>
      </c>
      <c r="G57" s="795" t="s">
        <v>1541</v>
      </c>
      <c r="H57" s="795" t="s">
        <v>912</v>
      </c>
      <c r="I57" s="795" t="s">
        <v>929</v>
      </c>
      <c r="J57" s="795" t="s">
        <v>1453</v>
      </c>
      <c r="K57" s="795" t="s">
        <v>1454</v>
      </c>
      <c r="L57" s="798">
        <v>0</v>
      </c>
      <c r="M57" s="798">
        <v>0</v>
      </c>
      <c r="N57" s="795">
        <v>6</v>
      </c>
      <c r="O57" s="799">
        <v>3.5</v>
      </c>
      <c r="P57" s="798">
        <v>0</v>
      </c>
      <c r="Q57" s="800"/>
      <c r="R57" s="795">
        <v>3</v>
      </c>
      <c r="S57" s="800">
        <v>0.5</v>
      </c>
      <c r="T57" s="799">
        <v>1.5</v>
      </c>
      <c r="U57" s="801">
        <v>0.42857142857142855</v>
      </c>
    </row>
    <row r="58" spans="1:21" ht="14.4" customHeight="1" x14ac:dyDescent="0.3">
      <c r="A58" s="794">
        <v>31</v>
      </c>
      <c r="B58" s="795" t="s">
        <v>592</v>
      </c>
      <c r="C58" s="795" t="s">
        <v>1511</v>
      </c>
      <c r="D58" s="796" t="s">
        <v>2054</v>
      </c>
      <c r="E58" s="797" t="s">
        <v>1526</v>
      </c>
      <c r="F58" s="795" t="s">
        <v>1508</v>
      </c>
      <c r="G58" s="795" t="s">
        <v>1542</v>
      </c>
      <c r="H58" s="795" t="s">
        <v>593</v>
      </c>
      <c r="I58" s="795" t="s">
        <v>1020</v>
      </c>
      <c r="J58" s="795" t="s">
        <v>1017</v>
      </c>
      <c r="K58" s="795" t="s">
        <v>1543</v>
      </c>
      <c r="L58" s="798">
        <v>186.27</v>
      </c>
      <c r="M58" s="798">
        <v>186.27</v>
      </c>
      <c r="N58" s="795">
        <v>1</v>
      </c>
      <c r="O58" s="799">
        <v>0.5</v>
      </c>
      <c r="P58" s="798"/>
      <c r="Q58" s="800">
        <v>0</v>
      </c>
      <c r="R58" s="795"/>
      <c r="S58" s="800">
        <v>0</v>
      </c>
      <c r="T58" s="799"/>
      <c r="U58" s="801">
        <v>0</v>
      </c>
    </row>
    <row r="59" spans="1:21" ht="14.4" customHeight="1" x14ac:dyDescent="0.3">
      <c r="A59" s="794">
        <v>31</v>
      </c>
      <c r="B59" s="795" t="s">
        <v>592</v>
      </c>
      <c r="C59" s="795" t="s">
        <v>1511</v>
      </c>
      <c r="D59" s="796" t="s">
        <v>2054</v>
      </c>
      <c r="E59" s="797" t="s">
        <v>1526</v>
      </c>
      <c r="F59" s="795" t="s">
        <v>1508</v>
      </c>
      <c r="G59" s="795" t="s">
        <v>1627</v>
      </c>
      <c r="H59" s="795" t="s">
        <v>593</v>
      </c>
      <c r="I59" s="795" t="s">
        <v>1628</v>
      </c>
      <c r="J59" s="795" t="s">
        <v>1629</v>
      </c>
      <c r="K59" s="795" t="s">
        <v>1630</v>
      </c>
      <c r="L59" s="798">
        <v>28.9</v>
      </c>
      <c r="M59" s="798">
        <v>28.9</v>
      </c>
      <c r="N59" s="795">
        <v>1</v>
      </c>
      <c r="O59" s="799">
        <v>1</v>
      </c>
      <c r="P59" s="798"/>
      <c r="Q59" s="800">
        <v>0</v>
      </c>
      <c r="R59" s="795"/>
      <c r="S59" s="800">
        <v>0</v>
      </c>
      <c r="T59" s="799"/>
      <c r="U59" s="801">
        <v>0</v>
      </c>
    </row>
    <row r="60" spans="1:21" ht="14.4" customHeight="1" x14ac:dyDescent="0.3">
      <c r="A60" s="794">
        <v>31</v>
      </c>
      <c r="B60" s="795" t="s">
        <v>592</v>
      </c>
      <c r="C60" s="795" t="s">
        <v>1511</v>
      </c>
      <c r="D60" s="796" t="s">
        <v>2054</v>
      </c>
      <c r="E60" s="797" t="s">
        <v>1526</v>
      </c>
      <c r="F60" s="795" t="s">
        <v>1510</v>
      </c>
      <c r="G60" s="795" t="s">
        <v>1548</v>
      </c>
      <c r="H60" s="795" t="s">
        <v>593</v>
      </c>
      <c r="I60" s="795" t="s">
        <v>1549</v>
      </c>
      <c r="J60" s="795" t="s">
        <v>1550</v>
      </c>
      <c r="K60" s="795" t="s">
        <v>1551</v>
      </c>
      <c r="L60" s="798">
        <v>35.130000000000003</v>
      </c>
      <c r="M60" s="798">
        <v>70.260000000000005</v>
      </c>
      <c r="N60" s="795">
        <v>2</v>
      </c>
      <c r="O60" s="799">
        <v>1</v>
      </c>
      <c r="P60" s="798">
        <v>70.260000000000005</v>
      </c>
      <c r="Q60" s="800">
        <v>1</v>
      </c>
      <c r="R60" s="795">
        <v>2</v>
      </c>
      <c r="S60" s="800">
        <v>1</v>
      </c>
      <c r="T60" s="799">
        <v>1</v>
      </c>
      <c r="U60" s="801">
        <v>1</v>
      </c>
    </row>
    <row r="61" spans="1:21" ht="14.4" customHeight="1" x14ac:dyDescent="0.3">
      <c r="A61" s="794">
        <v>31</v>
      </c>
      <c r="B61" s="795" t="s">
        <v>592</v>
      </c>
      <c r="C61" s="795" t="s">
        <v>1511</v>
      </c>
      <c r="D61" s="796" t="s">
        <v>2054</v>
      </c>
      <c r="E61" s="797" t="s">
        <v>1526</v>
      </c>
      <c r="F61" s="795" t="s">
        <v>1510</v>
      </c>
      <c r="G61" s="795" t="s">
        <v>1589</v>
      </c>
      <c r="H61" s="795" t="s">
        <v>593</v>
      </c>
      <c r="I61" s="795" t="s">
        <v>1596</v>
      </c>
      <c r="J61" s="795" t="s">
        <v>1597</v>
      </c>
      <c r="K61" s="795" t="s">
        <v>1598</v>
      </c>
      <c r="L61" s="798">
        <v>492.18</v>
      </c>
      <c r="M61" s="798">
        <v>492.18</v>
      </c>
      <c r="N61" s="795">
        <v>1</v>
      </c>
      <c r="O61" s="799">
        <v>1</v>
      </c>
      <c r="P61" s="798">
        <v>492.18</v>
      </c>
      <c r="Q61" s="800">
        <v>1</v>
      </c>
      <c r="R61" s="795">
        <v>1</v>
      </c>
      <c r="S61" s="800">
        <v>1</v>
      </c>
      <c r="T61" s="799">
        <v>1</v>
      </c>
      <c r="U61" s="801">
        <v>1</v>
      </c>
    </row>
    <row r="62" spans="1:21" ht="14.4" customHeight="1" x14ac:dyDescent="0.3">
      <c r="A62" s="794">
        <v>31</v>
      </c>
      <c r="B62" s="795" t="s">
        <v>592</v>
      </c>
      <c r="C62" s="795" t="s">
        <v>1511</v>
      </c>
      <c r="D62" s="796" t="s">
        <v>2054</v>
      </c>
      <c r="E62" s="797" t="s">
        <v>1527</v>
      </c>
      <c r="F62" s="795" t="s">
        <v>1508</v>
      </c>
      <c r="G62" s="795" t="s">
        <v>1539</v>
      </c>
      <c r="H62" s="795" t="s">
        <v>912</v>
      </c>
      <c r="I62" s="795" t="s">
        <v>1540</v>
      </c>
      <c r="J62" s="795" t="s">
        <v>977</v>
      </c>
      <c r="K62" s="795" t="s">
        <v>1414</v>
      </c>
      <c r="L62" s="798">
        <v>490.89</v>
      </c>
      <c r="M62" s="798">
        <v>4418.01</v>
      </c>
      <c r="N62" s="795">
        <v>9</v>
      </c>
      <c r="O62" s="799">
        <v>1.5</v>
      </c>
      <c r="P62" s="798">
        <v>4418.01</v>
      </c>
      <c r="Q62" s="800">
        <v>1</v>
      </c>
      <c r="R62" s="795">
        <v>9</v>
      </c>
      <c r="S62" s="800">
        <v>1</v>
      </c>
      <c r="T62" s="799">
        <v>1.5</v>
      </c>
      <c r="U62" s="801">
        <v>1</v>
      </c>
    </row>
    <row r="63" spans="1:21" ht="14.4" customHeight="1" x14ac:dyDescent="0.3">
      <c r="A63" s="794">
        <v>31</v>
      </c>
      <c r="B63" s="795" t="s">
        <v>592</v>
      </c>
      <c r="C63" s="795" t="s">
        <v>1511</v>
      </c>
      <c r="D63" s="796" t="s">
        <v>2054</v>
      </c>
      <c r="E63" s="797" t="s">
        <v>1527</v>
      </c>
      <c r="F63" s="795" t="s">
        <v>1508</v>
      </c>
      <c r="G63" s="795" t="s">
        <v>1539</v>
      </c>
      <c r="H63" s="795" t="s">
        <v>912</v>
      </c>
      <c r="I63" s="795" t="s">
        <v>1552</v>
      </c>
      <c r="J63" s="795" t="s">
        <v>977</v>
      </c>
      <c r="K63" s="795" t="s">
        <v>1413</v>
      </c>
      <c r="L63" s="798">
        <v>736.33</v>
      </c>
      <c r="M63" s="798">
        <v>3681.65</v>
      </c>
      <c r="N63" s="795">
        <v>5</v>
      </c>
      <c r="O63" s="799">
        <v>1.5</v>
      </c>
      <c r="P63" s="798">
        <v>2945.32</v>
      </c>
      <c r="Q63" s="800">
        <v>0.8</v>
      </c>
      <c r="R63" s="795">
        <v>4</v>
      </c>
      <c r="S63" s="800">
        <v>0.8</v>
      </c>
      <c r="T63" s="799">
        <v>1</v>
      </c>
      <c r="U63" s="801">
        <v>0.66666666666666663</v>
      </c>
    </row>
    <row r="64" spans="1:21" ht="14.4" customHeight="1" x14ac:dyDescent="0.3">
      <c r="A64" s="794">
        <v>31</v>
      </c>
      <c r="B64" s="795" t="s">
        <v>592</v>
      </c>
      <c r="C64" s="795" t="s">
        <v>1511</v>
      </c>
      <c r="D64" s="796" t="s">
        <v>2054</v>
      </c>
      <c r="E64" s="797" t="s">
        <v>1527</v>
      </c>
      <c r="F64" s="795" t="s">
        <v>1508</v>
      </c>
      <c r="G64" s="795" t="s">
        <v>1541</v>
      </c>
      <c r="H64" s="795" t="s">
        <v>912</v>
      </c>
      <c r="I64" s="795" t="s">
        <v>929</v>
      </c>
      <c r="J64" s="795" t="s">
        <v>1453</v>
      </c>
      <c r="K64" s="795" t="s">
        <v>1454</v>
      </c>
      <c r="L64" s="798">
        <v>0</v>
      </c>
      <c r="M64" s="798">
        <v>0</v>
      </c>
      <c r="N64" s="795">
        <v>19</v>
      </c>
      <c r="O64" s="799">
        <v>14</v>
      </c>
      <c r="P64" s="798">
        <v>0</v>
      </c>
      <c r="Q64" s="800"/>
      <c r="R64" s="795">
        <v>10</v>
      </c>
      <c r="S64" s="800">
        <v>0.52631578947368418</v>
      </c>
      <c r="T64" s="799">
        <v>7.5</v>
      </c>
      <c r="U64" s="801">
        <v>0.5357142857142857</v>
      </c>
    </row>
    <row r="65" spans="1:21" ht="14.4" customHeight="1" x14ac:dyDescent="0.3">
      <c r="A65" s="794">
        <v>31</v>
      </c>
      <c r="B65" s="795" t="s">
        <v>592</v>
      </c>
      <c r="C65" s="795" t="s">
        <v>1511</v>
      </c>
      <c r="D65" s="796" t="s">
        <v>2054</v>
      </c>
      <c r="E65" s="797" t="s">
        <v>1527</v>
      </c>
      <c r="F65" s="795" t="s">
        <v>1508</v>
      </c>
      <c r="G65" s="795" t="s">
        <v>1542</v>
      </c>
      <c r="H65" s="795" t="s">
        <v>593</v>
      </c>
      <c r="I65" s="795" t="s">
        <v>1020</v>
      </c>
      <c r="J65" s="795" t="s">
        <v>1017</v>
      </c>
      <c r="K65" s="795" t="s">
        <v>1543</v>
      </c>
      <c r="L65" s="798">
        <v>186.27</v>
      </c>
      <c r="M65" s="798">
        <v>931.35000000000014</v>
      </c>
      <c r="N65" s="795">
        <v>5</v>
      </c>
      <c r="O65" s="799">
        <v>2</v>
      </c>
      <c r="P65" s="798">
        <v>372.54</v>
      </c>
      <c r="Q65" s="800">
        <v>0.39999999999999997</v>
      </c>
      <c r="R65" s="795">
        <v>2</v>
      </c>
      <c r="S65" s="800">
        <v>0.4</v>
      </c>
      <c r="T65" s="799">
        <v>1</v>
      </c>
      <c r="U65" s="801">
        <v>0.5</v>
      </c>
    </row>
    <row r="66" spans="1:21" ht="14.4" customHeight="1" x14ac:dyDescent="0.3">
      <c r="A66" s="794">
        <v>31</v>
      </c>
      <c r="B66" s="795" t="s">
        <v>592</v>
      </c>
      <c r="C66" s="795" t="s">
        <v>1511</v>
      </c>
      <c r="D66" s="796" t="s">
        <v>2054</v>
      </c>
      <c r="E66" s="797" t="s">
        <v>1527</v>
      </c>
      <c r="F66" s="795" t="s">
        <v>1510</v>
      </c>
      <c r="G66" s="795" t="s">
        <v>1548</v>
      </c>
      <c r="H66" s="795" t="s">
        <v>593</v>
      </c>
      <c r="I66" s="795" t="s">
        <v>1549</v>
      </c>
      <c r="J66" s="795" t="s">
        <v>1550</v>
      </c>
      <c r="K66" s="795" t="s">
        <v>1551</v>
      </c>
      <c r="L66" s="798">
        <v>35.130000000000003</v>
      </c>
      <c r="M66" s="798">
        <v>1194.42</v>
      </c>
      <c r="N66" s="795">
        <v>34</v>
      </c>
      <c r="O66" s="799">
        <v>17</v>
      </c>
      <c r="P66" s="798">
        <v>1124.1600000000001</v>
      </c>
      <c r="Q66" s="800">
        <v>0.94117647058823528</v>
      </c>
      <c r="R66" s="795">
        <v>32</v>
      </c>
      <c r="S66" s="800">
        <v>0.94117647058823528</v>
      </c>
      <c r="T66" s="799">
        <v>16</v>
      </c>
      <c r="U66" s="801">
        <v>0.94117647058823528</v>
      </c>
    </row>
    <row r="67" spans="1:21" ht="14.4" customHeight="1" x14ac:dyDescent="0.3">
      <c r="A67" s="794">
        <v>31</v>
      </c>
      <c r="B67" s="795" t="s">
        <v>592</v>
      </c>
      <c r="C67" s="795" t="s">
        <v>1511</v>
      </c>
      <c r="D67" s="796" t="s">
        <v>2054</v>
      </c>
      <c r="E67" s="797" t="s">
        <v>1527</v>
      </c>
      <c r="F67" s="795" t="s">
        <v>1510</v>
      </c>
      <c r="G67" s="795" t="s">
        <v>1589</v>
      </c>
      <c r="H67" s="795" t="s">
        <v>593</v>
      </c>
      <c r="I67" s="795" t="s">
        <v>1602</v>
      </c>
      <c r="J67" s="795" t="s">
        <v>1603</v>
      </c>
      <c r="K67" s="795" t="s">
        <v>1604</v>
      </c>
      <c r="L67" s="798">
        <v>971.25</v>
      </c>
      <c r="M67" s="798">
        <v>1942.5</v>
      </c>
      <c r="N67" s="795">
        <v>2</v>
      </c>
      <c r="O67" s="799">
        <v>2</v>
      </c>
      <c r="P67" s="798">
        <v>1942.5</v>
      </c>
      <c r="Q67" s="800">
        <v>1</v>
      </c>
      <c r="R67" s="795">
        <v>2</v>
      </c>
      <c r="S67" s="800">
        <v>1</v>
      </c>
      <c r="T67" s="799">
        <v>2</v>
      </c>
      <c r="U67" s="801">
        <v>1</v>
      </c>
    </row>
    <row r="68" spans="1:21" ht="14.4" customHeight="1" x14ac:dyDescent="0.3">
      <c r="A68" s="794">
        <v>31</v>
      </c>
      <c r="B68" s="795" t="s">
        <v>592</v>
      </c>
      <c r="C68" s="795" t="s">
        <v>1511</v>
      </c>
      <c r="D68" s="796" t="s">
        <v>2054</v>
      </c>
      <c r="E68" s="797" t="s">
        <v>1527</v>
      </c>
      <c r="F68" s="795" t="s">
        <v>1510</v>
      </c>
      <c r="G68" s="795" t="s">
        <v>1589</v>
      </c>
      <c r="H68" s="795" t="s">
        <v>593</v>
      </c>
      <c r="I68" s="795" t="s">
        <v>1605</v>
      </c>
      <c r="J68" s="795" t="s">
        <v>1606</v>
      </c>
      <c r="K68" s="795" t="s">
        <v>1607</v>
      </c>
      <c r="L68" s="798">
        <v>350</v>
      </c>
      <c r="M68" s="798">
        <v>350</v>
      </c>
      <c r="N68" s="795">
        <v>1</v>
      </c>
      <c r="O68" s="799">
        <v>1</v>
      </c>
      <c r="P68" s="798">
        <v>350</v>
      </c>
      <c r="Q68" s="800">
        <v>1</v>
      </c>
      <c r="R68" s="795">
        <v>1</v>
      </c>
      <c r="S68" s="800">
        <v>1</v>
      </c>
      <c r="T68" s="799">
        <v>1</v>
      </c>
      <c r="U68" s="801">
        <v>1</v>
      </c>
    </row>
    <row r="69" spans="1:21" ht="14.4" customHeight="1" x14ac:dyDescent="0.3">
      <c r="A69" s="794">
        <v>31</v>
      </c>
      <c r="B69" s="795" t="s">
        <v>592</v>
      </c>
      <c r="C69" s="795" t="s">
        <v>1511</v>
      </c>
      <c r="D69" s="796" t="s">
        <v>2054</v>
      </c>
      <c r="E69" s="797" t="s">
        <v>1527</v>
      </c>
      <c r="F69" s="795" t="s">
        <v>1510</v>
      </c>
      <c r="G69" s="795" t="s">
        <v>1617</v>
      </c>
      <c r="H69" s="795" t="s">
        <v>593</v>
      </c>
      <c r="I69" s="795" t="s">
        <v>1621</v>
      </c>
      <c r="J69" s="795" t="s">
        <v>1622</v>
      </c>
      <c r="K69" s="795" t="s">
        <v>1623</v>
      </c>
      <c r="L69" s="798">
        <v>200</v>
      </c>
      <c r="M69" s="798">
        <v>1200</v>
      </c>
      <c r="N69" s="795">
        <v>6</v>
      </c>
      <c r="O69" s="799">
        <v>3</v>
      </c>
      <c r="P69" s="798">
        <v>1200</v>
      </c>
      <c r="Q69" s="800">
        <v>1</v>
      </c>
      <c r="R69" s="795">
        <v>6</v>
      </c>
      <c r="S69" s="800">
        <v>1</v>
      </c>
      <c r="T69" s="799">
        <v>3</v>
      </c>
      <c r="U69" s="801">
        <v>1</v>
      </c>
    </row>
    <row r="70" spans="1:21" ht="14.4" customHeight="1" x14ac:dyDescent="0.3">
      <c r="A70" s="794">
        <v>31</v>
      </c>
      <c r="B70" s="795" t="s">
        <v>592</v>
      </c>
      <c r="C70" s="795" t="s">
        <v>1511</v>
      </c>
      <c r="D70" s="796" t="s">
        <v>2054</v>
      </c>
      <c r="E70" s="797" t="s">
        <v>1529</v>
      </c>
      <c r="F70" s="795" t="s">
        <v>1508</v>
      </c>
      <c r="G70" s="795" t="s">
        <v>1539</v>
      </c>
      <c r="H70" s="795" t="s">
        <v>912</v>
      </c>
      <c r="I70" s="795" t="s">
        <v>1540</v>
      </c>
      <c r="J70" s="795" t="s">
        <v>977</v>
      </c>
      <c r="K70" s="795" t="s">
        <v>1414</v>
      </c>
      <c r="L70" s="798">
        <v>490.89</v>
      </c>
      <c r="M70" s="798">
        <v>3927.12</v>
      </c>
      <c r="N70" s="795">
        <v>8</v>
      </c>
      <c r="O70" s="799">
        <v>1</v>
      </c>
      <c r="P70" s="798">
        <v>3927.12</v>
      </c>
      <c r="Q70" s="800">
        <v>1</v>
      </c>
      <c r="R70" s="795">
        <v>8</v>
      </c>
      <c r="S70" s="800">
        <v>1</v>
      </c>
      <c r="T70" s="799">
        <v>1</v>
      </c>
      <c r="U70" s="801">
        <v>1</v>
      </c>
    </row>
    <row r="71" spans="1:21" ht="14.4" customHeight="1" x14ac:dyDescent="0.3">
      <c r="A71" s="794">
        <v>31</v>
      </c>
      <c r="B71" s="795" t="s">
        <v>592</v>
      </c>
      <c r="C71" s="795" t="s">
        <v>1511</v>
      </c>
      <c r="D71" s="796" t="s">
        <v>2054</v>
      </c>
      <c r="E71" s="797" t="s">
        <v>1529</v>
      </c>
      <c r="F71" s="795" t="s">
        <v>1508</v>
      </c>
      <c r="G71" s="795" t="s">
        <v>1541</v>
      </c>
      <c r="H71" s="795" t="s">
        <v>912</v>
      </c>
      <c r="I71" s="795" t="s">
        <v>929</v>
      </c>
      <c r="J71" s="795" t="s">
        <v>1453</v>
      </c>
      <c r="K71" s="795" t="s">
        <v>1454</v>
      </c>
      <c r="L71" s="798">
        <v>0</v>
      </c>
      <c r="M71" s="798">
        <v>0</v>
      </c>
      <c r="N71" s="795">
        <v>2</v>
      </c>
      <c r="O71" s="799">
        <v>1</v>
      </c>
      <c r="P71" s="798">
        <v>0</v>
      </c>
      <c r="Q71" s="800"/>
      <c r="R71" s="795">
        <v>2</v>
      </c>
      <c r="S71" s="800">
        <v>1</v>
      </c>
      <c r="T71" s="799">
        <v>1</v>
      </c>
      <c r="U71" s="801">
        <v>1</v>
      </c>
    </row>
    <row r="72" spans="1:21" ht="14.4" customHeight="1" x14ac:dyDescent="0.3">
      <c r="A72" s="794">
        <v>31</v>
      </c>
      <c r="B72" s="795" t="s">
        <v>592</v>
      </c>
      <c r="C72" s="795" t="s">
        <v>1511</v>
      </c>
      <c r="D72" s="796" t="s">
        <v>2054</v>
      </c>
      <c r="E72" s="797" t="s">
        <v>1530</v>
      </c>
      <c r="F72" s="795" t="s">
        <v>1508</v>
      </c>
      <c r="G72" s="795" t="s">
        <v>1553</v>
      </c>
      <c r="H72" s="795" t="s">
        <v>912</v>
      </c>
      <c r="I72" s="795" t="s">
        <v>1064</v>
      </c>
      <c r="J72" s="795" t="s">
        <v>971</v>
      </c>
      <c r="K72" s="795" t="s">
        <v>1437</v>
      </c>
      <c r="L72" s="798">
        <v>154.36000000000001</v>
      </c>
      <c r="M72" s="798">
        <v>308.72000000000003</v>
      </c>
      <c r="N72" s="795">
        <v>2</v>
      </c>
      <c r="O72" s="799">
        <v>1.5</v>
      </c>
      <c r="P72" s="798">
        <v>308.72000000000003</v>
      </c>
      <c r="Q72" s="800">
        <v>1</v>
      </c>
      <c r="R72" s="795">
        <v>2</v>
      </c>
      <c r="S72" s="800">
        <v>1</v>
      </c>
      <c r="T72" s="799">
        <v>1.5</v>
      </c>
      <c r="U72" s="801">
        <v>1</v>
      </c>
    </row>
    <row r="73" spans="1:21" ht="14.4" customHeight="1" x14ac:dyDescent="0.3">
      <c r="A73" s="794">
        <v>31</v>
      </c>
      <c r="B73" s="795" t="s">
        <v>592</v>
      </c>
      <c r="C73" s="795" t="s">
        <v>1511</v>
      </c>
      <c r="D73" s="796" t="s">
        <v>2054</v>
      </c>
      <c r="E73" s="797" t="s">
        <v>1530</v>
      </c>
      <c r="F73" s="795" t="s">
        <v>1508</v>
      </c>
      <c r="G73" s="795" t="s">
        <v>1631</v>
      </c>
      <c r="H73" s="795" t="s">
        <v>593</v>
      </c>
      <c r="I73" s="795" t="s">
        <v>1050</v>
      </c>
      <c r="J73" s="795" t="s">
        <v>1632</v>
      </c>
      <c r="K73" s="795" t="s">
        <v>1633</v>
      </c>
      <c r="L73" s="798">
        <v>0</v>
      </c>
      <c r="M73" s="798">
        <v>0</v>
      </c>
      <c r="N73" s="795">
        <v>1</v>
      </c>
      <c r="O73" s="799">
        <v>0.5</v>
      </c>
      <c r="P73" s="798">
        <v>0</v>
      </c>
      <c r="Q73" s="800"/>
      <c r="R73" s="795">
        <v>1</v>
      </c>
      <c r="S73" s="800">
        <v>1</v>
      </c>
      <c r="T73" s="799">
        <v>0.5</v>
      </c>
      <c r="U73" s="801">
        <v>1</v>
      </c>
    </row>
    <row r="74" spans="1:21" ht="14.4" customHeight="1" x14ac:dyDescent="0.3">
      <c r="A74" s="794">
        <v>31</v>
      </c>
      <c r="B74" s="795" t="s">
        <v>592</v>
      </c>
      <c r="C74" s="795" t="s">
        <v>1511</v>
      </c>
      <c r="D74" s="796" t="s">
        <v>2054</v>
      </c>
      <c r="E74" s="797" t="s">
        <v>1530</v>
      </c>
      <c r="F74" s="795" t="s">
        <v>1508</v>
      </c>
      <c r="G74" s="795" t="s">
        <v>1634</v>
      </c>
      <c r="H74" s="795" t="s">
        <v>593</v>
      </c>
      <c r="I74" s="795" t="s">
        <v>1635</v>
      </c>
      <c r="J74" s="795" t="s">
        <v>1636</v>
      </c>
      <c r="K74" s="795" t="s">
        <v>1637</v>
      </c>
      <c r="L74" s="798">
        <v>0</v>
      </c>
      <c r="M74" s="798">
        <v>0</v>
      </c>
      <c r="N74" s="795">
        <v>1</v>
      </c>
      <c r="O74" s="799">
        <v>1</v>
      </c>
      <c r="P74" s="798">
        <v>0</v>
      </c>
      <c r="Q74" s="800"/>
      <c r="R74" s="795">
        <v>1</v>
      </c>
      <c r="S74" s="800">
        <v>1</v>
      </c>
      <c r="T74" s="799">
        <v>1</v>
      </c>
      <c r="U74" s="801">
        <v>1</v>
      </c>
    </row>
    <row r="75" spans="1:21" ht="14.4" customHeight="1" x14ac:dyDescent="0.3">
      <c r="A75" s="794">
        <v>31</v>
      </c>
      <c r="B75" s="795" t="s">
        <v>592</v>
      </c>
      <c r="C75" s="795" t="s">
        <v>1511</v>
      </c>
      <c r="D75" s="796" t="s">
        <v>2054</v>
      </c>
      <c r="E75" s="797" t="s">
        <v>1530</v>
      </c>
      <c r="F75" s="795" t="s">
        <v>1508</v>
      </c>
      <c r="G75" s="795" t="s">
        <v>1638</v>
      </c>
      <c r="H75" s="795" t="s">
        <v>593</v>
      </c>
      <c r="I75" s="795" t="s">
        <v>1639</v>
      </c>
      <c r="J75" s="795" t="s">
        <v>1640</v>
      </c>
      <c r="K75" s="795" t="s">
        <v>1641</v>
      </c>
      <c r="L75" s="798">
        <v>0</v>
      </c>
      <c r="M75" s="798">
        <v>0</v>
      </c>
      <c r="N75" s="795">
        <v>1</v>
      </c>
      <c r="O75" s="799">
        <v>0.5</v>
      </c>
      <c r="P75" s="798">
        <v>0</v>
      </c>
      <c r="Q75" s="800"/>
      <c r="R75" s="795">
        <v>1</v>
      </c>
      <c r="S75" s="800">
        <v>1</v>
      </c>
      <c r="T75" s="799">
        <v>0.5</v>
      </c>
      <c r="U75" s="801">
        <v>1</v>
      </c>
    </row>
    <row r="76" spans="1:21" ht="14.4" customHeight="1" x14ac:dyDescent="0.3">
      <c r="A76" s="794">
        <v>31</v>
      </c>
      <c r="B76" s="795" t="s">
        <v>592</v>
      </c>
      <c r="C76" s="795" t="s">
        <v>1511</v>
      </c>
      <c r="D76" s="796" t="s">
        <v>2054</v>
      </c>
      <c r="E76" s="797" t="s">
        <v>1530</v>
      </c>
      <c r="F76" s="795" t="s">
        <v>1508</v>
      </c>
      <c r="G76" s="795" t="s">
        <v>1537</v>
      </c>
      <c r="H76" s="795" t="s">
        <v>593</v>
      </c>
      <c r="I76" s="795" t="s">
        <v>747</v>
      </c>
      <c r="J76" s="795" t="s">
        <v>748</v>
      </c>
      <c r="K76" s="795" t="s">
        <v>1538</v>
      </c>
      <c r="L76" s="798">
        <v>0</v>
      </c>
      <c r="M76" s="798">
        <v>0</v>
      </c>
      <c r="N76" s="795">
        <v>3</v>
      </c>
      <c r="O76" s="799">
        <v>1</v>
      </c>
      <c r="P76" s="798"/>
      <c r="Q76" s="800"/>
      <c r="R76" s="795"/>
      <c r="S76" s="800">
        <v>0</v>
      </c>
      <c r="T76" s="799"/>
      <c r="U76" s="801">
        <v>0</v>
      </c>
    </row>
    <row r="77" spans="1:21" ht="14.4" customHeight="1" x14ac:dyDescent="0.3">
      <c r="A77" s="794">
        <v>31</v>
      </c>
      <c r="B77" s="795" t="s">
        <v>592</v>
      </c>
      <c r="C77" s="795" t="s">
        <v>1511</v>
      </c>
      <c r="D77" s="796" t="s">
        <v>2054</v>
      </c>
      <c r="E77" s="797" t="s">
        <v>1530</v>
      </c>
      <c r="F77" s="795" t="s">
        <v>1508</v>
      </c>
      <c r="G77" s="795" t="s">
        <v>1561</v>
      </c>
      <c r="H77" s="795" t="s">
        <v>593</v>
      </c>
      <c r="I77" s="795" t="s">
        <v>1642</v>
      </c>
      <c r="J77" s="795" t="s">
        <v>1563</v>
      </c>
      <c r="K77" s="795" t="s">
        <v>1643</v>
      </c>
      <c r="L77" s="798">
        <v>0</v>
      </c>
      <c r="M77" s="798">
        <v>0</v>
      </c>
      <c r="N77" s="795">
        <v>1</v>
      </c>
      <c r="O77" s="799">
        <v>0.5</v>
      </c>
      <c r="P77" s="798"/>
      <c r="Q77" s="800"/>
      <c r="R77" s="795"/>
      <c r="S77" s="800">
        <v>0</v>
      </c>
      <c r="T77" s="799"/>
      <c r="U77" s="801">
        <v>0</v>
      </c>
    </row>
    <row r="78" spans="1:21" ht="14.4" customHeight="1" x14ac:dyDescent="0.3">
      <c r="A78" s="794">
        <v>31</v>
      </c>
      <c r="B78" s="795" t="s">
        <v>592</v>
      </c>
      <c r="C78" s="795" t="s">
        <v>1511</v>
      </c>
      <c r="D78" s="796" t="s">
        <v>2054</v>
      </c>
      <c r="E78" s="797" t="s">
        <v>1530</v>
      </c>
      <c r="F78" s="795" t="s">
        <v>1508</v>
      </c>
      <c r="G78" s="795" t="s">
        <v>1539</v>
      </c>
      <c r="H78" s="795" t="s">
        <v>912</v>
      </c>
      <c r="I78" s="795" t="s">
        <v>1540</v>
      </c>
      <c r="J78" s="795" t="s">
        <v>977</v>
      </c>
      <c r="K78" s="795" t="s">
        <v>1414</v>
      </c>
      <c r="L78" s="798">
        <v>490.89</v>
      </c>
      <c r="M78" s="798">
        <v>21108.27</v>
      </c>
      <c r="N78" s="795">
        <v>43</v>
      </c>
      <c r="O78" s="799">
        <v>11</v>
      </c>
      <c r="P78" s="798">
        <v>19144.71</v>
      </c>
      <c r="Q78" s="800">
        <v>0.90697674418604646</v>
      </c>
      <c r="R78" s="795">
        <v>39</v>
      </c>
      <c r="S78" s="800">
        <v>0.90697674418604646</v>
      </c>
      <c r="T78" s="799">
        <v>9.5</v>
      </c>
      <c r="U78" s="801">
        <v>0.86363636363636365</v>
      </c>
    </row>
    <row r="79" spans="1:21" ht="14.4" customHeight="1" x14ac:dyDescent="0.3">
      <c r="A79" s="794">
        <v>31</v>
      </c>
      <c r="B79" s="795" t="s">
        <v>592</v>
      </c>
      <c r="C79" s="795" t="s">
        <v>1511</v>
      </c>
      <c r="D79" s="796" t="s">
        <v>2054</v>
      </c>
      <c r="E79" s="797" t="s">
        <v>1530</v>
      </c>
      <c r="F79" s="795" t="s">
        <v>1508</v>
      </c>
      <c r="G79" s="795" t="s">
        <v>1539</v>
      </c>
      <c r="H79" s="795" t="s">
        <v>912</v>
      </c>
      <c r="I79" s="795" t="s">
        <v>1552</v>
      </c>
      <c r="J79" s="795" t="s">
        <v>977</v>
      </c>
      <c r="K79" s="795" t="s">
        <v>1413</v>
      </c>
      <c r="L79" s="798">
        <v>736.33</v>
      </c>
      <c r="M79" s="798">
        <v>21353.570000000007</v>
      </c>
      <c r="N79" s="795">
        <v>29</v>
      </c>
      <c r="O79" s="799">
        <v>6.5</v>
      </c>
      <c r="P79" s="798">
        <v>20617.240000000005</v>
      </c>
      <c r="Q79" s="800">
        <v>0.96551724137931028</v>
      </c>
      <c r="R79" s="795">
        <v>28</v>
      </c>
      <c r="S79" s="800">
        <v>0.96551724137931039</v>
      </c>
      <c r="T79" s="799">
        <v>6</v>
      </c>
      <c r="U79" s="801">
        <v>0.92307692307692313</v>
      </c>
    </row>
    <row r="80" spans="1:21" ht="14.4" customHeight="1" x14ac:dyDescent="0.3">
      <c r="A80" s="794">
        <v>31</v>
      </c>
      <c r="B80" s="795" t="s">
        <v>592</v>
      </c>
      <c r="C80" s="795" t="s">
        <v>1511</v>
      </c>
      <c r="D80" s="796" t="s">
        <v>2054</v>
      </c>
      <c r="E80" s="797" t="s">
        <v>1530</v>
      </c>
      <c r="F80" s="795" t="s">
        <v>1508</v>
      </c>
      <c r="G80" s="795" t="s">
        <v>1573</v>
      </c>
      <c r="H80" s="795" t="s">
        <v>912</v>
      </c>
      <c r="I80" s="795" t="s">
        <v>1574</v>
      </c>
      <c r="J80" s="795" t="s">
        <v>622</v>
      </c>
      <c r="K80" s="795" t="s">
        <v>1448</v>
      </c>
      <c r="L80" s="798">
        <v>48.42</v>
      </c>
      <c r="M80" s="798">
        <v>96.84</v>
      </c>
      <c r="N80" s="795">
        <v>2</v>
      </c>
      <c r="O80" s="799">
        <v>2</v>
      </c>
      <c r="P80" s="798"/>
      <c r="Q80" s="800">
        <v>0</v>
      </c>
      <c r="R80" s="795"/>
      <c r="S80" s="800">
        <v>0</v>
      </c>
      <c r="T80" s="799"/>
      <c r="U80" s="801">
        <v>0</v>
      </c>
    </row>
    <row r="81" spans="1:21" ht="14.4" customHeight="1" x14ac:dyDescent="0.3">
      <c r="A81" s="794">
        <v>31</v>
      </c>
      <c r="B81" s="795" t="s">
        <v>592</v>
      </c>
      <c r="C81" s="795" t="s">
        <v>1511</v>
      </c>
      <c r="D81" s="796" t="s">
        <v>2054</v>
      </c>
      <c r="E81" s="797" t="s">
        <v>1530</v>
      </c>
      <c r="F81" s="795" t="s">
        <v>1508</v>
      </c>
      <c r="G81" s="795" t="s">
        <v>1644</v>
      </c>
      <c r="H81" s="795" t="s">
        <v>593</v>
      </c>
      <c r="I81" s="795" t="s">
        <v>1645</v>
      </c>
      <c r="J81" s="795" t="s">
        <v>1646</v>
      </c>
      <c r="K81" s="795" t="s">
        <v>1647</v>
      </c>
      <c r="L81" s="798">
        <v>34.659999999999997</v>
      </c>
      <c r="M81" s="798">
        <v>34.659999999999997</v>
      </c>
      <c r="N81" s="795">
        <v>1</v>
      </c>
      <c r="O81" s="799">
        <v>0.5</v>
      </c>
      <c r="P81" s="798">
        <v>34.659999999999997</v>
      </c>
      <c r="Q81" s="800">
        <v>1</v>
      </c>
      <c r="R81" s="795">
        <v>1</v>
      </c>
      <c r="S81" s="800">
        <v>1</v>
      </c>
      <c r="T81" s="799">
        <v>0.5</v>
      </c>
      <c r="U81" s="801">
        <v>1</v>
      </c>
    </row>
    <row r="82" spans="1:21" ht="14.4" customHeight="1" x14ac:dyDescent="0.3">
      <c r="A82" s="794">
        <v>31</v>
      </c>
      <c r="B82" s="795" t="s">
        <v>592</v>
      </c>
      <c r="C82" s="795" t="s">
        <v>1511</v>
      </c>
      <c r="D82" s="796" t="s">
        <v>2054</v>
      </c>
      <c r="E82" s="797" t="s">
        <v>1530</v>
      </c>
      <c r="F82" s="795" t="s">
        <v>1508</v>
      </c>
      <c r="G82" s="795" t="s">
        <v>1541</v>
      </c>
      <c r="H82" s="795" t="s">
        <v>912</v>
      </c>
      <c r="I82" s="795" t="s">
        <v>929</v>
      </c>
      <c r="J82" s="795" t="s">
        <v>1453</v>
      </c>
      <c r="K82" s="795" t="s">
        <v>1454</v>
      </c>
      <c r="L82" s="798">
        <v>0</v>
      </c>
      <c r="M82" s="798">
        <v>0</v>
      </c>
      <c r="N82" s="795">
        <v>99</v>
      </c>
      <c r="O82" s="799">
        <v>71.5</v>
      </c>
      <c r="P82" s="798">
        <v>0</v>
      </c>
      <c r="Q82" s="800"/>
      <c r="R82" s="795">
        <v>57</v>
      </c>
      <c r="S82" s="800">
        <v>0.5757575757575758</v>
      </c>
      <c r="T82" s="799">
        <v>36</v>
      </c>
      <c r="U82" s="801">
        <v>0.50349650349650354</v>
      </c>
    </row>
    <row r="83" spans="1:21" ht="14.4" customHeight="1" x14ac:dyDescent="0.3">
      <c r="A83" s="794">
        <v>31</v>
      </c>
      <c r="B83" s="795" t="s">
        <v>592</v>
      </c>
      <c r="C83" s="795" t="s">
        <v>1511</v>
      </c>
      <c r="D83" s="796" t="s">
        <v>2054</v>
      </c>
      <c r="E83" s="797" t="s">
        <v>1530</v>
      </c>
      <c r="F83" s="795" t="s">
        <v>1508</v>
      </c>
      <c r="G83" s="795" t="s">
        <v>1542</v>
      </c>
      <c r="H83" s="795" t="s">
        <v>593</v>
      </c>
      <c r="I83" s="795" t="s">
        <v>1020</v>
      </c>
      <c r="J83" s="795" t="s">
        <v>1017</v>
      </c>
      <c r="K83" s="795" t="s">
        <v>1543</v>
      </c>
      <c r="L83" s="798">
        <v>186.27</v>
      </c>
      <c r="M83" s="798">
        <v>558.81000000000006</v>
      </c>
      <c r="N83" s="795">
        <v>3</v>
      </c>
      <c r="O83" s="799">
        <v>2.5</v>
      </c>
      <c r="P83" s="798">
        <v>558.81000000000006</v>
      </c>
      <c r="Q83" s="800">
        <v>1</v>
      </c>
      <c r="R83" s="795">
        <v>3</v>
      </c>
      <c r="S83" s="800">
        <v>1</v>
      </c>
      <c r="T83" s="799">
        <v>2.5</v>
      </c>
      <c r="U83" s="801">
        <v>1</v>
      </c>
    </row>
    <row r="84" spans="1:21" ht="14.4" customHeight="1" x14ac:dyDescent="0.3">
      <c r="A84" s="794">
        <v>31</v>
      </c>
      <c r="B84" s="795" t="s">
        <v>592</v>
      </c>
      <c r="C84" s="795" t="s">
        <v>1511</v>
      </c>
      <c r="D84" s="796" t="s">
        <v>2054</v>
      </c>
      <c r="E84" s="797" t="s">
        <v>1530</v>
      </c>
      <c r="F84" s="795" t="s">
        <v>1508</v>
      </c>
      <c r="G84" s="795" t="s">
        <v>1544</v>
      </c>
      <c r="H84" s="795" t="s">
        <v>593</v>
      </c>
      <c r="I84" s="795" t="s">
        <v>1648</v>
      </c>
      <c r="J84" s="795" t="s">
        <v>1546</v>
      </c>
      <c r="K84" s="795" t="s">
        <v>1649</v>
      </c>
      <c r="L84" s="798">
        <v>16.77</v>
      </c>
      <c r="M84" s="798">
        <v>50.31</v>
      </c>
      <c r="N84" s="795">
        <v>3</v>
      </c>
      <c r="O84" s="799">
        <v>2</v>
      </c>
      <c r="P84" s="798">
        <v>33.54</v>
      </c>
      <c r="Q84" s="800">
        <v>0.66666666666666663</v>
      </c>
      <c r="R84" s="795">
        <v>2</v>
      </c>
      <c r="S84" s="800">
        <v>0.66666666666666663</v>
      </c>
      <c r="T84" s="799">
        <v>1</v>
      </c>
      <c r="U84" s="801">
        <v>0.5</v>
      </c>
    </row>
    <row r="85" spans="1:21" ht="14.4" customHeight="1" x14ac:dyDescent="0.3">
      <c r="A85" s="794">
        <v>31</v>
      </c>
      <c r="B85" s="795" t="s">
        <v>592</v>
      </c>
      <c r="C85" s="795" t="s">
        <v>1511</v>
      </c>
      <c r="D85" s="796" t="s">
        <v>2054</v>
      </c>
      <c r="E85" s="797" t="s">
        <v>1530</v>
      </c>
      <c r="F85" s="795" t="s">
        <v>1508</v>
      </c>
      <c r="G85" s="795" t="s">
        <v>1544</v>
      </c>
      <c r="H85" s="795" t="s">
        <v>593</v>
      </c>
      <c r="I85" s="795" t="s">
        <v>1545</v>
      </c>
      <c r="J85" s="795" t="s">
        <v>1546</v>
      </c>
      <c r="K85" s="795" t="s">
        <v>1547</v>
      </c>
      <c r="L85" s="798">
        <v>50.32</v>
      </c>
      <c r="M85" s="798">
        <v>301.92</v>
      </c>
      <c r="N85" s="795">
        <v>6</v>
      </c>
      <c r="O85" s="799">
        <v>5.5</v>
      </c>
      <c r="P85" s="798">
        <v>251.6</v>
      </c>
      <c r="Q85" s="800">
        <v>0.83333333333333326</v>
      </c>
      <c r="R85" s="795">
        <v>5</v>
      </c>
      <c r="S85" s="800">
        <v>0.83333333333333337</v>
      </c>
      <c r="T85" s="799">
        <v>4.5</v>
      </c>
      <c r="U85" s="801">
        <v>0.81818181818181823</v>
      </c>
    </row>
    <row r="86" spans="1:21" ht="14.4" customHeight="1" x14ac:dyDescent="0.3">
      <c r="A86" s="794">
        <v>31</v>
      </c>
      <c r="B86" s="795" t="s">
        <v>592</v>
      </c>
      <c r="C86" s="795" t="s">
        <v>1511</v>
      </c>
      <c r="D86" s="796" t="s">
        <v>2054</v>
      </c>
      <c r="E86" s="797" t="s">
        <v>1530</v>
      </c>
      <c r="F86" s="795" t="s">
        <v>1508</v>
      </c>
      <c r="G86" s="795" t="s">
        <v>1544</v>
      </c>
      <c r="H86" s="795" t="s">
        <v>593</v>
      </c>
      <c r="I86" s="795" t="s">
        <v>1650</v>
      </c>
      <c r="J86" s="795" t="s">
        <v>1274</v>
      </c>
      <c r="K86" s="795" t="s">
        <v>1651</v>
      </c>
      <c r="L86" s="798">
        <v>0</v>
      </c>
      <c r="M86" s="798">
        <v>0</v>
      </c>
      <c r="N86" s="795">
        <v>1</v>
      </c>
      <c r="O86" s="799">
        <v>0.5</v>
      </c>
      <c r="P86" s="798">
        <v>0</v>
      </c>
      <c r="Q86" s="800"/>
      <c r="R86" s="795">
        <v>1</v>
      </c>
      <c r="S86" s="800">
        <v>1</v>
      </c>
      <c r="T86" s="799">
        <v>0.5</v>
      </c>
      <c r="U86" s="801">
        <v>1</v>
      </c>
    </row>
    <row r="87" spans="1:21" ht="14.4" customHeight="1" x14ac:dyDescent="0.3">
      <c r="A87" s="794">
        <v>31</v>
      </c>
      <c r="B87" s="795" t="s">
        <v>592</v>
      </c>
      <c r="C87" s="795" t="s">
        <v>1511</v>
      </c>
      <c r="D87" s="796" t="s">
        <v>2054</v>
      </c>
      <c r="E87" s="797" t="s">
        <v>1530</v>
      </c>
      <c r="F87" s="795" t="s">
        <v>1510</v>
      </c>
      <c r="G87" s="795" t="s">
        <v>1548</v>
      </c>
      <c r="H87" s="795" t="s">
        <v>593</v>
      </c>
      <c r="I87" s="795" t="s">
        <v>1549</v>
      </c>
      <c r="J87" s="795" t="s">
        <v>1550</v>
      </c>
      <c r="K87" s="795" t="s">
        <v>1551</v>
      </c>
      <c r="L87" s="798">
        <v>35.130000000000003</v>
      </c>
      <c r="M87" s="798">
        <v>8360.9400000000187</v>
      </c>
      <c r="N87" s="795">
        <v>238</v>
      </c>
      <c r="O87" s="799">
        <v>114</v>
      </c>
      <c r="P87" s="798">
        <v>8360.9400000000187</v>
      </c>
      <c r="Q87" s="800">
        <v>1</v>
      </c>
      <c r="R87" s="795">
        <v>238</v>
      </c>
      <c r="S87" s="800">
        <v>1</v>
      </c>
      <c r="T87" s="799">
        <v>114</v>
      </c>
      <c r="U87" s="801">
        <v>1</v>
      </c>
    </row>
    <row r="88" spans="1:21" ht="14.4" customHeight="1" x14ac:dyDescent="0.3">
      <c r="A88" s="794">
        <v>31</v>
      </c>
      <c r="B88" s="795" t="s">
        <v>592</v>
      </c>
      <c r="C88" s="795" t="s">
        <v>1511</v>
      </c>
      <c r="D88" s="796" t="s">
        <v>2054</v>
      </c>
      <c r="E88" s="797" t="s">
        <v>1530</v>
      </c>
      <c r="F88" s="795" t="s">
        <v>1510</v>
      </c>
      <c r="G88" s="795" t="s">
        <v>1585</v>
      </c>
      <c r="H88" s="795" t="s">
        <v>593</v>
      </c>
      <c r="I88" s="795" t="s">
        <v>1586</v>
      </c>
      <c r="J88" s="795" t="s">
        <v>1587</v>
      </c>
      <c r="K88" s="795" t="s">
        <v>1588</v>
      </c>
      <c r="L88" s="798">
        <v>410</v>
      </c>
      <c r="M88" s="798">
        <v>4100</v>
      </c>
      <c r="N88" s="795">
        <v>10</v>
      </c>
      <c r="O88" s="799">
        <v>10</v>
      </c>
      <c r="P88" s="798">
        <v>2870</v>
      </c>
      <c r="Q88" s="800">
        <v>0.7</v>
      </c>
      <c r="R88" s="795">
        <v>7</v>
      </c>
      <c r="S88" s="800">
        <v>0.7</v>
      </c>
      <c r="T88" s="799">
        <v>7</v>
      </c>
      <c r="U88" s="801">
        <v>0.7</v>
      </c>
    </row>
    <row r="89" spans="1:21" ht="14.4" customHeight="1" x14ac:dyDescent="0.3">
      <c r="A89" s="794">
        <v>31</v>
      </c>
      <c r="B89" s="795" t="s">
        <v>592</v>
      </c>
      <c r="C89" s="795" t="s">
        <v>1511</v>
      </c>
      <c r="D89" s="796" t="s">
        <v>2054</v>
      </c>
      <c r="E89" s="797" t="s">
        <v>1530</v>
      </c>
      <c r="F89" s="795" t="s">
        <v>1510</v>
      </c>
      <c r="G89" s="795" t="s">
        <v>1589</v>
      </c>
      <c r="H89" s="795" t="s">
        <v>593</v>
      </c>
      <c r="I89" s="795" t="s">
        <v>1590</v>
      </c>
      <c r="J89" s="795" t="s">
        <v>1591</v>
      </c>
      <c r="K89" s="795" t="s">
        <v>1592</v>
      </c>
      <c r="L89" s="798">
        <v>3000</v>
      </c>
      <c r="M89" s="798">
        <v>6000</v>
      </c>
      <c r="N89" s="795">
        <v>2</v>
      </c>
      <c r="O89" s="799">
        <v>2</v>
      </c>
      <c r="P89" s="798">
        <v>6000</v>
      </c>
      <c r="Q89" s="800">
        <v>1</v>
      </c>
      <c r="R89" s="795">
        <v>2</v>
      </c>
      <c r="S89" s="800">
        <v>1</v>
      </c>
      <c r="T89" s="799">
        <v>2</v>
      </c>
      <c r="U89" s="801">
        <v>1</v>
      </c>
    </row>
    <row r="90" spans="1:21" ht="14.4" customHeight="1" x14ac:dyDescent="0.3">
      <c r="A90" s="794">
        <v>31</v>
      </c>
      <c r="B90" s="795" t="s">
        <v>592</v>
      </c>
      <c r="C90" s="795" t="s">
        <v>1511</v>
      </c>
      <c r="D90" s="796" t="s">
        <v>2054</v>
      </c>
      <c r="E90" s="797" t="s">
        <v>1530</v>
      </c>
      <c r="F90" s="795" t="s">
        <v>1510</v>
      </c>
      <c r="G90" s="795" t="s">
        <v>1589</v>
      </c>
      <c r="H90" s="795" t="s">
        <v>593</v>
      </c>
      <c r="I90" s="795" t="s">
        <v>1593</v>
      </c>
      <c r="J90" s="795" t="s">
        <v>1594</v>
      </c>
      <c r="K90" s="795" t="s">
        <v>1595</v>
      </c>
      <c r="L90" s="798">
        <v>199.5</v>
      </c>
      <c r="M90" s="798">
        <v>199.5</v>
      </c>
      <c r="N90" s="795">
        <v>1</v>
      </c>
      <c r="O90" s="799">
        <v>1</v>
      </c>
      <c r="P90" s="798">
        <v>199.5</v>
      </c>
      <c r="Q90" s="800">
        <v>1</v>
      </c>
      <c r="R90" s="795">
        <v>1</v>
      </c>
      <c r="S90" s="800">
        <v>1</v>
      </c>
      <c r="T90" s="799">
        <v>1</v>
      </c>
      <c r="U90" s="801">
        <v>1</v>
      </c>
    </row>
    <row r="91" spans="1:21" ht="14.4" customHeight="1" x14ac:dyDescent="0.3">
      <c r="A91" s="794">
        <v>31</v>
      </c>
      <c r="B91" s="795" t="s">
        <v>592</v>
      </c>
      <c r="C91" s="795" t="s">
        <v>1511</v>
      </c>
      <c r="D91" s="796" t="s">
        <v>2054</v>
      </c>
      <c r="E91" s="797" t="s">
        <v>1530</v>
      </c>
      <c r="F91" s="795" t="s">
        <v>1510</v>
      </c>
      <c r="G91" s="795" t="s">
        <v>1589</v>
      </c>
      <c r="H91" s="795" t="s">
        <v>593</v>
      </c>
      <c r="I91" s="795" t="s">
        <v>1596</v>
      </c>
      <c r="J91" s="795" t="s">
        <v>1597</v>
      </c>
      <c r="K91" s="795" t="s">
        <v>1598</v>
      </c>
      <c r="L91" s="798">
        <v>492.18</v>
      </c>
      <c r="M91" s="798">
        <v>3445.2599999999998</v>
      </c>
      <c r="N91" s="795">
        <v>7</v>
      </c>
      <c r="O91" s="799">
        <v>7</v>
      </c>
      <c r="P91" s="798">
        <v>3445.2599999999998</v>
      </c>
      <c r="Q91" s="800">
        <v>1</v>
      </c>
      <c r="R91" s="795">
        <v>7</v>
      </c>
      <c r="S91" s="800">
        <v>1</v>
      </c>
      <c r="T91" s="799">
        <v>7</v>
      </c>
      <c r="U91" s="801">
        <v>1</v>
      </c>
    </row>
    <row r="92" spans="1:21" ht="14.4" customHeight="1" x14ac:dyDescent="0.3">
      <c r="A92" s="794">
        <v>31</v>
      </c>
      <c r="B92" s="795" t="s">
        <v>592</v>
      </c>
      <c r="C92" s="795" t="s">
        <v>1511</v>
      </c>
      <c r="D92" s="796" t="s">
        <v>2054</v>
      </c>
      <c r="E92" s="797" t="s">
        <v>1530</v>
      </c>
      <c r="F92" s="795" t="s">
        <v>1510</v>
      </c>
      <c r="G92" s="795" t="s">
        <v>1589</v>
      </c>
      <c r="H92" s="795" t="s">
        <v>593</v>
      </c>
      <c r="I92" s="795" t="s">
        <v>1652</v>
      </c>
      <c r="J92" s="795" t="s">
        <v>1653</v>
      </c>
      <c r="K92" s="795" t="s">
        <v>1654</v>
      </c>
      <c r="L92" s="798">
        <v>245.43</v>
      </c>
      <c r="M92" s="798">
        <v>245.43</v>
      </c>
      <c r="N92" s="795">
        <v>1</v>
      </c>
      <c r="O92" s="799">
        <v>1</v>
      </c>
      <c r="P92" s="798">
        <v>245.43</v>
      </c>
      <c r="Q92" s="800">
        <v>1</v>
      </c>
      <c r="R92" s="795">
        <v>1</v>
      </c>
      <c r="S92" s="800">
        <v>1</v>
      </c>
      <c r="T92" s="799">
        <v>1</v>
      </c>
      <c r="U92" s="801">
        <v>1</v>
      </c>
    </row>
    <row r="93" spans="1:21" ht="14.4" customHeight="1" x14ac:dyDescent="0.3">
      <c r="A93" s="794">
        <v>31</v>
      </c>
      <c r="B93" s="795" t="s">
        <v>592</v>
      </c>
      <c r="C93" s="795" t="s">
        <v>1511</v>
      </c>
      <c r="D93" s="796" t="s">
        <v>2054</v>
      </c>
      <c r="E93" s="797" t="s">
        <v>1530</v>
      </c>
      <c r="F93" s="795" t="s">
        <v>1510</v>
      </c>
      <c r="G93" s="795" t="s">
        <v>1589</v>
      </c>
      <c r="H93" s="795" t="s">
        <v>593</v>
      </c>
      <c r="I93" s="795" t="s">
        <v>1655</v>
      </c>
      <c r="J93" s="795" t="s">
        <v>1656</v>
      </c>
      <c r="K93" s="795" t="s">
        <v>1657</v>
      </c>
      <c r="L93" s="798">
        <v>58.5</v>
      </c>
      <c r="M93" s="798">
        <v>58.5</v>
      </c>
      <c r="N93" s="795">
        <v>1</v>
      </c>
      <c r="O93" s="799">
        <v>1</v>
      </c>
      <c r="P93" s="798">
        <v>58.5</v>
      </c>
      <c r="Q93" s="800">
        <v>1</v>
      </c>
      <c r="R93" s="795">
        <v>1</v>
      </c>
      <c r="S93" s="800">
        <v>1</v>
      </c>
      <c r="T93" s="799">
        <v>1</v>
      </c>
      <c r="U93" s="801">
        <v>1</v>
      </c>
    </row>
    <row r="94" spans="1:21" ht="14.4" customHeight="1" x14ac:dyDescent="0.3">
      <c r="A94" s="794">
        <v>31</v>
      </c>
      <c r="B94" s="795" t="s">
        <v>592</v>
      </c>
      <c r="C94" s="795" t="s">
        <v>1511</v>
      </c>
      <c r="D94" s="796" t="s">
        <v>2054</v>
      </c>
      <c r="E94" s="797" t="s">
        <v>1530</v>
      </c>
      <c r="F94" s="795" t="s">
        <v>1510</v>
      </c>
      <c r="G94" s="795" t="s">
        <v>1589</v>
      </c>
      <c r="H94" s="795" t="s">
        <v>593</v>
      </c>
      <c r="I94" s="795" t="s">
        <v>1602</v>
      </c>
      <c r="J94" s="795" t="s">
        <v>1603</v>
      </c>
      <c r="K94" s="795" t="s">
        <v>1604</v>
      </c>
      <c r="L94" s="798">
        <v>971.25</v>
      </c>
      <c r="M94" s="798">
        <v>2913.75</v>
      </c>
      <c r="N94" s="795">
        <v>3</v>
      </c>
      <c r="O94" s="799">
        <v>3</v>
      </c>
      <c r="P94" s="798">
        <v>2913.75</v>
      </c>
      <c r="Q94" s="800">
        <v>1</v>
      </c>
      <c r="R94" s="795">
        <v>3</v>
      </c>
      <c r="S94" s="800">
        <v>1</v>
      </c>
      <c r="T94" s="799">
        <v>3</v>
      </c>
      <c r="U94" s="801">
        <v>1</v>
      </c>
    </row>
    <row r="95" spans="1:21" ht="14.4" customHeight="1" x14ac:dyDescent="0.3">
      <c r="A95" s="794">
        <v>31</v>
      </c>
      <c r="B95" s="795" t="s">
        <v>592</v>
      </c>
      <c r="C95" s="795" t="s">
        <v>1511</v>
      </c>
      <c r="D95" s="796" t="s">
        <v>2054</v>
      </c>
      <c r="E95" s="797" t="s">
        <v>1530</v>
      </c>
      <c r="F95" s="795" t="s">
        <v>1510</v>
      </c>
      <c r="G95" s="795" t="s">
        <v>1589</v>
      </c>
      <c r="H95" s="795" t="s">
        <v>593</v>
      </c>
      <c r="I95" s="795" t="s">
        <v>1658</v>
      </c>
      <c r="J95" s="795" t="s">
        <v>1659</v>
      </c>
      <c r="K95" s="795" t="s">
        <v>1660</v>
      </c>
      <c r="L95" s="798">
        <v>1978.94</v>
      </c>
      <c r="M95" s="798">
        <v>1978.94</v>
      </c>
      <c r="N95" s="795">
        <v>1</v>
      </c>
      <c r="O95" s="799">
        <v>1</v>
      </c>
      <c r="P95" s="798">
        <v>1978.94</v>
      </c>
      <c r="Q95" s="800">
        <v>1</v>
      </c>
      <c r="R95" s="795">
        <v>1</v>
      </c>
      <c r="S95" s="800">
        <v>1</v>
      </c>
      <c r="T95" s="799">
        <v>1</v>
      </c>
      <c r="U95" s="801">
        <v>1</v>
      </c>
    </row>
    <row r="96" spans="1:21" ht="14.4" customHeight="1" x14ac:dyDescent="0.3">
      <c r="A96" s="794">
        <v>31</v>
      </c>
      <c r="B96" s="795" t="s">
        <v>592</v>
      </c>
      <c r="C96" s="795" t="s">
        <v>1511</v>
      </c>
      <c r="D96" s="796" t="s">
        <v>2054</v>
      </c>
      <c r="E96" s="797" t="s">
        <v>1530</v>
      </c>
      <c r="F96" s="795" t="s">
        <v>1510</v>
      </c>
      <c r="G96" s="795" t="s">
        <v>1589</v>
      </c>
      <c r="H96" s="795" t="s">
        <v>593</v>
      </c>
      <c r="I96" s="795" t="s">
        <v>1661</v>
      </c>
      <c r="J96" s="795" t="s">
        <v>1656</v>
      </c>
      <c r="K96" s="795" t="s">
        <v>1662</v>
      </c>
      <c r="L96" s="798">
        <v>58.5</v>
      </c>
      <c r="M96" s="798">
        <v>58.5</v>
      </c>
      <c r="N96" s="795">
        <v>1</v>
      </c>
      <c r="O96" s="799">
        <v>1</v>
      </c>
      <c r="P96" s="798">
        <v>58.5</v>
      </c>
      <c r="Q96" s="800">
        <v>1</v>
      </c>
      <c r="R96" s="795">
        <v>1</v>
      </c>
      <c r="S96" s="800">
        <v>1</v>
      </c>
      <c r="T96" s="799">
        <v>1</v>
      </c>
      <c r="U96" s="801">
        <v>1</v>
      </c>
    </row>
    <row r="97" spans="1:21" ht="14.4" customHeight="1" x14ac:dyDescent="0.3">
      <c r="A97" s="794">
        <v>31</v>
      </c>
      <c r="B97" s="795" t="s">
        <v>592</v>
      </c>
      <c r="C97" s="795" t="s">
        <v>1511</v>
      </c>
      <c r="D97" s="796" t="s">
        <v>2054</v>
      </c>
      <c r="E97" s="797" t="s">
        <v>1530</v>
      </c>
      <c r="F97" s="795" t="s">
        <v>1510</v>
      </c>
      <c r="G97" s="795" t="s">
        <v>1589</v>
      </c>
      <c r="H97" s="795" t="s">
        <v>593</v>
      </c>
      <c r="I97" s="795" t="s">
        <v>1608</v>
      </c>
      <c r="J97" s="795" t="s">
        <v>1609</v>
      </c>
      <c r="K97" s="795" t="s">
        <v>1610</v>
      </c>
      <c r="L97" s="798">
        <v>1000</v>
      </c>
      <c r="M97" s="798">
        <v>1000</v>
      </c>
      <c r="N97" s="795">
        <v>1</v>
      </c>
      <c r="O97" s="799">
        <v>1</v>
      </c>
      <c r="P97" s="798">
        <v>1000</v>
      </c>
      <c r="Q97" s="800">
        <v>1</v>
      </c>
      <c r="R97" s="795">
        <v>1</v>
      </c>
      <c r="S97" s="800">
        <v>1</v>
      </c>
      <c r="T97" s="799">
        <v>1</v>
      </c>
      <c r="U97" s="801">
        <v>1</v>
      </c>
    </row>
    <row r="98" spans="1:21" ht="14.4" customHeight="1" x14ac:dyDescent="0.3">
      <c r="A98" s="794">
        <v>31</v>
      </c>
      <c r="B98" s="795" t="s">
        <v>592</v>
      </c>
      <c r="C98" s="795" t="s">
        <v>1511</v>
      </c>
      <c r="D98" s="796" t="s">
        <v>2054</v>
      </c>
      <c r="E98" s="797" t="s">
        <v>1530</v>
      </c>
      <c r="F98" s="795" t="s">
        <v>1510</v>
      </c>
      <c r="G98" s="795" t="s">
        <v>1589</v>
      </c>
      <c r="H98" s="795" t="s">
        <v>593</v>
      </c>
      <c r="I98" s="795" t="s">
        <v>1663</v>
      </c>
      <c r="J98" s="795" t="s">
        <v>1664</v>
      </c>
      <c r="K98" s="795" t="s">
        <v>1665</v>
      </c>
      <c r="L98" s="798">
        <v>1000</v>
      </c>
      <c r="M98" s="798">
        <v>1000</v>
      </c>
      <c r="N98" s="795">
        <v>1</v>
      </c>
      <c r="O98" s="799">
        <v>1</v>
      </c>
      <c r="P98" s="798">
        <v>1000</v>
      </c>
      <c r="Q98" s="800">
        <v>1</v>
      </c>
      <c r="R98" s="795">
        <v>1</v>
      </c>
      <c r="S98" s="800">
        <v>1</v>
      </c>
      <c r="T98" s="799">
        <v>1</v>
      </c>
      <c r="U98" s="801">
        <v>1</v>
      </c>
    </row>
    <row r="99" spans="1:21" ht="14.4" customHeight="1" x14ac:dyDescent="0.3">
      <c r="A99" s="794">
        <v>31</v>
      </c>
      <c r="B99" s="795" t="s">
        <v>592</v>
      </c>
      <c r="C99" s="795" t="s">
        <v>1511</v>
      </c>
      <c r="D99" s="796" t="s">
        <v>2054</v>
      </c>
      <c r="E99" s="797" t="s">
        <v>1530</v>
      </c>
      <c r="F99" s="795" t="s">
        <v>1510</v>
      </c>
      <c r="G99" s="795" t="s">
        <v>1617</v>
      </c>
      <c r="H99" s="795" t="s">
        <v>593</v>
      </c>
      <c r="I99" s="795" t="s">
        <v>1618</v>
      </c>
      <c r="J99" s="795" t="s">
        <v>1619</v>
      </c>
      <c r="K99" s="795" t="s">
        <v>1620</v>
      </c>
      <c r="L99" s="798">
        <v>260</v>
      </c>
      <c r="M99" s="798">
        <v>1300</v>
      </c>
      <c r="N99" s="795">
        <v>5</v>
      </c>
      <c r="O99" s="799">
        <v>4</v>
      </c>
      <c r="P99" s="798">
        <v>1300</v>
      </c>
      <c r="Q99" s="800">
        <v>1</v>
      </c>
      <c r="R99" s="795">
        <v>5</v>
      </c>
      <c r="S99" s="800">
        <v>1</v>
      </c>
      <c r="T99" s="799">
        <v>4</v>
      </c>
      <c r="U99" s="801">
        <v>1</v>
      </c>
    </row>
    <row r="100" spans="1:21" ht="14.4" customHeight="1" x14ac:dyDescent="0.3">
      <c r="A100" s="794">
        <v>31</v>
      </c>
      <c r="B100" s="795" t="s">
        <v>592</v>
      </c>
      <c r="C100" s="795" t="s">
        <v>1511</v>
      </c>
      <c r="D100" s="796" t="s">
        <v>2054</v>
      </c>
      <c r="E100" s="797" t="s">
        <v>1530</v>
      </c>
      <c r="F100" s="795" t="s">
        <v>1510</v>
      </c>
      <c r="G100" s="795" t="s">
        <v>1617</v>
      </c>
      <c r="H100" s="795" t="s">
        <v>593</v>
      </c>
      <c r="I100" s="795" t="s">
        <v>1621</v>
      </c>
      <c r="J100" s="795" t="s">
        <v>1622</v>
      </c>
      <c r="K100" s="795" t="s">
        <v>1623</v>
      </c>
      <c r="L100" s="798">
        <v>200</v>
      </c>
      <c r="M100" s="798">
        <v>11600</v>
      </c>
      <c r="N100" s="795">
        <v>58</v>
      </c>
      <c r="O100" s="799">
        <v>29</v>
      </c>
      <c r="P100" s="798">
        <v>11600</v>
      </c>
      <c r="Q100" s="800">
        <v>1</v>
      </c>
      <c r="R100" s="795">
        <v>58</v>
      </c>
      <c r="S100" s="800">
        <v>1</v>
      </c>
      <c r="T100" s="799">
        <v>29</v>
      </c>
      <c r="U100" s="801">
        <v>1</v>
      </c>
    </row>
    <row r="101" spans="1:21" ht="14.4" customHeight="1" x14ac:dyDescent="0.3">
      <c r="A101" s="794">
        <v>31</v>
      </c>
      <c r="B101" s="795" t="s">
        <v>592</v>
      </c>
      <c r="C101" s="795" t="s">
        <v>1511</v>
      </c>
      <c r="D101" s="796" t="s">
        <v>2054</v>
      </c>
      <c r="E101" s="797" t="s">
        <v>1531</v>
      </c>
      <c r="F101" s="795" t="s">
        <v>1508</v>
      </c>
      <c r="G101" s="795" t="s">
        <v>1553</v>
      </c>
      <c r="H101" s="795" t="s">
        <v>912</v>
      </c>
      <c r="I101" s="795" t="s">
        <v>1068</v>
      </c>
      <c r="J101" s="795" t="s">
        <v>1438</v>
      </c>
      <c r="K101" s="795" t="s">
        <v>1439</v>
      </c>
      <c r="L101" s="798">
        <v>149.52000000000001</v>
      </c>
      <c r="M101" s="798">
        <v>149.52000000000001</v>
      </c>
      <c r="N101" s="795">
        <v>1</v>
      </c>
      <c r="O101" s="799">
        <v>0.5</v>
      </c>
      <c r="P101" s="798">
        <v>149.52000000000001</v>
      </c>
      <c r="Q101" s="800">
        <v>1</v>
      </c>
      <c r="R101" s="795">
        <v>1</v>
      </c>
      <c r="S101" s="800">
        <v>1</v>
      </c>
      <c r="T101" s="799">
        <v>0.5</v>
      </c>
      <c r="U101" s="801">
        <v>1</v>
      </c>
    </row>
    <row r="102" spans="1:21" ht="14.4" customHeight="1" x14ac:dyDescent="0.3">
      <c r="A102" s="794">
        <v>31</v>
      </c>
      <c r="B102" s="795" t="s">
        <v>592</v>
      </c>
      <c r="C102" s="795" t="s">
        <v>1511</v>
      </c>
      <c r="D102" s="796" t="s">
        <v>2054</v>
      </c>
      <c r="E102" s="797" t="s">
        <v>1531</v>
      </c>
      <c r="F102" s="795" t="s">
        <v>1508</v>
      </c>
      <c r="G102" s="795" t="s">
        <v>1539</v>
      </c>
      <c r="H102" s="795" t="s">
        <v>912</v>
      </c>
      <c r="I102" s="795" t="s">
        <v>1552</v>
      </c>
      <c r="J102" s="795" t="s">
        <v>977</v>
      </c>
      <c r="K102" s="795" t="s">
        <v>1413</v>
      </c>
      <c r="L102" s="798">
        <v>736.33</v>
      </c>
      <c r="M102" s="798">
        <v>5890.64</v>
      </c>
      <c r="N102" s="795">
        <v>8</v>
      </c>
      <c r="O102" s="799">
        <v>1</v>
      </c>
      <c r="P102" s="798">
        <v>5890.64</v>
      </c>
      <c r="Q102" s="800">
        <v>1</v>
      </c>
      <c r="R102" s="795">
        <v>8</v>
      </c>
      <c r="S102" s="800">
        <v>1</v>
      </c>
      <c r="T102" s="799">
        <v>1</v>
      </c>
      <c r="U102" s="801">
        <v>1</v>
      </c>
    </row>
    <row r="103" spans="1:21" ht="14.4" customHeight="1" x14ac:dyDescent="0.3">
      <c r="A103" s="794">
        <v>31</v>
      </c>
      <c r="B103" s="795" t="s">
        <v>592</v>
      </c>
      <c r="C103" s="795" t="s">
        <v>1511</v>
      </c>
      <c r="D103" s="796" t="s">
        <v>2054</v>
      </c>
      <c r="E103" s="797" t="s">
        <v>1531</v>
      </c>
      <c r="F103" s="795" t="s">
        <v>1508</v>
      </c>
      <c r="G103" s="795" t="s">
        <v>1541</v>
      </c>
      <c r="H103" s="795" t="s">
        <v>912</v>
      </c>
      <c r="I103" s="795" t="s">
        <v>929</v>
      </c>
      <c r="J103" s="795" t="s">
        <v>1453</v>
      </c>
      <c r="K103" s="795" t="s">
        <v>1454</v>
      </c>
      <c r="L103" s="798">
        <v>0</v>
      </c>
      <c r="M103" s="798">
        <v>0</v>
      </c>
      <c r="N103" s="795">
        <v>14</v>
      </c>
      <c r="O103" s="799">
        <v>5.5</v>
      </c>
      <c r="P103" s="798">
        <v>0</v>
      </c>
      <c r="Q103" s="800"/>
      <c r="R103" s="795">
        <v>6</v>
      </c>
      <c r="S103" s="800">
        <v>0.42857142857142855</v>
      </c>
      <c r="T103" s="799">
        <v>1.5</v>
      </c>
      <c r="U103" s="801">
        <v>0.27272727272727271</v>
      </c>
    </row>
    <row r="104" spans="1:21" ht="14.4" customHeight="1" x14ac:dyDescent="0.3">
      <c r="A104" s="794">
        <v>31</v>
      </c>
      <c r="B104" s="795" t="s">
        <v>592</v>
      </c>
      <c r="C104" s="795" t="s">
        <v>1511</v>
      </c>
      <c r="D104" s="796" t="s">
        <v>2054</v>
      </c>
      <c r="E104" s="797" t="s">
        <v>1531</v>
      </c>
      <c r="F104" s="795" t="s">
        <v>1508</v>
      </c>
      <c r="G104" s="795" t="s">
        <v>1542</v>
      </c>
      <c r="H104" s="795" t="s">
        <v>593</v>
      </c>
      <c r="I104" s="795" t="s">
        <v>1020</v>
      </c>
      <c r="J104" s="795" t="s">
        <v>1017</v>
      </c>
      <c r="K104" s="795" t="s">
        <v>1543</v>
      </c>
      <c r="L104" s="798">
        <v>186.27</v>
      </c>
      <c r="M104" s="798">
        <v>186.27</v>
      </c>
      <c r="N104" s="795">
        <v>1</v>
      </c>
      <c r="O104" s="799">
        <v>1</v>
      </c>
      <c r="P104" s="798">
        <v>186.27</v>
      </c>
      <c r="Q104" s="800">
        <v>1</v>
      </c>
      <c r="R104" s="795">
        <v>1</v>
      </c>
      <c r="S104" s="800">
        <v>1</v>
      </c>
      <c r="T104" s="799">
        <v>1</v>
      </c>
      <c r="U104" s="801">
        <v>1</v>
      </c>
    </row>
    <row r="105" spans="1:21" ht="14.4" customHeight="1" x14ac:dyDescent="0.3">
      <c r="A105" s="794">
        <v>31</v>
      </c>
      <c r="B105" s="795" t="s">
        <v>592</v>
      </c>
      <c r="C105" s="795" t="s">
        <v>1511</v>
      </c>
      <c r="D105" s="796" t="s">
        <v>2054</v>
      </c>
      <c r="E105" s="797" t="s">
        <v>1531</v>
      </c>
      <c r="F105" s="795" t="s">
        <v>1510</v>
      </c>
      <c r="G105" s="795" t="s">
        <v>1548</v>
      </c>
      <c r="H105" s="795" t="s">
        <v>593</v>
      </c>
      <c r="I105" s="795" t="s">
        <v>1549</v>
      </c>
      <c r="J105" s="795" t="s">
        <v>1550</v>
      </c>
      <c r="K105" s="795" t="s">
        <v>1551</v>
      </c>
      <c r="L105" s="798">
        <v>35.130000000000003</v>
      </c>
      <c r="M105" s="798">
        <v>702.6</v>
      </c>
      <c r="N105" s="795">
        <v>20</v>
      </c>
      <c r="O105" s="799">
        <v>6</v>
      </c>
      <c r="P105" s="798">
        <v>351.3</v>
      </c>
      <c r="Q105" s="800">
        <v>0.5</v>
      </c>
      <c r="R105" s="795">
        <v>10</v>
      </c>
      <c r="S105" s="800">
        <v>0.5</v>
      </c>
      <c r="T105" s="799">
        <v>5</v>
      </c>
      <c r="U105" s="801">
        <v>0.83333333333333337</v>
      </c>
    </row>
    <row r="106" spans="1:21" ht="14.4" customHeight="1" x14ac:dyDescent="0.3">
      <c r="A106" s="794">
        <v>31</v>
      </c>
      <c r="B106" s="795" t="s">
        <v>592</v>
      </c>
      <c r="C106" s="795" t="s">
        <v>1511</v>
      </c>
      <c r="D106" s="796" t="s">
        <v>2054</v>
      </c>
      <c r="E106" s="797" t="s">
        <v>1531</v>
      </c>
      <c r="F106" s="795" t="s">
        <v>1510</v>
      </c>
      <c r="G106" s="795" t="s">
        <v>1585</v>
      </c>
      <c r="H106" s="795" t="s">
        <v>593</v>
      </c>
      <c r="I106" s="795" t="s">
        <v>1586</v>
      </c>
      <c r="J106" s="795" t="s">
        <v>1587</v>
      </c>
      <c r="K106" s="795" t="s">
        <v>1588</v>
      </c>
      <c r="L106" s="798">
        <v>410</v>
      </c>
      <c r="M106" s="798">
        <v>1230</v>
      </c>
      <c r="N106" s="795">
        <v>3</v>
      </c>
      <c r="O106" s="799">
        <v>3</v>
      </c>
      <c r="P106" s="798">
        <v>820</v>
      </c>
      <c r="Q106" s="800">
        <v>0.66666666666666663</v>
      </c>
      <c r="R106" s="795">
        <v>2</v>
      </c>
      <c r="S106" s="800">
        <v>0.66666666666666663</v>
      </c>
      <c r="T106" s="799">
        <v>2</v>
      </c>
      <c r="U106" s="801">
        <v>0.66666666666666663</v>
      </c>
    </row>
    <row r="107" spans="1:21" ht="14.4" customHeight="1" x14ac:dyDescent="0.3">
      <c r="A107" s="794">
        <v>31</v>
      </c>
      <c r="B107" s="795" t="s">
        <v>592</v>
      </c>
      <c r="C107" s="795" t="s">
        <v>1511</v>
      </c>
      <c r="D107" s="796" t="s">
        <v>2054</v>
      </c>
      <c r="E107" s="797" t="s">
        <v>1531</v>
      </c>
      <c r="F107" s="795" t="s">
        <v>1510</v>
      </c>
      <c r="G107" s="795" t="s">
        <v>1589</v>
      </c>
      <c r="H107" s="795" t="s">
        <v>593</v>
      </c>
      <c r="I107" s="795" t="s">
        <v>1596</v>
      </c>
      <c r="J107" s="795" t="s">
        <v>1597</v>
      </c>
      <c r="K107" s="795" t="s">
        <v>1598</v>
      </c>
      <c r="L107" s="798">
        <v>492.18</v>
      </c>
      <c r="M107" s="798">
        <v>492.18</v>
      </c>
      <c r="N107" s="795">
        <v>1</v>
      </c>
      <c r="O107" s="799">
        <v>1</v>
      </c>
      <c r="P107" s="798">
        <v>492.18</v>
      </c>
      <c r="Q107" s="800">
        <v>1</v>
      </c>
      <c r="R107" s="795">
        <v>1</v>
      </c>
      <c r="S107" s="800">
        <v>1</v>
      </c>
      <c r="T107" s="799">
        <v>1</v>
      </c>
      <c r="U107" s="801">
        <v>1</v>
      </c>
    </row>
    <row r="108" spans="1:21" ht="14.4" customHeight="1" x14ac:dyDescent="0.3">
      <c r="A108" s="794">
        <v>31</v>
      </c>
      <c r="B108" s="795" t="s">
        <v>592</v>
      </c>
      <c r="C108" s="795" t="s">
        <v>1511</v>
      </c>
      <c r="D108" s="796" t="s">
        <v>2054</v>
      </c>
      <c r="E108" s="797" t="s">
        <v>1531</v>
      </c>
      <c r="F108" s="795" t="s">
        <v>1510</v>
      </c>
      <c r="G108" s="795" t="s">
        <v>1617</v>
      </c>
      <c r="H108" s="795" t="s">
        <v>593</v>
      </c>
      <c r="I108" s="795" t="s">
        <v>1621</v>
      </c>
      <c r="J108" s="795" t="s">
        <v>1622</v>
      </c>
      <c r="K108" s="795" t="s">
        <v>1623</v>
      </c>
      <c r="L108" s="798">
        <v>200</v>
      </c>
      <c r="M108" s="798">
        <v>800</v>
      </c>
      <c r="N108" s="795">
        <v>4</v>
      </c>
      <c r="O108" s="799">
        <v>2</v>
      </c>
      <c r="P108" s="798">
        <v>800</v>
      </c>
      <c r="Q108" s="800">
        <v>1</v>
      </c>
      <c r="R108" s="795">
        <v>4</v>
      </c>
      <c r="S108" s="800">
        <v>1</v>
      </c>
      <c r="T108" s="799">
        <v>2</v>
      </c>
      <c r="U108" s="801">
        <v>1</v>
      </c>
    </row>
    <row r="109" spans="1:21" ht="14.4" customHeight="1" x14ac:dyDescent="0.3">
      <c r="A109" s="794">
        <v>31</v>
      </c>
      <c r="B109" s="795" t="s">
        <v>592</v>
      </c>
      <c r="C109" s="795" t="s">
        <v>1511</v>
      </c>
      <c r="D109" s="796" t="s">
        <v>2054</v>
      </c>
      <c r="E109" s="797" t="s">
        <v>1532</v>
      </c>
      <c r="F109" s="795" t="s">
        <v>1508</v>
      </c>
      <c r="G109" s="795" t="s">
        <v>1553</v>
      </c>
      <c r="H109" s="795" t="s">
        <v>912</v>
      </c>
      <c r="I109" s="795" t="s">
        <v>1064</v>
      </c>
      <c r="J109" s="795" t="s">
        <v>971</v>
      </c>
      <c r="K109" s="795" t="s">
        <v>1437</v>
      </c>
      <c r="L109" s="798">
        <v>154.36000000000001</v>
      </c>
      <c r="M109" s="798">
        <v>154.36000000000001</v>
      </c>
      <c r="N109" s="795">
        <v>1</v>
      </c>
      <c r="O109" s="799">
        <v>1</v>
      </c>
      <c r="P109" s="798"/>
      <c r="Q109" s="800">
        <v>0</v>
      </c>
      <c r="R109" s="795"/>
      <c r="S109" s="800">
        <v>0</v>
      </c>
      <c r="T109" s="799"/>
      <c r="U109" s="801">
        <v>0</v>
      </c>
    </row>
    <row r="110" spans="1:21" ht="14.4" customHeight="1" x14ac:dyDescent="0.3">
      <c r="A110" s="794">
        <v>31</v>
      </c>
      <c r="B110" s="795" t="s">
        <v>592</v>
      </c>
      <c r="C110" s="795" t="s">
        <v>1511</v>
      </c>
      <c r="D110" s="796" t="s">
        <v>2054</v>
      </c>
      <c r="E110" s="797" t="s">
        <v>1532</v>
      </c>
      <c r="F110" s="795" t="s">
        <v>1508</v>
      </c>
      <c r="G110" s="795" t="s">
        <v>1539</v>
      </c>
      <c r="H110" s="795" t="s">
        <v>912</v>
      </c>
      <c r="I110" s="795" t="s">
        <v>1540</v>
      </c>
      <c r="J110" s="795" t="s">
        <v>977</v>
      </c>
      <c r="K110" s="795" t="s">
        <v>1414</v>
      </c>
      <c r="L110" s="798">
        <v>490.89</v>
      </c>
      <c r="M110" s="798">
        <v>981.78</v>
      </c>
      <c r="N110" s="795">
        <v>2</v>
      </c>
      <c r="O110" s="799">
        <v>0.5</v>
      </c>
      <c r="P110" s="798">
        <v>981.78</v>
      </c>
      <c r="Q110" s="800">
        <v>1</v>
      </c>
      <c r="R110" s="795">
        <v>2</v>
      </c>
      <c r="S110" s="800">
        <v>1</v>
      </c>
      <c r="T110" s="799">
        <v>0.5</v>
      </c>
      <c r="U110" s="801">
        <v>1</v>
      </c>
    </row>
    <row r="111" spans="1:21" ht="14.4" customHeight="1" x14ac:dyDescent="0.3">
      <c r="A111" s="794">
        <v>31</v>
      </c>
      <c r="B111" s="795" t="s">
        <v>592</v>
      </c>
      <c r="C111" s="795" t="s">
        <v>1511</v>
      </c>
      <c r="D111" s="796" t="s">
        <v>2054</v>
      </c>
      <c r="E111" s="797" t="s">
        <v>1532</v>
      </c>
      <c r="F111" s="795" t="s">
        <v>1508</v>
      </c>
      <c r="G111" s="795" t="s">
        <v>1541</v>
      </c>
      <c r="H111" s="795" t="s">
        <v>912</v>
      </c>
      <c r="I111" s="795" t="s">
        <v>929</v>
      </c>
      <c r="J111" s="795" t="s">
        <v>1453</v>
      </c>
      <c r="K111" s="795" t="s">
        <v>1454</v>
      </c>
      <c r="L111" s="798">
        <v>0</v>
      </c>
      <c r="M111" s="798">
        <v>0</v>
      </c>
      <c r="N111" s="795">
        <v>7</v>
      </c>
      <c r="O111" s="799">
        <v>6</v>
      </c>
      <c r="P111" s="798">
        <v>0</v>
      </c>
      <c r="Q111" s="800"/>
      <c r="R111" s="795">
        <v>4</v>
      </c>
      <c r="S111" s="800">
        <v>0.5714285714285714</v>
      </c>
      <c r="T111" s="799">
        <v>3</v>
      </c>
      <c r="U111" s="801">
        <v>0.5</v>
      </c>
    </row>
    <row r="112" spans="1:21" ht="14.4" customHeight="1" x14ac:dyDescent="0.3">
      <c r="A112" s="794">
        <v>31</v>
      </c>
      <c r="B112" s="795" t="s">
        <v>592</v>
      </c>
      <c r="C112" s="795" t="s">
        <v>1511</v>
      </c>
      <c r="D112" s="796" t="s">
        <v>2054</v>
      </c>
      <c r="E112" s="797" t="s">
        <v>1532</v>
      </c>
      <c r="F112" s="795" t="s">
        <v>1508</v>
      </c>
      <c r="G112" s="795" t="s">
        <v>1542</v>
      </c>
      <c r="H112" s="795" t="s">
        <v>593</v>
      </c>
      <c r="I112" s="795" t="s">
        <v>1020</v>
      </c>
      <c r="J112" s="795" t="s">
        <v>1017</v>
      </c>
      <c r="K112" s="795" t="s">
        <v>1543</v>
      </c>
      <c r="L112" s="798">
        <v>186.27</v>
      </c>
      <c r="M112" s="798">
        <v>558.81000000000006</v>
      </c>
      <c r="N112" s="795">
        <v>3</v>
      </c>
      <c r="O112" s="799">
        <v>0.5</v>
      </c>
      <c r="P112" s="798">
        <v>558.81000000000006</v>
      </c>
      <c r="Q112" s="800">
        <v>1</v>
      </c>
      <c r="R112" s="795">
        <v>3</v>
      </c>
      <c r="S112" s="800">
        <v>1</v>
      </c>
      <c r="T112" s="799">
        <v>0.5</v>
      </c>
      <c r="U112" s="801">
        <v>1</v>
      </c>
    </row>
    <row r="113" spans="1:21" ht="14.4" customHeight="1" x14ac:dyDescent="0.3">
      <c r="A113" s="794">
        <v>31</v>
      </c>
      <c r="B113" s="795" t="s">
        <v>592</v>
      </c>
      <c r="C113" s="795" t="s">
        <v>1511</v>
      </c>
      <c r="D113" s="796" t="s">
        <v>2054</v>
      </c>
      <c r="E113" s="797" t="s">
        <v>1532</v>
      </c>
      <c r="F113" s="795" t="s">
        <v>1510</v>
      </c>
      <c r="G113" s="795" t="s">
        <v>1548</v>
      </c>
      <c r="H113" s="795" t="s">
        <v>593</v>
      </c>
      <c r="I113" s="795" t="s">
        <v>1549</v>
      </c>
      <c r="J113" s="795" t="s">
        <v>1550</v>
      </c>
      <c r="K113" s="795" t="s">
        <v>1551</v>
      </c>
      <c r="L113" s="798">
        <v>35.130000000000003</v>
      </c>
      <c r="M113" s="798">
        <v>351.3</v>
      </c>
      <c r="N113" s="795">
        <v>10</v>
      </c>
      <c r="O113" s="799">
        <v>5</v>
      </c>
      <c r="P113" s="798">
        <v>351.3</v>
      </c>
      <c r="Q113" s="800">
        <v>1</v>
      </c>
      <c r="R113" s="795">
        <v>10</v>
      </c>
      <c r="S113" s="800">
        <v>1</v>
      </c>
      <c r="T113" s="799">
        <v>5</v>
      </c>
      <c r="U113" s="801">
        <v>1</v>
      </c>
    </row>
    <row r="114" spans="1:21" ht="14.4" customHeight="1" x14ac:dyDescent="0.3">
      <c r="A114" s="794">
        <v>31</v>
      </c>
      <c r="B114" s="795" t="s">
        <v>592</v>
      </c>
      <c r="C114" s="795" t="s">
        <v>1511</v>
      </c>
      <c r="D114" s="796" t="s">
        <v>2054</v>
      </c>
      <c r="E114" s="797" t="s">
        <v>1532</v>
      </c>
      <c r="F114" s="795" t="s">
        <v>1510</v>
      </c>
      <c r="G114" s="795" t="s">
        <v>1589</v>
      </c>
      <c r="H114" s="795" t="s">
        <v>593</v>
      </c>
      <c r="I114" s="795" t="s">
        <v>1596</v>
      </c>
      <c r="J114" s="795" t="s">
        <v>1597</v>
      </c>
      <c r="K114" s="795" t="s">
        <v>1598</v>
      </c>
      <c r="L114" s="798">
        <v>492.18</v>
      </c>
      <c r="M114" s="798">
        <v>984.36</v>
      </c>
      <c r="N114" s="795">
        <v>2</v>
      </c>
      <c r="O114" s="799">
        <v>2</v>
      </c>
      <c r="P114" s="798">
        <v>984.36</v>
      </c>
      <c r="Q114" s="800">
        <v>1</v>
      </c>
      <c r="R114" s="795">
        <v>2</v>
      </c>
      <c r="S114" s="800">
        <v>1</v>
      </c>
      <c r="T114" s="799">
        <v>2</v>
      </c>
      <c r="U114" s="801">
        <v>1</v>
      </c>
    </row>
    <row r="115" spans="1:21" ht="14.4" customHeight="1" x14ac:dyDescent="0.3">
      <c r="A115" s="794">
        <v>31</v>
      </c>
      <c r="B115" s="795" t="s">
        <v>592</v>
      </c>
      <c r="C115" s="795" t="s">
        <v>1511</v>
      </c>
      <c r="D115" s="796" t="s">
        <v>2054</v>
      </c>
      <c r="E115" s="797" t="s">
        <v>1532</v>
      </c>
      <c r="F115" s="795" t="s">
        <v>1510</v>
      </c>
      <c r="G115" s="795" t="s">
        <v>1589</v>
      </c>
      <c r="H115" s="795" t="s">
        <v>593</v>
      </c>
      <c r="I115" s="795" t="s">
        <v>1666</v>
      </c>
      <c r="J115" s="795" t="s">
        <v>1667</v>
      </c>
      <c r="K115" s="795" t="s">
        <v>1668</v>
      </c>
      <c r="L115" s="798">
        <v>2260</v>
      </c>
      <c r="M115" s="798">
        <v>2260</v>
      </c>
      <c r="N115" s="795">
        <v>1</v>
      </c>
      <c r="O115" s="799">
        <v>1</v>
      </c>
      <c r="P115" s="798"/>
      <c r="Q115" s="800">
        <v>0</v>
      </c>
      <c r="R115" s="795"/>
      <c r="S115" s="800">
        <v>0</v>
      </c>
      <c r="T115" s="799"/>
      <c r="U115" s="801">
        <v>0</v>
      </c>
    </row>
    <row r="116" spans="1:21" ht="14.4" customHeight="1" x14ac:dyDescent="0.3">
      <c r="A116" s="794">
        <v>31</v>
      </c>
      <c r="B116" s="795" t="s">
        <v>592</v>
      </c>
      <c r="C116" s="795" t="s">
        <v>1511</v>
      </c>
      <c r="D116" s="796" t="s">
        <v>2054</v>
      </c>
      <c r="E116" s="797" t="s">
        <v>1532</v>
      </c>
      <c r="F116" s="795" t="s">
        <v>1510</v>
      </c>
      <c r="G116" s="795" t="s">
        <v>1617</v>
      </c>
      <c r="H116" s="795" t="s">
        <v>593</v>
      </c>
      <c r="I116" s="795" t="s">
        <v>1621</v>
      </c>
      <c r="J116" s="795" t="s">
        <v>1622</v>
      </c>
      <c r="K116" s="795" t="s">
        <v>1623</v>
      </c>
      <c r="L116" s="798">
        <v>200</v>
      </c>
      <c r="M116" s="798">
        <v>800</v>
      </c>
      <c r="N116" s="795">
        <v>4</v>
      </c>
      <c r="O116" s="799">
        <v>2</v>
      </c>
      <c r="P116" s="798">
        <v>400</v>
      </c>
      <c r="Q116" s="800">
        <v>0.5</v>
      </c>
      <c r="R116" s="795">
        <v>2</v>
      </c>
      <c r="S116" s="800">
        <v>0.5</v>
      </c>
      <c r="T116" s="799">
        <v>1</v>
      </c>
      <c r="U116" s="801">
        <v>0.5</v>
      </c>
    </row>
    <row r="117" spans="1:21" ht="14.4" customHeight="1" x14ac:dyDescent="0.3">
      <c r="A117" s="794">
        <v>31</v>
      </c>
      <c r="B117" s="795" t="s">
        <v>592</v>
      </c>
      <c r="C117" s="795" t="s">
        <v>1511</v>
      </c>
      <c r="D117" s="796" t="s">
        <v>2054</v>
      </c>
      <c r="E117" s="797" t="s">
        <v>1534</v>
      </c>
      <c r="F117" s="795" t="s">
        <v>1508</v>
      </c>
      <c r="G117" s="795" t="s">
        <v>1557</v>
      </c>
      <c r="H117" s="795" t="s">
        <v>593</v>
      </c>
      <c r="I117" s="795" t="s">
        <v>1061</v>
      </c>
      <c r="J117" s="795" t="s">
        <v>1062</v>
      </c>
      <c r="K117" s="795" t="s">
        <v>1558</v>
      </c>
      <c r="L117" s="798">
        <v>78.33</v>
      </c>
      <c r="M117" s="798">
        <v>78.33</v>
      </c>
      <c r="N117" s="795">
        <v>1</v>
      </c>
      <c r="O117" s="799">
        <v>1</v>
      </c>
      <c r="P117" s="798"/>
      <c r="Q117" s="800">
        <v>0</v>
      </c>
      <c r="R117" s="795"/>
      <c r="S117" s="800">
        <v>0</v>
      </c>
      <c r="T117" s="799"/>
      <c r="U117" s="801">
        <v>0</v>
      </c>
    </row>
    <row r="118" spans="1:21" ht="14.4" customHeight="1" x14ac:dyDescent="0.3">
      <c r="A118" s="794">
        <v>31</v>
      </c>
      <c r="B118" s="795" t="s">
        <v>592</v>
      </c>
      <c r="C118" s="795" t="s">
        <v>1511</v>
      </c>
      <c r="D118" s="796" t="s">
        <v>2054</v>
      </c>
      <c r="E118" s="797" t="s">
        <v>1534</v>
      </c>
      <c r="F118" s="795" t="s">
        <v>1508</v>
      </c>
      <c r="G118" s="795" t="s">
        <v>1539</v>
      </c>
      <c r="H118" s="795" t="s">
        <v>912</v>
      </c>
      <c r="I118" s="795" t="s">
        <v>1540</v>
      </c>
      <c r="J118" s="795" t="s">
        <v>977</v>
      </c>
      <c r="K118" s="795" t="s">
        <v>1414</v>
      </c>
      <c r="L118" s="798">
        <v>490.89</v>
      </c>
      <c r="M118" s="798">
        <v>3436.23</v>
      </c>
      <c r="N118" s="795">
        <v>7</v>
      </c>
      <c r="O118" s="799">
        <v>1.5</v>
      </c>
      <c r="P118" s="798">
        <v>3436.23</v>
      </c>
      <c r="Q118" s="800">
        <v>1</v>
      </c>
      <c r="R118" s="795">
        <v>7</v>
      </c>
      <c r="S118" s="800">
        <v>1</v>
      </c>
      <c r="T118" s="799">
        <v>1.5</v>
      </c>
      <c r="U118" s="801">
        <v>1</v>
      </c>
    </row>
    <row r="119" spans="1:21" ht="14.4" customHeight="1" x14ac:dyDescent="0.3">
      <c r="A119" s="794">
        <v>31</v>
      </c>
      <c r="B119" s="795" t="s">
        <v>592</v>
      </c>
      <c r="C119" s="795" t="s">
        <v>1511</v>
      </c>
      <c r="D119" s="796" t="s">
        <v>2054</v>
      </c>
      <c r="E119" s="797" t="s">
        <v>1534</v>
      </c>
      <c r="F119" s="795" t="s">
        <v>1508</v>
      </c>
      <c r="G119" s="795" t="s">
        <v>1541</v>
      </c>
      <c r="H119" s="795" t="s">
        <v>912</v>
      </c>
      <c r="I119" s="795" t="s">
        <v>929</v>
      </c>
      <c r="J119" s="795" t="s">
        <v>1453</v>
      </c>
      <c r="K119" s="795" t="s">
        <v>1454</v>
      </c>
      <c r="L119" s="798">
        <v>0</v>
      </c>
      <c r="M119" s="798">
        <v>0</v>
      </c>
      <c r="N119" s="795">
        <v>6</v>
      </c>
      <c r="O119" s="799">
        <v>4.5</v>
      </c>
      <c r="P119" s="798">
        <v>0</v>
      </c>
      <c r="Q119" s="800"/>
      <c r="R119" s="795">
        <v>5</v>
      </c>
      <c r="S119" s="800">
        <v>0.83333333333333337</v>
      </c>
      <c r="T119" s="799">
        <v>3.5</v>
      </c>
      <c r="U119" s="801">
        <v>0.77777777777777779</v>
      </c>
    </row>
    <row r="120" spans="1:21" ht="14.4" customHeight="1" x14ac:dyDescent="0.3">
      <c r="A120" s="794">
        <v>31</v>
      </c>
      <c r="B120" s="795" t="s">
        <v>592</v>
      </c>
      <c r="C120" s="795" t="s">
        <v>1511</v>
      </c>
      <c r="D120" s="796" t="s">
        <v>2054</v>
      </c>
      <c r="E120" s="797" t="s">
        <v>1534</v>
      </c>
      <c r="F120" s="795" t="s">
        <v>1508</v>
      </c>
      <c r="G120" s="795" t="s">
        <v>1544</v>
      </c>
      <c r="H120" s="795" t="s">
        <v>593</v>
      </c>
      <c r="I120" s="795" t="s">
        <v>881</v>
      </c>
      <c r="J120" s="795" t="s">
        <v>1546</v>
      </c>
      <c r="K120" s="795" t="s">
        <v>1669</v>
      </c>
      <c r="L120" s="798">
        <v>99.94</v>
      </c>
      <c r="M120" s="798">
        <v>199.88</v>
      </c>
      <c r="N120" s="795">
        <v>2</v>
      </c>
      <c r="O120" s="799">
        <v>2</v>
      </c>
      <c r="P120" s="798"/>
      <c r="Q120" s="800">
        <v>0</v>
      </c>
      <c r="R120" s="795"/>
      <c r="S120" s="800">
        <v>0</v>
      </c>
      <c r="T120" s="799"/>
      <c r="U120" s="801">
        <v>0</v>
      </c>
    </row>
    <row r="121" spans="1:21" ht="14.4" customHeight="1" x14ac:dyDescent="0.3">
      <c r="A121" s="794">
        <v>31</v>
      </c>
      <c r="B121" s="795" t="s">
        <v>592</v>
      </c>
      <c r="C121" s="795" t="s">
        <v>1511</v>
      </c>
      <c r="D121" s="796" t="s">
        <v>2054</v>
      </c>
      <c r="E121" s="797" t="s">
        <v>1535</v>
      </c>
      <c r="F121" s="795" t="s">
        <v>1508</v>
      </c>
      <c r="G121" s="795" t="s">
        <v>1634</v>
      </c>
      <c r="H121" s="795" t="s">
        <v>593</v>
      </c>
      <c r="I121" s="795" t="s">
        <v>1635</v>
      </c>
      <c r="J121" s="795" t="s">
        <v>1636</v>
      </c>
      <c r="K121" s="795" t="s">
        <v>1637</v>
      </c>
      <c r="L121" s="798">
        <v>0</v>
      </c>
      <c r="M121" s="798">
        <v>0</v>
      </c>
      <c r="N121" s="795">
        <v>1</v>
      </c>
      <c r="O121" s="799">
        <v>1</v>
      </c>
      <c r="P121" s="798"/>
      <c r="Q121" s="800"/>
      <c r="R121" s="795"/>
      <c r="S121" s="800">
        <v>0</v>
      </c>
      <c r="T121" s="799"/>
      <c r="U121" s="801">
        <v>0</v>
      </c>
    </row>
    <row r="122" spans="1:21" ht="14.4" customHeight="1" x14ac:dyDescent="0.3">
      <c r="A122" s="794">
        <v>31</v>
      </c>
      <c r="B122" s="795" t="s">
        <v>592</v>
      </c>
      <c r="C122" s="795" t="s">
        <v>1511</v>
      </c>
      <c r="D122" s="796" t="s">
        <v>2054</v>
      </c>
      <c r="E122" s="797" t="s">
        <v>1535</v>
      </c>
      <c r="F122" s="795" t="s">
        <v>1508</v>
      </c>
      <c r="G122" s="795" t="s">
        <v>1539</v>
      </c>
      <c r="H122" s="795" t="s">
        <v>912</v>
      </c>
      <c r="I122" s="795" t="s">
        <v>1670</v>
      </c>
      <c r="J122" s="795" t="s">
        <v>977</v>
      </c>
      <c r="K122" s="795" t="s">
        <v>1671</v>
      </c>
      <c r="L122" s="798">
        <v>368.16</v>
      </c>
      <c r="M122" s="798">
        <v>1840.8000000000002</v>
      </c>
      <c r="N122" s="795">
        <v>5</v>
      </c>
      <c r="O122" s="799">
        <v>1</v>
      </c>
      <c r="P122" s="798">
        <v>736.32</v>
      </c>
      <c r="Q122" s="800">
        <v>0.39999999999999997</v>
      </c>
      <c r="R122" s="795">
        <v>2</v>
      </c>
      <c r="S122" s="800">
        <v>0.4</v>
      </c>
      <c r="T122" s="799">
        <v>0.5</v>
      </c>
      <c r="U122" s="801">
        <v>0.5</v>
      </c>
    </row>
    <row r="123" spans="1:21" ht="14.4" customHeight="1" x14ac:dyDescent="0.3">
      <c r="A123" s="794">
        <v>31</v>
      </c>
      <c r="B123" s="795" t="s">
        <v>592</v>
      </c>
      <c r="C123" s="795" t="s">
        <v>1511</v>
      </c>
      <c r="D123" s="796" t="s">
        <v>2054</v>
      </c>
      <c r="E123" s="797" t="s">
        <v>1535</v>
      </c>
      <c r="F123" s="795" t="s">
        <v>1508</v>
      </c>
      <c r="G123" s="795" t="s">
        <v>1539</v>
      </c>
      <c r="H123" s="795" t="s">
        <v>912</v>
      </c>
      <c r="I123" s="795" t="s">
        <v>1540</v>
      </c>
      <c r="J123" s="795" t="s">
        <v>977</v>
      </c>
      <c r="K123" s="795" t="s">
        <v>1414</v>
      </c>
      <c r="L123" s="798">
        <v>490.89</v>
      </c>
      <c r="M123" s="798">
        <v>5890.68</v>
      </c>
      <c r="N123" s="795">
        <v>12</v>
      </c>
      <c r="O123" s="799">
        <v>4</v>
      </c>
      <c r="P123" s="798">
        <v>4418.01</v>
      </c>
      <c r="Q123" s="800">
        <v>0.75</v>
      </c>
      <c r="R123" s="795">
        <v>9</v>
      </c>
      <c r="S123" s="800">
        <v>0.75</v>
      </c>
      <c r="T123" s="799">
        <v>3</v>
      </c>
      <c r="U123" s="801">
        <v>0.75</v>
      </c>
    </row>
    <row r="124" spans="1:21" ht="14.4" customHeight="1" x14ac:dyDescent="0.3">
      <c r="A124" s="794">
        <v>31</v>
      </c>
      <c r="B124" s="795" t="s">
        <v>592</v>
      </c>
      <c r="C124" s="795" t="s">
        <v>1511</v>
      </c>
      <c r="D124" s="796" t="s">
        <v>2054</v>
      </c>
      <c r="E124" s="797" t="s">
        <v>1535</v>
      </c>
      <c r="F124" s="795" t="s">
        <v>1508</v>
      </c>
      <c r="G124" s="795" t="s">
        <v>1539</v>
      </c>
      <c r="H124" s="795" t="s">
        <v>912</v>
      </c>
      <c r="I124" s="795" t="s">
        <v>1552</v>
      </c>
      <c r="J124" s="795" t="s">
        <v>977</v>
      </c>
      <c r="K124" s="795" t="s">
        <v>1413</v>
      </c>
      <c r="L124" s="798">
        <v>736.33</v>
      </c>
      <c r="M124" s="798">
        <v>4417.9800000000005</v>
      </c>
      <c r="N124" s="795">
        <v>6</v>
      </c>
      <c r="O124" s="799">
        <v>1.5</v>
      </c>
      <c r="P124" s="798">
        <v>4417.9800000000005</v>
      </c>
      <c r="Q124" s="800">
        <v>1</v>
      </c>
      <c r="R124" s="795">
        <v>6</v>
      </c>
      <c r="S124" s="800">
        <v>1</v>
      </c>
      <c r="T124" s="799">
        <v>1.5</v>
      </c>
      <c r="U124" s="801">
        <v>1</v>
      </c>
    </row>
    <row r="125" spans="1:21" ht="14.4" customHeight="1" x14ac:dyDescent="0.3">
      <c r="A125" s="794">
        <v>31</v>
      </c>
      <c r="B125" s="795" t="s">
        <v>592</v>
      </c>
      <c r="C125" s="795" t="s">
        <v>1511</v>
      </c>
      <c r="D125" s="796" t="s">
        <v>2054</v>
      </c>
      <c r="E125" s="797" t="s">
        <v>1535</v>
      </c>
      <c r="F125" s="795" t="s">
        <v>1508</v>
      </c>
      <c r="G125" s="795" t="s">
        <v>1541</v>
      </c>
      <c r="H125" s="795" t="s">
        <v>912</v>
      </c>
      <c r="I125" s="795" t="s">
        <v>929</v>
      </c>
      <c r="J125" s="795" t="s">
        <v>1453</v>
      </c>
      <c r="K125" s="795" t="s">
        <v>1454</v>
      </c>
      <c r="L125" s="798">
        <v>0</v>
      </c>
      <c r="M125" s="798">
        <v>0</v>
      </c>
      <c r="N125" s="795">
        <v>28</v>
      </c>
      <c r="O125" s="799">
        <v>16.5</v>
      </c>
      <c r="P125" s="798">
        <v>0</v>
      </c>
      <c r="Q125" s="800"/>
      <c r="R125" s="795">
        <v>15</v>
      </c>
      <c r="S125" s="800">
        <v>0.5357142857142857</v>
      </c>
      <c r="T125" s="799">
        <v>7</v>
      </c>
      <c r="U125" s="801">
        <v>0.42424242424242425</v>
      </c>
    </row>
    <row r="126" spans="1:21" ht="14.4" customHeight="1" x14ac:dyDescent="0.3">
      <c r="A126" s="794">
        <v>31</v>
      </c>
      <c r="B126" s="795" t="s">
        <v>592</v>
      </c>
      <c r="C126" s="795" t="s">
        <v>1511</v>
      </c>
      <c r="D126" s="796" t="s">
        <v>2054</v>
      </c>
      <c r="E126" s="797" t="s">
        <v>1536</v>
      </c>
      <c r="F126" s="795" t="s">
        <v>1508</v>
      </c>
      <c r="G126" s="795" t="s">
        <v>1553</v>
      </c>
      <c r="H126" s="795" t="s">
        <v>912</v>
      </c>
      <c r="I126" s="795" t="s">
        <v>970</v>
      </c>
      <c r="J126" s="795" t="s">
        <v>971</v>
      </c>
      <c r="K126" s="795" t="s">
        <v>1436</v>
      </c>
      <c r="L126" s="798">
        <v>225.06</v>
      </c>
      <c r="M126" s="798">
        <v>225.06</v>
      </c>
      <c r="N126" s="795">
        <v>1</v>
      </c>
      <c r="O126" s="799">
        <v>0.5</v>
      </c>
      <c r="P126" s="798"/>
      <c r="Q126" s="800">
        <v>0</v>
      </c>
      <c r="R126" s="795"/>
      <c r="S126" s="800">
        <v>0</v>
      </c>
      <c r="T126" s="799"/>
      <c r="U126" s="801">
        <v>0</v>
      </c>
    </row>
    <row r="127" spans="1:21" ht="14.4" customHeight="1" x14ac:dyDescent="0.3">
      <c r="A127" s="794">
        <v>31</v>
      </c>
      <c r="B127" s="795" t="s">
        <v>592</v>
      </c>
      <c r="C127" s="795" t="s">
        <v>1511</v>
      </c>
      <c r="D127" s="796" t="s">
        <v>2054</v>
      </c>
      <c r="E127" s="797" t="s">
        <v>1536</v>
      </c>
      <c r="F127" s="795" t="s">
        <v>1508</v>
      </c>
      <c r="G127" s="795" t="s">
        <v>1537</v>
      </c>
      <c r="H127" s="795" t="s">
        <v>593</v>
      </c>
      <c r="I127" s="795" t="s">
        <v>747</v>
      </c>
      <c r="J127" s="795" t="s">
        <v>748</v>
      </c>
      <c r="K127" s="795" t="s">
        <v>1538</v>
      </c>
      <c r="L127" s="798">
        <v>0</v>
      </c>
      <c r="M127" s="798">
        <v>0</v>
      </c>
      <c r="N127" s="795">
        <v>1</v>
      </c>
      <c r="O127" s="799">
        <v>0.5</v>
      </c>
      <c r="P127" s="798"/>
      <c r="Q127" s="800"/>
      <c r="R127" s="795"/>
      <c r="S127" s="800">
        <v>0</v>
      </c>
      <c r="T127" s="799"/>
      <c r="U127" s="801">
        <v>0</v>
      </c>
    </row>
    <row r="128" spans="1:21" ht="14.4" customHeight="1" x14ac:dyDescent="0.3">
      <c r="A128" s="794">
        <v>31</v>
      </c>
      <c r="B128" s="795" t="s">
        <v>592</v>
      </c>
      <c r="C128" s="795" t="s">
        <v>1511</v>
      </c>
      <c r="D128" s="796" t="s">
        <v>2054</v>
      </c>
      <c r="E128" s="797" t="s">
        <v>1536</v>
      </c>
      <c r="F128" s="795" t="s">
        <v>1508</v>
      </c>
      <c r="G128" s="795" t="s">
        <v>1539</v>
      </c>
      <c r="H128" s="795" t="s">
        <v>912</v>
      </c>
      <c r="I128" s="795" t="s">
        <v>1540</v>
      </c>
      <c r="J128" s="795" t="s">
        <v>977</v>
      </c>
      <c r="K128" s="795" t="s">
        <v>1414</v>
      </c>
      <c r="L128" s="798">
        <v>490.89</v>
      </c>
      <c r="M128" s="798">
        <v>4418.01</v>
      </c>
      <c r="N128" s="795">
        <v>9</v>
      </c>
      <c r="O128" s="799">
        <v>1.5</v>
      </c>
      <c r="P128" s="798">
        <v>4418.01</v>
      </c>
      <c r="Q128" s="800">
        <v>1</v>
      </c>
      <c r="R128" s="795">
        <v>9</v>
      </c>
      <c r="S128" s="800">
        <v>1</v>
      </c>
      <c r="T128" s="799">
        <v>1.5</v>
      </c>
      <c r="U128" s="801">
        <v>1</v>
      </c>
    </row>
    <row r="129" spans="1:21" ht="14.4" customHeight="1" x14ac:dyDescent="0.3">
      <c r="A129" s="794">
        <v>31</v>
      </c>
      <c r="B129" s="795" t="s">
        <v>592</v>
      </c>
      <c r="C129" s="795" t="s">
        <v>1511</v>
      </c>
      <c r="D129" s="796" t="s">
        <v>2054</v>
      </c>
      <c r="E129" s="797" t="s">
        <v>1536</v>
      </c>
      <c r="F129" s="795" t="s">
        <v>1508</v>
      </c>
      <c r="G129" s="795" t="s">
        <v>1539</v>
      </c>
      <c r="H129" s="795" t="s">
        <v>912</v>
      </c>
      <c r="I129" s="795" t="s">
        <v>1552</v>
      </c>
      <c r="J129" s="795" t="s">
        <v>977</v>
      </c>
      <c r="K129" s="795" t="s">
        <v>1413</v>
      </c>
      <c r="L129" s="798">
        <v>736.33</v>
      </c>
      <c r="M129" s="798">
        <v>2945.32</v>
      </c>
      <c r="N129" s="795">
        <v>4</v>
      </c>
      <c r="O129" s="799">
        <v>1</v>
      </c>
      <c r="P129" s="798">
        <v>1472.66</v>
      </c>
      <c r="Q129" s="800">
        <v>0.5</v>
      </c>
      <c r="R129" s="795">
        <v>2</v>
      </c>
      <c r="S129" s="800">
        <v>0.5</v>
      </c>
      <c r="T129" s="799">
        <v>0.5</v>
      </c>
      <c r="U129" s="801">
        <v>0.5</v>
      </c>
    </row>
    <row r="130" spans="1:21" ht="14.4" customHeight="1" x14ac:dyDescent="0.3">
      <c r="A130" s="794">
        <v>31</v>
      </c>
      <c r="B130" s="795" t="s">
        <v>592</v>
      </c>
      <c r="C130" s="795" t="s">
        <v>1511</v>
      </c>
      <c r="D130" s="796" t="s">
        <v>2054</v>
      </c>
      <c r="E130" s="797" t="s">
        <v>1536</v>
      </c>
      <c r="F130" s="795" t="s">
        <v>1508</v>
      </c>
      <c r="G130" s="795" t="s">
        <v>1541</v>
      </c>
      <c r="H130" s="795" t="s">
        <v>912</v>
      </c>
      <c r="I130" s="795" t="s">
        <v>929</v>
      </c>
      <c r="J130" s="795" t="s">
        <v>1453</v>
      </c>
      <c r="K130" s="795" t="s">
        <v>1454</v>
      </c>
      <c r="L130" s="798">
        <v>0</v>
      </c>
      <c r="M130" s="798">
        <v>0</v>
      </c>
      <c r="N130" s="795">
        <v>14</v>
      </c>
      <c r="O130" s="799">
        <v>9.5</v>
      </c>
      <c r="P130" s="798">
        <v>0</v>
      </c>
      <c r="Q130" s="800"/>
      <c r="R130" s="795">
        <v>9</v>
      </c>
      <c r="S130" s="800">
        <v>0.6428571428571429</v>
      </c>
      <c r="T130" s="799">
        <v>6</v>
      </c>
      <c r="U130" s="801">
        <v>0.63157894736842102</v>
      </c>
    </row>
    <row r="131" spans="1:21" ht="14.4" customHeight="1" x14ac:dyDescent="0.3">
      <c r="A131" s="794">
        <v>31</v>
      </c>
      <c r="B131" s="795" t="s">
        <v>592</v>
      </c>
      <c r="C131" s="795" t="s">
        <v>1511</v>
      </c>
      <c r="D131" s="796" t="s">
        <v>2054</v>
      </c>
      <c r="E131" s="797" t="s">
        <v>1536</v>
      </c>
      <c r="F131" s="795" t="s">
        <v>1508</v>
      </c>
      <c r="G131" s="795" t="s">
        <v>1542</v>
      </c>
      <c r="H131" s="795" t="s">
        <v>593</v>
      </c>
      <c r="I131" s="795" t="s">
        <v>1020</v>
      </c>
      <c r="J131" s="795" t="s">
        <v>1017</v>
      </c>
      <c r="K131" s="795" t="s">
        <v>1543</v>
      </c>
      <c r="L131" s="798">
        <v>186.27</v>
      </c>
      <c r="M131" s="798">
        <v>372.54</v>
      </c>
      <c r="N131" s="795">
        <v>2</v>
      </c>
      <c r="O131" s="799">
        <v>0.5</v>
      </c>
      <c r="P131" s="798">
        <v>372.54</v>
      </c>
      <c r="Q131" s="800">
        <v>1</v>
      </c>
      <c r="R131" s="795">
        <v>2</v>
      </c>
      <c r="S131" s="800">
        <v>1</v>
      </c>
      <c r="T131" s="799">
        <v>0.5</v>
      </c>
      <c r="U131" s="801">
        <v>1</v>
      </c>
    </row>
    <row r="132" spans="1:21" ht="14.4" customHeight="1" x14ac:dyDescent="0.3">
      <c r="A132" s="794">
        <v>31</v>
      </c>
      <c r="B132" s="795" t="s">
        <v>592</v>
      </c>
      <c r="C132" s="795" t="s">
        <v>1511</v>
      </c>
      <c r="D132" s="796" t="s">
        <v>2054</v>
      </c>
      <c r="E132" s="797" t="s">
        <v>1536</v>
      </c>
      <c r="F132" s="795" t="s">
        <v>1508</v>
      </c>
      <c r="G132" s="795" t="s">
        <v>1544</v>
      </c>
      <c r="H132" s="795" t="s">
        <v>593</v>
      </c>
      <c r="I132" s="795" t="s">
        <v>1545</v>
      </c>
      <c r="J132" s="795" t="s">
        <v>1546</v>
      </c>
      <c r="K132" s="795" t="s">
        <v>1547</v>
      </c>
      <c r="L132" s="798">
        <v>50.32</v>
      </c>
      <c r="M132" s="798">
        <v>50.32</v>
      </c>
      <c r="N132" s="795">
        <v>1</v>
      </c>
      <c r="O132" s="799">
        <v>0.5</v>
      </c>
      <c r="P132" s="798">
        <v>50.32</v>
      </c>
      <c r="Q132" s="800">
        <v>1</v>
      </c>
      <c r="R132" s="795">
        <v>1</v>
      </c>
      <c r="S132" s="800">
        <v>1</v>
      </c>
      <c r="T132" s="799">
        <v>0.5</v>
      </c>
      <c r="U132" s="801">
        <v>1</v>
      </c>
    </row>
    <row r="133" spans="1:21" ht="14.4" customHeight="1" x14ac:dyDescent="0.3">
      <c r="A133" s="794">
        <v>31</v>
      </c>
      <c r="B133" s="795" t="s">
        <v>592</v>
      </c>
      <c r="C133" s="795" t="s">
        <v>1511</v>
      </c>
      <c r="D133" s="796" t="s">
        <v>2054</v>
      </c>
      <c r="E133" s="797" t="s">
        <v>1536</v>
      </c>
      <c r="F133" s="795" t="s">
        <v>1510</v>
      </c>
      <c r="G133" s="795" t="s">
        <v>1548</v>
      </c>
      <c r="H133" s="795" t="s">
        <v>593</v>
      </c>
      <c r="I133" s="795" t="s">
        <v>1549</v>
      </c>
      <c r="J133" s="795" t="s">
        <v>1550</v>
      </c>
      <c r="K133" s="795" t="s">
        <v>1551</v>
      </c>
      <c r="L133" s="798">
        <v>35.130000000000003</v>
      </c>
      <c r="M133" s="798">
        <v>913.38</v>
      </c>
      <c r="N133" s="795">
        <v>26</v>
      </c>
      <c r="O133" s="799">
        <v>13</v>
      </c>
      <c r="P133" s="798">
        <v>913.38</v>
      </c>
      <c r="Q133" s="800">
        <v>1</v>
      </c>
      <c r="R133" s="795">
        <v>26</v>
      </c>
      <c r="S133" s="800">
        <v>1</v>
      </c>
      <c r="T133" s="799">
        <v>13</v>
      </c>
      <c r="U133" s="801">
        <v>1</v>
      </c>
    </row>
    <row r="134" spans="1:21" ht="14.4" customHeight="1" x14ac:dyDescent="0.3">
      <c r="A134" s="794">
        <v>31</v>
      </c>
      <c r="B134" s="795" t="s">
        <v>592</v>
      </c>
      <c r="C134" s="795" t="s">
        <v>1511</v>
      </c>
      <c r="D134" s="796" t="s">
        <v>2054</v>
      </c>
      <c r="E134" s="797" t="s">
        <v>1536</v>
      </c>
      <c r="F134" s="795" t="s">
        <v>1510</v>
      </c>
      <c r="G134" s="795" t="s">
        <v>1589</v>
      </c>
      <c r="H134" s="795" t="s">
        <v>593</v>
      </c>
      <c r="I134" s="795" t="s">
        <v>1596</v>
      </c>
      <c r="J134" s="795" t="s">
        <v>1597</v>
      </c>
      <c r="K134" s="795" t="s">
        <v>1598</v>
      </c>
      <c r="L134" s="798">
        <v>492.18</v>
      </c>
      <c r="M134" s="798">
        <v>984.36</v>
      </c>
      <c r="N134" s="795">
        <v>2</v>
      </c>
      <c r="O134" s="799">
        <v>2</v>
      </c>
      <c r="P134" s="798">
        <v>984.36</v>
      </c>
      <c r="Q134" s="800">
        <v>1</v>
      </c>
      <c r="R134" s="795">
        <v>2</v>
      </c>
      <c r="S134" s="800">
        <v>1</v>
      </c>
      <c r="T134" s="799">
        <v>2</v>
      </c>
      <c r="U134" s="801">
        <v>1</v>
      </c>
    </row>
    <row r="135" spans="1:21" ht="14.4" customHeight="1" x14ac:dyDescent="0.3">
      <c r="A135" s="794">
        <v>31</v>
      </c>
      <c r="B135" s="795" t="s">
        <v>592</v>
      </c>
      <c r="C135" s="795" t="s">
        <v>1511</v>
      </c>
      <c r="D135" s="796" t="s">
        <v>2054</v>
      </c>
      <c r="E135" s="797" t="s">
        <v>1536</v>
      </c>
      <c r="F135" s="795" t="s">
        <v>1510</v>
      </c>
      <c r="G135" s="795" t="s">
        <v>1617</v>
      </c>
      <c r="H135" s="795" t="s">
        <v>593</v>
      </c>
      <c r="I135" s="795" t="s">
        <v>1618</v>
      </c>
      <c r="J135" s="795" t="s">
        <v>1619</v>
      </c>
      <c r="K135" s="795" t="s">
        <v>1620</v>
      </c>
      <c r="L135" s="798">
        <v>260</v>
      </c>
      <c r="M135" s="798">
        <v>520</v>
      </c>
      <c r="N135" s="795">
        <v>2</v>
      </c>
      <c r="O135" s="799">
        <v>1</v>
      </c>
      <c r="P135" s="798">
        <v>520</v>
      </c>
      <c r="Q135" s="800">
        <v>1</v>
      </c>
      <c r="R135" s="795">
        <v>2</v>
      </c>
      <c r="S135" s="800">
        <v>1</v>
      </c>
      <c r="T135" s="799">
        <v>1</v>
      </c>
      <c r="U135" s="801">
        <v>1</v>
      </c>
    </row>
    <row r="136" spans="1:21" ht="14.4" customHeight="1" x14ac:dyDescent="0.3">
      <c r="A136" s="794">
        <v>31</v>
      </c>
      <c r="B136" s="795" t="s">
        <v>592</v>
      </c>
      <c r="C136" s="795" t="s">
        <v>1511</v>
      </c>
      <c r="D136" s="796" t="s">
        <v>2054</v>
      </c>
      <c r="E136" s="797" t="s">
        <v>1536</v>
      </c>
      <c r="F136" s="795" t="s">
        <v>1510</v>
      </c>
      <c r="G136" s="795" t="s">
        <v>1617</v>
      </c>
      <c r="H136" s="795" t="s">
        <v>593</v>
      </c>
      <c r="I136" s="795" t="s">
        <v>1621</v>
      </c>
      <c r="J136" s="795" t="s">
        <v>1622</v>
      </c>
      <c r="K136" s="795" t="s">
        <v>1623</v>
      </c>
      <c r="L136" s="798">
        <v>200</v>
      </c>
      <c r="M136" s="798">
        <v>800</v>
      </c>
      <c r="N136" s="795">
        <v>4</v>
      </c>
      <c r="O136" s="799">
        <v>2</v>
      </c>
      <c r="P136" s="798">
        <v>800</v>
      </c>
      <c r="Q136" s="800">
        <v>1</v>
      </c>
      <c r="R136" s="795">
        <v>4</v>
      </c>
      <c r="S136" s="800">
        <v>1</v>
      </c>
      <c r="T136" s="799">
        <v>2</v>
      </c>
      <c r="U136" s="801">
        <v>1</v>
      </c>
    </row>
    <row r="137" spans="1:21" ht="14.4" customHeight="1" x14ac:dyDescent="0.3">
      <c r="A137" s="794">
        <v>31</v>
      </c>
      <c r="B137" s="795" t="s">
        <v>592</v>
      </c>
      <c r="C137" s="795" t="s">
        <v>1511</v>
      </c>
      <c r="D137" s="796" t="s">
        <v>2054</v>
      </c>
      <c r="E137" s="797" t="s">
        <v>1536</v>
      </c>
      <c r="F137" s="795" t="s">
        <v>1510</v>
      </c>
      <c r="G137" s="795" t="s">
        <v>1617</v>
      </c>
      <c r="H137" s="795" t="s">
        <v>593</v>
      </c>
      <c r="I137" s="795" t="s">
        <v>1624</v>
      </c>
      <c r="J137" s="795" t="s">
        <v>1625</v>
      </c>
      <c r="K137" s="795" t="s">
        <v>1626</v>
      </c>
      <c r="L137" s="798">
        <v>1200</v>
      </c>
      <c r="M137" s="798">
        <v>1200</v>
      </c>
      <c r="N137" s="795">
        <v>1</v>
      </c>
      <c r="O137" s="799">
        <v>1</v>
      </c>
      <c r="P137" s="798">
        <v>1200</v>
      </c>
      <c r="Q137" s="800">
        <v>1</v>
      </c>
      <c r="R137" s="795">
        <v>1</v>
      </c>
      <c r="S137" s="800">
        <v>1</v>
      </c>
      <c r="T137" s="799">
        <v>1</v>
      </c>
      <c r="U137" s="801">
        <v>1</v>
      </c>
    </row>
    <row r="138" spans="1:21" ht="14.4" customHeight="1" x14ac:dyDescent="0.3">
      <c r="A138" s="794">
        <v>31</v>
      </c>
      <c r="B138" s="795" t="s">
        <v>592</v>
      </c>
      <c r="C138" s="795" t="s">
        <v>1513</v>
      </c>
      <c r="D138" s="796" t="s">
        <v>2055</v>
      </c>
      <c r="E138" s="797" t="s">
        <v>1520</v>
      </c>
      <c r="F138" s="795" t="s">
        <v>1508</v>
      </c>
      <c r="G138" s="795" t="s">
        <v>1672</v>
      </c>
      <c r="H138" s="795" t="s">
        <v>593</v>
      </c>
      <c r="I138" s="795" t="s">
        <v>1194</v>
      </c>
      <c r="J138" s="795" t="s">
        <v>1195</v>
      </c>
      <c r="K138" s="795" t="s">
        <v>1673</v>
      </c>
      <c r="L138" s="798">
        <v>31.09</v>
      </c>
      <c r="M138" s="798">
        <v>62.18</v>
      </c>
      <c r="N138" s="795">
        <v>2</v>
      </c>
      <c r="O138" s="799">
        <v>1</v>
      </c>
      <c r="P138" s="798">
        <v>62.18</v>
      </c>
      <c r="Q138" s="800">
        <v>1</v>
      </c>
      <c r="R138" s="795">
        <v>2</v>
      </c>
      <c r="S138" s="800">
        <v>1</v>
      </c>
      <c r="T138" s="799">
        <v>1</v>
      </c>
      <c r="U138" s="801">
        <v>1</v>
      </c>
    </row>
    <row r="139" spans="1:21" ht="14.4" customHeight="1" x14ac:dyDescent="0.3">
      <c r="A139" s="794">
        <v>31</v>
      </c>
      <c r="B139" s="795" t="s">
        <v>592</v>
      </c>
      <c r="C139" s="795" t="s">
        <v>1513</v>
      </c>
      <c r="D139" s="796" t="s">
        <v>2055</v>
      </c>
      <c r="E139" s="797" t="s">
        <v>1520</v>
      </c>
      <c r="F139" s="795" t="s">
        <v>1508</v>
      </c>
      <c r="G139" s="795" t="s">
        <v>1674</v>
      </c>
      <c r="H139" s="795" t="s">
        <v>593</v>
      </c>
      <c r="I139" s="795" t="s">
        <v>657</v>
      </c>
      <c r="J139" s="795" t="s">
        <v>658</v>
      </c>
      <c r="K139" s="795" t="s">
        <v>1675</v>
      </c>
      <c r="L139" s="798">
        <v>27.28</v>
      </c>
      <c r="M139" s="798">
        <v>27.28</v>
      </c>
      <c r="N139" s="795">
        <v>1</v>
      </c>
      <c r="O139" s="799">
        <v>1</v>
      </c>
      <c r="P139" s="798">
        <v>27.28</v>
      </c>
      <c r="Q139" s="800">
        <v>1</v>
      </c>
      <c r="R139" s="795">
        <v>1</v>
      </c>
      <c r="S139" s="800">
        <v>1</v>
      </c>
      <c r="T139" s="799">
        <v>1</v>
      </c>
      <c r="U139" s="801">
        <v>1</v>
      </c>
    </row>
    <row r="140" spans="1:21" ht="14.4" customHeight="1" x14ac:dyDescent="0.3">
      <c r="A140" s="794">
        <v>31</v>
      </c>
      <c r="B140" s="795" t="s">
        <v>592</v>
      </c>
      <c r="C140" s="795" t="s">
        <v>1513</v>
      </c>
      <c r="D140" s="796" t="s">
        <v>2055</v>
      </c>
      <c r="E140" s="797" t="s">
        <v>1520</v>
      </c>
      <c r="F140" s="795" t="s">
        <v>1510</v>
      </c>
      <c r="G140" s="795" t="s">
        <v>1589</v>
      </c>
      <c r="H140" s="795" t="s">
        <v>593</v>
      </c>
      <c r="I140" s="795" t="s">
        <v>1676</v>
      </c>
      <c r="J140" s="795" t="s">
        <v>1677</v>
      </c>
      <c r="K140" s="795" t="s">
        <v>1678</v>
      </c>
      <c r="L140" s="798">
        <v>2296.87</v>
      </c>
      <c r="M140" s="798">
        <v>2296.87</v>
      </c>
      <c r="N140" s="795">
        <v>1</v>
      </c>
      <c r="O140" s="799">
        <v>1</v>
      </c>
      <c r="P140" s="798">
        <v>2296.87</v>
      </c>
      <c r="Q140" s="800">
        <v>1</v>
      </c>
      <c r="R140" s="795">
        <v>1</v>
      </c>
      <c r="S140" s="800">
        <v>1</v>
      </c>
      <c r="T140" s="799">
        <v>1</v>
      </c>
      <c r="U140" s="801">
        <v>1</v>
      </c>
    </row>
    <row r="141" spans="1:21" ht="14.4" customHeight="1" x14ac:dyDescent="0.3">
      <c r="A141" s="794">
        <v>31</v>
      </c>
      <c r="B141" s="795" t="s">
        <v>592</v>
      </c>
      <c r="C141" s="795" t="s">
        <v>1513</v>
      </c>
      <c r="D141" s="796" t="s">
        <v>2055</v>
      </c>
      <c r="E141" s="797" t="s">
        <v>1521</v>
      </c>
      <c r="F141" s="795" t="s">
        <v>1508</v>
      </c>
      <c r="G141" s="795" t="s">
        <v>1553</v>
      </c>
      <c r="H141" s="795" t="s">
        <v>912</v>
      </c>
      <c r="I141" s="795" t="s">
        <v>1068</v>
      </c>
      <c r="J141" s="795" t="s">
        <v>1438</v>
      </c>
      <c r="K141" s="795" t="s">
        <v>1439</v>
      </c>
      <c r="L141" s="798">
        <v>149.52000000000001</v>
      </c>
      <c r="M141" s="798">
        <v>149.52000000000001</v>
      </c>
      <c r="N141" s="795">
        <v>1</v>
      </c>
      <c r="O141" s="799"/>
      <c r="P141" s="798">
        <v>149.52000000000001</v>
      </c>
      <c r="Q141" s="800">
        <v>1</v>
      </c>
      <c r="R141" s="795">
        <v>1</v>
      </c>
      <c r="S141" s="800">
        <v>1</v>
      </c>
      <c r="T141" s="799"/>
      <c r="U141" s="801"/>
    </row>
    <row r="142" spans="1:21" ht="14.4" customHeight="1" x14ac:dyDescent="0.3">
      <c r="A142" s="794">
        <v>31</v>
      </c>
      <c r="B142" s="795" t="s">
        <v>592</v>
      </c>
      <c r="C142" s="795" t="s">
        <v>1513</v>
      </c>
      <c r="D142" s="796" t="s">
        <v>2055</v>
      </c>
      <c r="E142" s="797" t="s">
        <v>1521</v>
      </c>
      <c r="F142" s="795" t="s">
        <v>1508</v>
      </c>
      <c r="G142" s="795" t="s">
        <v>1553</v>
      </c>
      <c r="H142" s="795" t="s">
        <v>593</v>
      </c>
      <c r="I142" s="795" t="s">
        <v>1679</v>
      </c>
      <c r="J142" s="795" t="s">
        <v>1680</v>
      </c>
      <c r="K142" s="795" t="s">
        <v>1681</v>
      </c>
      <c r="L142" s="798">
        <v>149.52000000000001</v>
      </c>
      <c r="M142" s="798">
        <v>149.52000000000001</v>
      </c>
      <c r="N142" s="795">
        <v>1</v>
      </c>
      <c r="O142" s="799"/>
      <c r="P142" s="798">
        <v>149.52000000000001</v>
      </c>
      <c r="Q142" s="800">
        <v>1</v>
      </c>
      <c r="R142" s="795">
        <v>1</v>
      </c>
      <c r="S142" s="800">
        <v>1</v>
      </c>
      <c r="T142" s="799"/>
      <c r="U142" s="801"/>
    </row>
    <row r="143" spans="1:21" ht="14.4" customHeight="1" x14ac:dyDescent="0.3">
      <c r="A143" s="794">
        <v>31</v>
      </c>
      <c r="B143" s="795" t="s">
        <v>592</v>
      </c>
      <c r="C143" s="795" t="s">
        <v>1513</v>
      </c>
      <c r="D143" s="796" t="s">
        <v>2055</v>
      </c>
      <c r="E143" s="797" t="s">
        <v>1521</v>
      </c>
      <c r="F143" s="795" t="s">
        <v>1508</v>
      </c>
      <c r="G143" s="795" t="s">
        <v>1557</v>
      </c>
      <c r="H143" s="795" t="s">
        <v>593</v>
      </c>
      <c r="I143" s="795" t="s">
        <v>1682</v>
      </c>
      <c r="J143" s="795" t="s">
        <v>1062</v>
      </c>
      <c r="K143" s="795" t="s">
        <v>1683</v>
      </c>
      <c r="L143" s="798">
        <v>391.67</v>
      </c>
      <c r="M143" s="798">
        <v>783.34</v>
      </c>
      <c r="N143" s="795">
        <v>2</v>
      </c>
      <c r="O143" s="799"/>
      <c r="P143" s="798"/>
      <c r="Q143" s="800">
        <v>0</v>
      </c>
      <c r="R143" s="795"/>
      <c r="S143" s="800">
        <v>0</v>
      </c>
      <c r="T143" s="799"/>
      <c r="U143" s="801"/>
    </row>
    <row r="144" spans="1:21" ht="14.4" customHeight="1" x14ac:dyDescent="0.3">
      <c r="A144" s="794">
        <v>31</v>
      </c>
      <c r="B144" s="795" t="s">
        <v>592</v>
      </c>
      <c r="C144" s="795" t="s">
        <v>1513</v>
      </c>
      <c r="D144" s="796" t="s">
        <v>2055</v>
      </c>
      <c r="E144" s="797" t="s">
        <v>1521</v>
      </c>
      <c r="F144" s="795" t="s">
        <v>1508</v>
      </c>
      <c r="G144" s="795" t="s">
        <v>1684</v>
      </c>
      <c r="H144" s="795" t="s">
        <v>593</v>
      </c>
      <c r="I144" s="795" t="s">
        <v>996</v>
      </c>
      <c r="J144" s="795" t="s">
        <v>997</v>
      </c>
      <c r="K144" s="795" t="s">
        <v>1685</v>
      </c>
      <c r="L144" s="798">
        <v>48.09</v>
      </c>
      <c r="M144" s="798">
        <v>480.90000000000003</v>
      </c>
      <c r="N144" s="795">
        <v>10</v>
      </c>
      <c r="O144" s="799"/>
      <c r="P144" s="798">
        <v>240.45000000000002</v>
      </c>
      <c r="Q144" s="800">
        <v>0.5</v>
      </c>
      <c r="R144" s="795">
        <v>5</v>
      </c>
      <c r="S144" s="800">
        <v>0.5</v>
      </c>
      <c r="T144" s="799"/>
      <c r="U144" s="801"/>
    </row>
    <row r="145" spans="1:21" ht="14.4" customHeight="1" x14ac:dyDescent="0.3">
      <c r="A145" s="794">
        <v>31</v>
      </c>
      <c r="B145" s="795" t="s">
        <v>592</v>
      </c>
      <c r="C145" s="795" t="s">
        <v>1513</v>
      </c>
      <c r="D145" s="796" t="s">
        <v>2055</v>
      </c>
      <c r="E145" s="797" t="s">
        <v>1521</v>
      </c>
      <c r="F145" s="795" t="s">
        <v>1508</v>
      </c>
      <c r="G145" s="795" t="s">
        <v>1537</v>
      </c>
      <c r="H145" s="795" t="s">
        <v>593</v>
      </c>
      <c r="I145" s="795" t="s">
        <v>747</v>
      </c>
      <c r="J145" s="795" t="s">
        <v>748</v>
      </c>
      <c r="K145" s="795" t="s">
        <v>1538</v>
      </c>
      <c r="L145" s="798">
        <v>0</v>
      </c>
      <c r="M145" s="798">
        <v>0</v>
      </c>
      <c r="N145" s="795">
        <v>1</v>
      </c>
      <c r="O145" s="799"/>
      <c r="P145" s="798"/>
      <c r="Q145" s="800"/>
      <c r="R145" s="795"/>
      <c r="S145" s="800">
        <v>0</v>
      </c>
      <c r="T145" s="799"/>
      <c r="U145" s="801"/>
    </row>
    <row r="146" spans="1:21" ht="14.4" customHeight="1" x14ac:dyDescent="0.3">
      <c r="A146" s="794">
        <v>31</v>
      </c>
      <c r="B146" s="795" t="s">
        <v>592</v>
      </c>
      <c r="C146" s="795" t="s">
        <v>1513</v>
      </c>
      <c r="D146" s="796" t="s">
        <v>2055</v>
      </c>
      <c r="E146" s="797" t="s">
        <v>1521</v>
      </c>
      <c r="F146" s="795" t="s">
        <v>1508</v>
      </c>
      <c r="G146" s="795" t="s">
        <v>1537</v>
      </c>
      <c r="H146" s="795" t="s">
        <v>593</v>
      </c>
      <c r="I146" s="795" t="s">
        <v>1686</v>
      </c>
      <c r="J146" s="795" t="s">
        <v>748</v>
      </c>
      <c r="K146" s="795" t="s">
        <v>1687</v>
      </c>
      <c r="L146" s="798">
        <v>0</v>
      </c>
      <c r="M146" s="798">
        <v>0</v>
      </c>
      <c r="N146" s="795">
        <v>2</v>
      </c>
      <c r="O146" s="799"/>
      <c r="P146" s="798">
        <v>0</v>
      </c>
      <c r="Q146" s="800"/>
      <c r="R146" s="795">
        <v>2</v>
      </c>
      <c r="S146" s="800">
        <v>1</v>
      </c>
      <c r="T146" s="799"/>
      <c r="U146" s="801"/>
    </row>
    <row r="147" spans="1:21" ht="14.4" customHeight="1" x14ac:dyDescent="0.3">
      <c r="A147" s="794">
        <v>31</v>
      </c>
      <c r="B147" s="795" t="s">
        <v>592</v>
      </c>
      <c r="C147" s="795" t="s">
        <v>1513</v>
      </c>
      <c r="D147" s="796" t="s">
        <v>2055</v>
      </c>
      <c r="E147" s="797" t="s">
        <v>1521</v>
      </c>
      <c r="F147" s="795" t="s">
        <v>1508</v>
      </c>
      <c r="G147" s="795" t="s">
        <v>1561</v>
      </c>
      <c r="H147" s="795" t="s">
        <v>593</v>
      </c>
      <c r="I147" s="795" t="s">
        <v>1565</v>
      </c>
      <c r="J147" s="795" t="s">
        <v>1563</v>
      </c>
      <c r="K147" s="795" t="s">
        <v>1566</v>
      </c>
      <c r="L147" s="798">
        <v>132.97999999999999</v>
      </c>
      <c r="M147" s="798">
        <v>132.97999999999999</v>
      </c>
      <c r="N147" s="795">
        <v>1</v>
      </c>
      <c r="O147" s="799"/>
      <c r="P147" s="798"/>
      <c r="Q147" s="800">
        <v>0</v>
      </c>
      <c r="R147" s="795"/>
      <c r="S147" s="800">
        <v>0</v>
      </c>
      <c r="T147" s="799"/>
      <c r="U147" s="801"/>
    </row>
    <row r="148" spans="1:21" ht="14.4" customHeight="1" x14ac:dyDescent="0.3">
      <c r="A148" s="794">
        <v>31</v>
      </c>
      <c r="B148" s="795" t="s">
        <v>592</v>
      </c>
      <c r="C148" s="795" t="s">
        <v>1513</v>
      </c>
      <c r="D148" s="796" t="s">
        <v>2055</v>
      </c>
      <c r="E148" s="797" t="s">
        <v>1521</v>
      </c>
      <c r="F148" s="795" t="s">
        <v>1508</v>
      </c>
      <c r="G148" s="795" t="s">
        <v>1539</v>
      </c>
      <c r="H148" s="795" t="s">
        <v>912</v>
      </c>
      <c r="I148" s="795" t="s">
        <v>1540</v>
      </c>
      <c r="J148" s="795" t="s">
        <v>977</v>
      </c>
      <c r="K148" s="795" t="s">
        <v>1414</v>
      </c>
      <c r="L148" s="798">
        <v>490.89</v>
      </c>
      <c r="M148" s="798">
        <v>1472.67</v>
      </c>
      <c r="N148" s="795">
        <v>3</v>
      </c>
      <c r="O148" s="799"/>
      <c r="P148" s="798">
        <v>1472.67</v>
      </c>
      <c r="Q148" s="800">
        <v>1</v>
      </c>
      <c r="R148" s="795">
        <v>3</v>
      </c>
      <c r="S148" s="800">
        <v>1</v>
      </c>
      <c r="T148" s="799"/>
      <c r="U148" s="801"/>
    </row>
    <row r="149" spans="1:21" ht="14.4" customHeight="1" x14ac:dyDescent="0.3">
      <c r="A149" s="794">
        <v>31</v>
      </c>
      <c r="B149" s="795" t="s">
        <v>592</v>
      </c>
      <c r="C149" s="795" t="s">
        <v>1513</v>
      </c>
      <c r="D149" s="796" t="s">
        <v>2055</v>
      </c>
      <c r="E149" s="797" t="s">
        <v>1521</v>
      </c>
      <c r="F149" s="795" t="s">
        <v>1508</v>
      </c>
      <c r="G149" s="795" t="s">
        <v>1539</v>
      </c>
      <c r="H149" s="795" t="s">
        <v>912</v>
      </c>
      <c r="I149" s="795" t="s">
        <v>1552</v>
      </c>
      <c r="J149" s="795" t="s">
        <v>977</v>
      </c>
      <c r="K149" s="795" t="s">
        <v>1413</v>
      </c>
      <c r="L149" s="798">
        <v>736.33</v>
      </c>
      <c r="M149" s="798">
        <v>2945.32</v>
      </c>
      <c r="N149" s="795">
        <v>4</v>
      </c>
      <c r="O149" s="799"/>
      <c r="P149" s="798">
        <v>2945.32</v>
      </c>
      <c r="Q149" s="800">
        <v>1</v>
      </c>
      <c r="R149" s="795">
        <v>4</v>
      </c>
      <c r="S149" s="800">
        <v>1</v>
      </c>
      <c r="T149" s="799"/>
      <c r="U149" s="801"/>
    </row>
    <row r="150" spans="1:21" ht="14.4" customHeight="1" x14ac:dyDescent="0.3">
      <c r="A150" s="794">
        <v>31</v>
      </c>
      <c r="B150" s="795" t="s">
        <v>592</v>
      </c>
      <c r="C150" s="795" t="s">
        <v>1513</v>
      </c>
      <c r="D150" s="796" t="s">
        <v>2055</v>
      </c>
      <c r="E150" s="797" t="s">
        <v>1521</v>
      </c>
      <c r="F150" s="795" t="s">
        <v>1508</v>
      </c>
      <c r="G150" s="795" t="s">
        <v>1541</v>
      </c>
      <c r="H150" s="795" t="s">
        <v>912</v>
      </c>
      <c r="I150" s="795" t="s">
        <v>929</v>
      </c>
      <c r="J150" s="795" t="s">
        <v>1453</v>
      </c>
      <c r="K150" s="795" t="s">
        <v>1454</v>
      </c>
      <c r="L150" s="798">
        <v>0</v>
      </c>
      <c r="M150" s="798">
        <v>0</v>
      </c>
      <c r="N150" s="795">
        <v>2</v>
      </c>
      <c r="O150" s="799"/>
      <c r="P150" s="798"/>
      <c r="Q150" s="800"/>
      <c r="R150" s="795"/>
      <c r="S150" s="800">
        <v>0</v>
      </c>
      <c r="T150" s="799"/>
      <c r="U150" s="801"/>
    </row>
    <row r="151" spans="1:21" ht="14.4" customHeight="1" x14ac:dyDescent="0.3">
      <c r="A151" s="794">
        <v>31</v>
      </c>
      <c r="B151" s="795" t="s">
        <v>592</v>
      </c>
      <c r="C151" s="795" t="s">
        <v>1513</v>
      </c>
      <c r="D151" s="796" t="s">
        <v>2055</v>
      </c>
      <c r="E151" s="797" t="s">
        <v>1521</v>
      </c>
      <c r="F151" s="795" t="s">
        <v>1508</v>
      </c>
      <c r="G151" s="795" t="s">
        <v>1688</v>
      </c>
      <c r="H151" s="795" t="s">
        <v>593</v>
      </c>
      <c r="I151" s="795" t="s">
        <v>1689</v>
      </c>
      <c r="J151" s="795" t="s">
        <v>1690</v>
      </c>
      <c r="K151" s="795" t="s">
        <v>1691</v>
      </c>
      <c r="L151" s="798">
        <v>299.24</v>
      </c>
      <c r="M151" s="798">
        <v>299.24</v>
      </c>
      <c r="N151" s="795">
        <v>1</v>
      </c>
      <c r="O151" s="799"/>
      <c r="P151" s="798">
        <v>299.24</v>
      </c>
      <c r="Q151" s="800">
        <v>1</v>
      </c>
      <c r="R151" s="795">
        <v>1</v>
      </c>
      <c r="S151" s="800">
        <v>1</v>
      </c>
      <c r="T151" s="799"/>
      <c r="U151" s="801"/>
    </row>
    <row r="152" spans="1:21" ht="14.4" customHeight="1" x14ac:dyDescent="0.3">
      <c r="A152" s="794">
        <v>31</v>
      </c>
      <c r="B152" s="795" t="s">
        <v>592</v>
      </c>
      <c r="C152" s="795" t="s">
        <v>1513</v>
      </c>
      <c r="D152" s="796" t="s">
        <v>2055</v>
      </c>
      <c r="E152" s="797" t="s">
        <v>1521</v>
      </c>
      <c r="F152" s="795" t="s">
        <v>1508</v>
      </c>
      <c r="G152" s="795" t="s">
        <v>1542</v>
      </c>
      <c r="H152" s="795" t="s">
        <v>593</v>
      </c>
      <c r="I152" s="795" t="s">
        <v>1020</v>
      </c>
      <c r="J152" s="795" t="s">
        <v>1017</v>
      </c>
      <c r="K152" s="795" t="s">
        <v>1543</v>
      </c>
      <c r="L152" s="798">
        <v>186.27</v>
      </c>
      <c r="M152" s="798">
        <v>186.27</v>
      </c>
      <c r="N152" s="795">
        <v>1</v>
      </c>
      <c r="O152" s="799"/>
      <c r="P152" s="798">
        <v>186.27</v>
      </c>
      <c r="Q152" s="800">
        <v>1</v>
      </c>
      <c r="R152" s="795">
        <v>1</v>
      </c>
      <c r="S152" s="800">
        <v>1</v>
      </c>
      <c r="T152" s="799"/>
      <c r="U152" s="801"/>
    </row>
    <row r="153" spans="1:21" ht="14.4" customHeight="1" x14ac:dyDescent="0.3">
      <c r="A153" s="794">
        <v>31</v>
      </c>
      <c r="B153" s="795" t="s">
        <v>592</v>
      </c>
      <c r="C153" s="795" t="s">
        <v>1513</v>
      </c>
      <c r="D153" s="796" t="s">
        <v>2055</v>
      </c>
      <c r="E153" s="797" t="s">
        <v>1521</v>
      </c>
      <c r="F153" s="795" t="s">
        <v>1508</v>
      </c>
      <c r="G153" s="795" t="s">
        <v>1544</v>
      </c>
      <c r="H153" s="795" t="s">
        <v>593</v>
      </c>
      <c r="I153" s="795" t="s">
        <v>1692</v>
      </c>
      <c r="J153" s="795" t="s">
        <v>1546</v>
      </c>
      <c r="K153" s="795" t="s">
        <v>1693</v>
      </c>
      <c r="L153" s="798">
        <v>33.549999999999997</v>
      </c>
      <c r="M153" s="798">
        <v>33.549999999999997</v>
      </c>
      <c r="N153" s="795">
        <v>1</v>
      </c>
      <c r="O153" s="799"/>
      <c r="P153" s="798"/>
      <c r="Q153" s="800">
        <v>0</v>
      </c>
      <c r="R153" s="795"/>
      <c r="S153" s="800">
        <v>0</v>
      </c>
      <c r="T153" s="799"/>
      <c r="U153" s="801"/>
    </row>
    <row r="154" spans="1:21" ht="14.4" customHeight="1" x14ac:dyDescent="0.3">
      <c r="A154" s="794">
        <v>31</v>
      </c>
      <c r="B154" s="795" t="s">
        <v>592</v>
      </c>
      <c r="C154" s="795" t="s">
        <v>1513</v>
      </c>
      <c r="D154" s="796" t="s">
        <v>2055</v>
      </c>
      <c r="E154" s="797" t="s">
        <v>1521</v>
      </c>
      <c r="F154" s="795" t="s">
        <v>1510</v>
      </c>
      <c r="G154" s="795" t="s">
        <v>1548</v>
      </c>
      <c r="H154" s="795" t="s">
        <v>593</v>
      </c>
      <c r="I154" s="795" t="s">
        <v>1694</v>
      </c>
      <c r="J154" s="795" t="s">
        <v>1550</v>
      </c>
      <c r="K154" s="795" t="s">
        <v>1695</v>
      </c>
      <c r="L154" s="798">
        <v>24.77</v>
      </c>
      <c r="M154" s="798">
        <v>24.77</v>
      </c>
      <c r="N154" s="795">
        <v>1</v>
      </c>
      <c r="O154" s="799">
        <v>1</v>
      </c>
      <c r="P154" s="798">
        <v>24.77</v>
      </c>
      <c r="Q154" s="800">
        <v>1</v>
      </c>
      <c r="R154" s="795">
        <v>1</v>
      </c>
      <c r="S154" s="800">
        <v>1</v>
      </c>
      <c r="T154" s="799">
        <v>1</v>
      </c>
      <c r="U154" s="801">
        <v>1</v>
      </c>
    </row>
    <row r="155" spans="1:21" ht="14.4" customHeight="1" x14ac:dyDescent="0.3">
      <c r="A155" s="794">
        <v>31</v>
      </c>
      <c r="B155" s="795" t="s">
        <v>592</v>
      </c>
      <c r="C155" s="795" t="s">
        <v>1513</v>
      </c>
      <c r="D155" s="796" t="s">
        <v>2055</v>
      </c>
      <c r="E155" s="797" t="s">
        <v>1521</v>
      </c>
      <c r="F155" s="795" t="s">
        <v>1510</v>
      </c>
      <c r="G155" s="795" t="s">
        <v>1548</v>
      </c>
      <c r="H155" s="795" t="s">
        <v>593</v>
      </c>
      <c r="I155" s="795" t="s">
        <v>1696</v>
      </c>
      <c r="J155" s="795" t="s">
        <v>1550</v>
      </c>
      <c r="K155" s="795" t="s">
        <v>1697</v>
      </c>
      <c r="L155" s="798">
        <v>38.24</v>
      </c>
      <c r="M155" s="798">
        <v>76.48</v>
      </c>
      <c r="N155" s="795">
        <v>2</v>
      </c>
      <c r="O155" s="799">
        <v>2</v>
      </c>
      <c r="P155" s="798">
        <v>76.48</v>
      </c>
      <c r="Q155" s="800">
        <v>1</v>
      </c>
      <c r="R155" s="795">
        <v>2</v>
      </c>
      <c r="S155" s="800">
        <v>1</v>
      </c>
      <c r="T155" s="799">
        <v>2</v>
      </c>
      <c r="U155" s="801">
        <v>1</v>
      </c>
    </row>
    <row r="156" spans="1:21" ht="14.4" customHeight="1" x14ac:dyDescent="0.3">
      <c r="A156" s="794">
        <v>31</v>
      </c>
      <c r="B156" s="795" t="s">
        <v>592</v>
      </c>
      <c r="C156" s="795" t="s">
        <v>1513</v>
      </c>
      <c r="D156" s="796" t="s">
        <v>2055</v>
      </c>
      <c r="E156" s="797" t="s">
        <v>1521</v>
      </c>
      <c r="F156" s="795" t="s">
        <v>1510</v>
      </c>
      <c r="G156" s="795" t="s">
        <v>1589</v>
      </c>
      <c r="H156" s="795" t="s">
        <v>593</v>
      </c>
      <c r="I156" s="795" t="s">
        <v>1652</v>
      </c>
      <c r="J156" s="795" t="s">
        <v>1653</v>
      </c>
      <c r="K156" s="795" t="s">
        <v>1654</v>
      </c>
      <c r="L156" s="798">
        <v>245.43</v>
      </c>
      <c r="M156" s="798">
        <v>245.43</v>
      </c>
      <c r="N156" s="795">
        <v>1</v>
      </c>
      <c r="O156" s="799">
        <v>1</v>
      </c>
      <c r="P156" s="798">
        <v>245.43</v>
      </c>
      <c r="Q156" s="800">
        <v>1</v>
      </c>
      <c r="R156" s="795">
        <v>1</v>
      </c>
      <c r="S156" s="800">
        <v>1</v>
      </c>
      <c r="T156" s="799">
        <v>1</v>
      </c>
      <c r="U156" s="801">
        <v>1</v>
      </c>
    </row>
    <row r="157" spans="1:21" ht="14.4" customHeight="1" x14ac:dyDescent="0.3">
      <c r="A157" s="794">
        <v>31</v>
      </c>
      <c r="B157" s="795" t="s">
        <v>592</v>
      </c>
      <c r="C157" s="795" t="s">
        <v>1513</v>
      </c>
      <c r="D157" s="796" t="s">
        <v>2055</v>
      </c>
      <c r="E157" s="797" t="s">
        <v>1521</v>
      </c>
      <c r="F157" s="795" t="s">
        <v>1510</v>
      </c>
      <c r="G157" s="795" t="s">
        <v>1589</v>
      </c>
      <c r="H157" s="795" t="s">
        <v>593</v>
      </c>
      <c r="I157" s="795" t="s">
        <v>1655</v>
      </c>
      <c r="J157" s="795" t="s">
        <v>1656</v>
      </c>
      <c r="K157" s="795" t="s">
        <v>1657</v>
      </c>
      <c r="L157" s="798">
        <v>58.5</v>
      </c>
      <c r="M157" s="798">
        <v>58.5</v>
      </c>
      <c r="N157" s="795">
        <v>1</v>
      </c>
      <c r="O157" s="799">
        <v>1</v>
      </c>
      <c r="P157" s="798">
        <v>58.5</v>
      </c>
      <c r="Q157" s="800">
        <v>1</v>
      </c>
      <c r="R157" s="795">
        <v>1</v>
      </c>
      <c r="S157" s="800">
        <v>1</v>
      </c>
      <c r="T157" s="799">
        <v>1</v>
      </c>
      <c r="U157" s="801">
        <v>1</v>
      </c>
    </row>
    <row r="158" spans="1:21" ht="14.4" customHeight="1" x14ac:dyDescent="0.3">
      <c r="A158" s="794">
        <v>31</v>
      </c>
      <c r="B158" s="795" t="s">
        <v>592</v>
      </c>
      <c r="C158" s="795" t="s">
        <v>1513</v>
      </c>
      <c r="D158" s="796" t="s">
        <v>2055</v>
      </c>
      <c r="E158" s="797" t="s">
        <v>1521</v>
      </c>
      <c r="F158" s="795" t="s">
        <v>1510</v>
      </c>
      <c r="G158" s="795" t="s">
        <v>1589</v>
      </c>
      <c r="H158" s="795" t="s">
        <v>593</v>
      </c>
      <c r="I158" s="795" t="s">
        <v>1602</v>
      </c>
      <c r="J158" s="795" t="s">
        <v>1603</v>
      </c>
      <c r="K158" s="795" t="s">
        <v>1604</v>
      </c>
      <c r="L158" s="798">
        <v>971.25</v>
      </c>
      <c r="M158" s="798">
        <v>2913.75</v>
      </c>
      <c r="N158" s="795">
        <v>3</v>
      </c>
      <c r="O158" s="799">
        <v>3</v>
      </c>
      <c r="P158" s="798">
        <v>2913.75</v>
      </c>
      <c r="Q158" s="800">
        <v>1</v>
      </c>
      <c r="R158" s="795">
        <v>3</v>
      </c>
      <c r="S158" s="800">
        <v>1</v>
      </c>
      <c r="T158" s="799">
        <v>3</v>
      </c>
      <c r="U158" s="801">
        <v>1</v>
      </c>
    </row>
    <row r="159" spans="1:21" ht="14.4" customHeight="1" x14ac:dyDescent="0.3">
      <c r="A159" s="794">
        <v>31</v>
      </c>
      <c r="B159" s="795" t="s">
        <v>592</v>
      </c>
      <c r="C159" s="795" t="s">
        <v>1513</v>
      </c>
      <c r="D159" s="796" t="s">
        <v>2055</v>
      </c>
      <c r="E159" s="797" t="s">
        <v>1521</v>
      </c>
      <c r="F159" s="795" t="s">
        <v>1510</v>
      </c>
      <c r="G159" s="795" t="s">
        <v>1589</v>
      </c>
      <c r="H159" s="795" t="s">
        <v>593</v>
      </c>
      <c r="I159" s="795" t="s">
        <v>1698</v>
      </c>
      <c r="J159" s="795" t="s">
        <v>1699</v>
      </c>
      <c r="K159" s="795" t="s">
        <v>1700</v>
      </c>
      <c r="L159" s="798">
        <v>180</v>
      </c>
      <c r="M159" s="798">
        <v>180</v>
      </c>
      <c r="N159" s="795">
        <v>1</v>
      </c>
      <c r="O159" s="799">
        <v>1</v>
      </c>
      <c r="P159" s="798">
        <v>180</v>
      </c>
      <c r="Q159" s="800">
        <v>1</v>
      </c>
      <c r="R159" s="795">
        <v>1</v>
      </c>
      <c r="S159" s="800">
        <v>1</v>
      </c>
      <c r="T159" s="799">
        <v>1</v>
      </c>
      <c r="U159" s="801">
        <v>1</v>
      </c>
    </row>
    <row r="160" spans="1:21" ht="14.4" customHeight="1" x14ac:dyDescent="0.3">
      <c r="A160" s="794">
        <v>31</v>
      </c>
      <c r="B160" s="795" t="s">
        <v>592</v>
      </c>
      <c r="C160" s="795" t="s">
        <v>1513</v>
      </c>
      <c r="D160" s="796" t="s">
        <v>2055</v>
      </c>
      <c r="E160" s="797" t="s">
        <v>1521</v>
      </c>
      <c r="F160" s="795" t="s">
        <v>1510</v>
      </c>
      <c r="G160" s="795" t="s">
        <v>1589</v>
      </c>
      <c r="H160" s="795" t="s">
        <v>593</v>
      </c>
      <c r="I160" s="795" t="s">
        <v>1605</v>
      </c>
      <c r="J160" s="795" t="s">
        <v>1606</v>
      </c>
      <c r="K160" s="795" t="s">
        <v>1607</v>
      </c>
      <c r="L160" s="798">
        <v>350</v>
      </c>
      <c r="M160" s="798">
        <v>1050</v>
      </c>
      <c r="N160" s="795">
        <v>3</v>
      </c>
      <c r="O160" s="799">
        <v>3</v>
      </c>
      <c r="P160" s="798">
        <v>1050</v>
      </c>
      <c r="Q160" s="800">
        <v>1</v>
      </c>
      <c r="R160" s="795">
        <v>3</v>
      </c>
      <c r="S160" s="800">
        <v>1</v>
      </c>
      <c r="T160" s="799">
        <v>3</v>
      </c>
      <c r="U160" s="801">
        <v>1</v>
      </c>
    </row>
    <row r="161" spans="1:21" ht="14.4" customHeight="1" x14ac:dyDescent="0.3">
      <c r="A161" s="794">
        <v>31</v>
      </c>
      <c r="B161" s="795" t="s">
        <v>592</v>
      </c>
      <c r="C161" s="795" t="s">
        <v>1513</v>
      </c>
      <c r="D161" s="796" t="s">
        <v>2055</v>
      </c>
      <c r="E161" s="797" t="s">
        <v>1521</v>
      </c>
      <c r="F161" s="795" t="s">
        <v>1510</v>
      </c>
      <c r="G161" s="795" t="s">
        <v>1589</v>
      </c>
      <c r="H161" s="795" t="s">
        <v>593</v>
      </c>
      <c r="I161" s="795" t="s">
        <v>1661</v>
      </c>
      <c r="J161" s="795" t="s">
        <v>1656</v>
      </c>
      <c r="K161" s="795" t="s">
        <v>1662</v>
      </c>
      <c r="L161" s="798">
        <v>58.5</v>
      </c>
      <c r="M161" s="798">
        <v>58.5</v>
      </c>
      <c r="N161" s="795">
        <v>1</v>
      </c>
      <c r="O161" s="799">
        <v>1</v>
      </c>
      <c r="P161" s="798">
        <v>58.5</v>
      </c>
      <c r="Q161" s="800">
        <v>1</v>
      </c>
      <c r="R161" s="795">
        <v>1</v>
      </c>
      <c r="S161" s="800">
        <v>1</v>
      </c>
      <c r="T161" s="799">
        <v>1</v>
      </c>
      <c r="U161" s="801">
        <v>1</v>
      </c>
    </row>
    <row r="162" spans="1:21" ht="14.4" customHeight="1" x14ac:dyDescent="0.3">
      <c r="A162" s="794">
        <v>31</v>
      </c>
      <c r="B162" s="795" t="s">
        <v>592</v>
      </c>
      <c r="C162" s="795" t="s">
        <v>1513</v>
      </c>
      <c r="D162" s="796" t="s">
        <v>2055</v>
      </c>
      <c r="E162" s="797" t="s">
        <v>1521</v>
      </c>
      <c r="F162" s="795" t="s">
        <v>1510</v>
      </c>
      <c r="G162" s="795" t="s">
        <v>1617</v>
      </c>
      <c r="H162" s="795" t="s">
        <v>593</v>
      </c>
      <c r="I162" s="795" t="s">
        <v>1618</v>
      </c>
      <c r="J162" s="795" t="s">
        <v>1619</v>
      </c>
      <c r="K162" s="795" t="s">
        <v>1620</v>
      </c>
      <c r="L162" s="798">
        <v>260</v>
      </c>
      <c r="M162" s="798">
        <v>520</v>
      </c>
      <c r="N162" s="795">
        <v>2</v>
      </c>
      <c r="O162" s="799">
        <v>1</v>
      </c>
      <c r="P162" s="798">
        <v>520</v>
      </c>
      <c r="Q162" s="800">
        <v>1</v>
      </c>
      <c r="R162" s="795">
        <v>2</v>
      </c>
      <c r="S162" s="800">
        <v>1</v>
      </c>
      <c r="T162" s="799">
        <v>1</v>
      </c>
      <c r="U162" s="801">
        <v>1</v>
      </c>
    </row>
    <row r="163" spans="1:21" ht="14.4" customHeight="1" x14ac:dyDescent="0.3">
      <c r="A163" s="794">
        <v>31</v>
      </c>
      <c r="B163" s="795" t="s">
        <v>592</v>
      </c>
      <c r="C163" s="795" t="s">
        <v>1513</v>
      </c>
      <c r="D163" s="796" t="s">
        <v>2055</v>
      </c>
      <c r="E163" s="797" t="s">
        <v>1521</v>
      </c>
      <c r="F163" s="795" t="s">
        <v>1510</v>
      </c>
      <c r="G163" s="795" t="s">
        <v>1617</v>
      </c>
      <c r="H163" s="795" t="s">
        <v>593</v>
      </c>
      <c r="I163" s="795" t="s">
        <v>1621</v>
      </c>
      <c r="J163" s="795" t="s">
        <v>1622</v>
      </c>
      <c r="K163" s="795" t="s">
        <v>1623</v>
      </c>
      <c r="L163" s="798">
        <v>200</v>
      </c>
      <c r="M163" s="798">
        <v>800</v>
      </c>
      <c r="N163" s="795">
        <v>4</v>
      </c>
      <c r="O163" s="799">
        <v>2</v>
      </c>
      <c r="P163" s="798">
        <v>800</v>
      </c>
      <c r="Q163" s="800">
        <v>1</v>
      </c>
      <c r="R163" s="795">
        <v>4</v>
      </c>
      <c r="S163" s="800">
        <v>1</v>
      </c>
      <c r="T163" s="799">
        <v>2</v>
      </c>
      <c r="U163" s="801">
        <v>1</v>
      </c>
    </row>
    <row r="164" spans="1:21" ht="14.4" customHeight="1" x14ac:dyDescent="0.3">
      <c r="A164" s="794">
        <v>31</v>
      </c>
      <c r="B164" s="795" t="s">
        <v>592</v>
      </c>
      <c r="C164" s="795" t="s">
        <v>1513</v>
      </c>
      <c r="D164" s="796" t="s">
        <v>2055</v>
      </c>
      <c r="E164" s="797" t="s">
        <v>1522</v>
      </c>
      <c r="F164" s="795" t="s">
        <v>1508</v>
      </c>
      <c r="G164" s="795" t="s">
        <v>1553</v>
      </c>
      <c r="H164" s="795" t="s">
        <v>912</v>
      </c>
      <c r="I164" s="795" t="s">
        <v>1064</v>
      </c>
      <c r="J164" s="795" t="s">
        <v>971</v>
      </c>
      <c r="K164" s="795" t="s">
        <v>1437</v>
      </c>
      <c r="L164" s="798">
        <v>154.36000000000001</v>
      </c>
      <c r="M164" s="798">
        <v>154.36000000000001</v>
      </c>
      <c r="N164" s="795">
        <v>1</v>
      </c>
      <c r="O164" s="799">
        <v>1</v>
      </c>
      <c r="P164" s="798">
        <v>154.36000000000001</v>
      </c>
      <c r="Q164" s="800">
        <v>1</v>
      </c>
      <c r="R164" s="795">
        <v>1</v>
      </c>
      <c r="S164" s="800">
        <v>1</v>
      </c>
      <c r="T164" s="799">
        <v>1</v>
      </c>
      <c r="U164" s="801">
        <v>1</v>
      </c>
    </row>
    <row r="165" spans="1:21" ht="14.4" customHeight="1" x14ac:dyDescent="0.3">
      <c r="A165" s="794">
        <v>31</v>
      </c>
      <c r="B165" s="795" t="s">
        <v>592</v>
      </c>
      <c r="C165" s="795" t="s">
        <v>1513</v>
      </c>
      <c r="D165" s="796" t="s">
        <v>2055</v>
      </c>
      <c r="E165" s="797" t="s">
        <v>1522</v>
      </c>
      <c r="F165" s="795" t="s">
        <v>1508</v>
      </c>
      <c r="G165" s="795" t="s">
        <v>1634</v>
      </c>
      <c r="H165" s="795" t="s">
        <v>593</v>
      </c>
      <c r="I165" s="795" t="s">
        <v>1701</v>
      </c>
      <c r="J165" s="795" t="s">
        <v>1702</v>
      </c>
      <c r="K165" s="795" t="s">
        <v>1703</v>
      </c>
      <c r="L165" s="798">
        <v>72.64</v>
      </c>
      <c r="M165" s="798">
        <v>726.4</v>
      </c>
      <c r="N165" s="795">
        <v>10</v>
      </c>
      <c r="O165" s="799">
        <v>10</v>
      </c>
      <c r="P165" s="798">
        <v>435.84</v>
      </c>
      <c r="Q165" s="800">
        <v>0.6</v>
      </c>
      <c r="R165" s="795">
        <v>6</v>
      </c>
      <c r="S165" s="800">
        <v>0.6</v>
      </c>
      <c r="T165" s="799">
        <v>6</v>
      </c>
      <c r="U165" s="801">
        <v>0.6</v>
      </c>
    </row>
    <row r="166" spans="1:21" ht="14.4" customHeight="1" x14ac:dyDescent="0.3">
      <c r="A166" s="794">
        <v>31</v>
      </c>
      <c r="B166" s="795" t="s">
        <v>592</v>
      </c>
      <c r="C166" s="795" t="s">
        <v>1513</v>
      </c>
      <c r="D166" s="796" t="s">
        <v>2055</v>
      </c>
      <c r="E166" s="797" t="s">
        <v>1522</v>
      </c>
      <c r="F166" s="795" t="s">
        <v>1508</v>
      </c>
      <c r="G166" s="795" t="s">
        <v>1704</v>
      </c>
      <c r="H166" s="795" t="s">
        <v>593</v>
      </c>
      <c r="I166" s="795" t="s">
        <v>1705</v>
      </c>
      <c r="J166" s="795" t="s">
        <v>1706</v>
      </c>
      <c r="K166" s="795" t="s">
        <v>1707</v>
      </c>
      <c r="L166" s="798">
        <v>91.11</v>
      </c>
      <c r="M166" s="798">
        <v>91.11</v>
      </c>
      <c r="N166" s="795">
        <v>1</v>
      </c>
      <c r="O166" s="799">
        <v>1</v>
      </c>
      <c r="P166" s="798">
        <v>91.11</v>
      </c>
      <c r="Q166" s="800">
        <v>1</v>
      </c>
      <c r="R166" s="795">
        <v>1</v>
      </c>
      <c r="S166" s="800">
        <v>1</v>
      </c>
      <c r="T166" s="799">
        <v>1</v>
      </c>
      <c r="U166" s="801">
        <v>1</v>
      </c>
    </row>
    <row r="167" spans="1:21" ht="14.4" customHeight="1" x14ac:dyDescent="0.3">
      <c r="A167" s="794">
        <v>31</v>
      </c>
      <c r="B167" s="795" t="s">
        <v>592</v>
      </c>
      <c r="C167" s="795" t="s">
        <v>1513</v>
      </c>
      <c r="D167" s="796" t="s">
        <v>2055</v>
      </c>
      <c r="E167" s="797" t="s">
        <v>1522</v>
      </c>
      <c r="F167" s="795" t="s">
        <v>1508</v>
      </c>
      <c r="G167" s="795" t="s">
        <v>1708</v>
      </c>
      <c r="H167" s="795" t="s">
        <v>593</v>
      </c>
      <c r="I167" s="795" t="s">
        <v>1709</v>
      </c>
      <c r="J167" s="795" t="s">
        <v>1710</v>
      </c>
      <c r="K167" s="795" t="s">
        <v>1711</v>
      </c>
      <c r="L167" s="798">
        <v>0</v>
      </c>
      <c r="M167" s="798">
        <v>0</v>
      </c>
      <c r="N167" s="795">
        <v>2</v>
      </c>
      <c r="O167" s="799">
        <v>2</v>
      </c>
      <c r="P167" s="798">
        <v>0</v>
      </c>
      <c r="Q167" s="800"/>
      <c r="R167" s="795">
        <v>2</v>
      </c>
      <c r="S167" s="800">
        <v>1</v>
      </c>
      <c r="T167" s="799">
        <v>2</v>
      </c>
      <c r="U167" s="801">
        <v>1</v>
      </c>
    </row>
    <row r="168" spans="1:21" ht="14.4" customHeight="1" x14ac:dyDescent="0.3">
      <c r="A168" s="794">
        <v>31</v>
      </c>
      <c r="B168" s="795" t="s">
        <v>592</v>
      </c>
      <c r="C168" s="795" t="s">
        <v>1513</v>
      </c>
      <c r="D168" s="796" t="s">
        <v>2055</v>
      </c>
      <c r="E168" s="797" t="s">
        <v>1522</v>
      </c>
      <c r="F168" s="795" t="s">
        <v>1508</v>
      </c>
      <c r="G168" s="795" t="s">
        <v>1638</v>
      </c>
      <c r="H168" s="795" t="s">
        <v>593</v>
      </c>
      <c r="I168" s="795" t="s">
        <v>1639</v>
      </c>
      <c r="J168" s="795" t="s">
        <v>1640</v>
      </c>
      <c r="K168" s="795" t="s">
        <v>1641</v>
      </c>
      <c r="L168" s="798">
        <v>0</v>
      </c>
      <c r="M168" s="798">
        <v>0</v>
      </c>
      <c r="N168" s="795">
        <v>5</v>
      </c>
      <c r="O168" s="799">
        <v>4.5</v>
      </c>
      <c r="P168" s="798">
        <v>0</v>
      </c>
      <c r="Q168" s="800"/>
      <c r="R168" s="795">
        <v>3</v>
      </c>
      <c r="S168" s="800">
        <v>0.6</v>
      </c>
      <c r="T168" s="799">
        <v>2.5</v>
      </c>
      <c r="U168" s="801">
        <v>0.55555555555555558</v>
      </c>
    </row>
    <row r="169" spans="1:21" ht="14.4" customHeight="1" x14ac:dyDescent="0.3">
      <c r="A169" s="794">
        <v>31</v>
      </c>
      <c r="B169" s="795" t="s">
        <v>592</v>
      </c>
      <c r="C169" s="795" t="s">
        <v>1513</v>
      </c>
      <c r="D169" s="796" t="s">
        <v>2055</v>
      </c>
      <c r="E169" s="797" t="s">
        <v>1522</v>
      </c>
      <c r="F169" s="795" t="s">
        <v>1508</v>
      </c>
      <c r="G169" s="795" t="s">
        <v>1712</v>
      </c>
      <c r="H169" s="795" t="s">
        <v>593</v>
      </c>
      <c r="I169" s="795" t="s">
        <v>1713</v>
      </c>
      <c r="J169" s="795" t="s">
        <v>1714</v>
      </c>
      <c r="K169" s="795" t="s">
        <v>1715</v>
      </c>
      <c r="L169" s="798">
        <v>22.79</v>
      </c>
      <c r="M169" s="798">
        <v>68.37</v>
      </c>
      <c r="N169" s="795">
        <v>3</v>
      </c>
      <c r="O169" s="799">
        <v>3</v>
      </c>
      <c r="P169" s="798">
        <v>68.37</v>
      </c>
      <c r="Q169" s="800">
        <v>1</v>
      </c>
      <c r="R169" s="795">
        <v>3</v>
      </c>
      <c r="S169" s="800">
        <v>1</v>
      </c>
      <c r="T169" s="799">
        <v>3</v>
      </c>
      <c r="U169" s="801">
        <v>1</v>
      </c>
    </row>
    <row r="170" spans="1:21" ht="14.4" customHeight="1" x14ac:dyDescent="0.3">
      <c r="A170" s="794">
        <v>31</v>
      </c>
      <c r="B170" s="795" t="s">
        <v>592</v>
      </c>
      <c r="C170" s="795" t="s">
        <v>1513</v>
      </c>
      <c r="D170" s="796" t="s">
        <v>2055</v>
      </c>
      <c r="E170" s="797" t="s">
        <v>1522</v>
      </c>
      <c r="F170" s="795" t="s">
        <v>1508</v>
      </c>
      <c r="G170" s="795" t="s">
        <v>1712</v>
      </c>
      <c r="H170" s="795" t="s">
        <v>593</v>
      </c>
      <c r="I170" s="795" t="s">
        <v>1716</v>
      </c>
      <c r="J170" s="795" t="s">
        <v>1714</v>
      </c>
      <c r="K170" s="795" t="s">
        <v>1717</v>
      </c>
      <c r="L170" s="798">
        <v>114</v>
      </c>
      <c r="M170" s="798">
        <v>114</v>
      </c>
      <c r="N170" s="795">
        <v>1</v>
      </c>
      <c r="O170" s="799">
        <v>0.5</v>
      </c>
      <c r="P170" s="798">
        <v>114</v>
      </c>
      <c r="Q170" s="800">
        <v>1</v>
      </c>
      <c r="R170" s="795">
        <v>1</v>
      </c>
      <c r="S170" s="800">
        <v>1</v>
      </c>
      <c r="T170" s="799">
        <v>0.5</v>
      </c>
      <c r="U170" s="801">
        <v>1</v>
      </c>
    </row>
    <row r="171" spans="1:21" ht="14.4" customHeight="1" x14ac:dyDescent="0.3">
      <c r="A171" s="794">
        <v>31</v>
      </c>
      <c r="B171" s="795" t="s">
        <v>592</v>
      </c>
      <c r="C171" s="795" t="s">
        <v>1513</v>
      </c>
      <c r="D171" s="796" t="s">
        <v>2055</v>
      </c>
      <c r="E171" s="797" t="s">
        <v>1522</v>
      </c>
      <c r="F171" s="795" t="s">
        <v>1508</v>
      </c>
      <c r="G171" s="795" t="s">
        <v>1718</v>
      </c>
      <c r="H171" s="795" t="s">
        <v>593</v>
      </c>
      <c r="I171" s="795" t="s">
        <v>1719</v>
      </c>
      <c r="J171" s="795" t="s">
        <v>904</v>
      </c>
      <c r="K171" s="795" t="s">
        <v>1720</v>
      </c>
      <c r="L171" s="798">
        <v>0</v>
      </c>
      <c r="M171" s="798">
        <v>0</v>
      </c>
      <c r="N171" s="795">
        <v>1</v>
      </c>
      <c r="O171" s="799">
        <v>1</v>
      </c>
      <c r="P171" s="798">
        <v>0</v>
      </c>
      <c r="Q171" s="800"/>
      <c r="R171" s="795">
        <v>1</v>
      </c>
      <c r="S171" s="800">
        <v>1</v>
      </c>
      <c r="T171" s="799">
        <v>1</v>
      </c>
      <c r="U171" s="801">
        <v>1</v>
      </c>
    </row>
    <row r="172" spans="1:21" ht="14.4" customHeight="1" x14ac:dyDescent="0.3">
      <c r="A172" s="794">
        <v>31</v>
      </c>
      <c r="B172" s="795" t="s">
        <v>592</v>
      </c>
      <c r="C172" s="795" t="s">
        <v>1513</v>
      </c>
      <c r="D172" s="796" t="s">
        <v>2055</v>
      </c>
      <c r="E172" s="797" t="s">
        <v>1522</v>
      </c>
      <c r="F172" s="795" t="s">
        <v>1508</v>
      </c>
      <c r="G172" s="795" t="s">
        <v>1561</v>
      </c>
      <c r="H172" s="795" t="s">
        <v>593</v>
      </c>
      <c r="I172" s="795" t="s">
        <v>1721</v>
      </c>
      <c r="J172" s="795" t="s">
        <v>1563</v>
      </c>
      <c r="K172" s="795" t="s">
        <v>1566</v>
      </c>
      <c r="L172" s="798">
        <v>132.97999999999999</v>
      </c>
      <c r="M172" s="798">
        <v>265.95999999999998</v>
      </c>
      <c r="N172" s="795">
        <v>2</v>
      </c>
      <c r="O172" s="799">
        <v>1</v>
      </c>
      <c r="P172" s="798">
        <v>265.95999999999998</v>
      </c>
      <c r="Q172" s="800">
        <v>1</v>
      </c>
      <c r="R172" s="795">
        <v>2</v>
      </c>
      <c r="S172" s="800">
        <v>1</v>
      </c>
      <c r="T172" s="799">
        <v>1</v>
      </c>
      <c r="U172" s="801">
        <v>1</v>
      </c>
    </row>
    <row r="173" spans="1:21" ht="14.4" customHeight="1" x14ac:dyDescent="0.3">
      <c r="A173" s="794">
        <v>31</v>
      </c>
      <c r="B173" s="795" t="s">
        <v>592</v>
      </c>
      <c r="C173" s="795" t="s">
        <v>1513</v>
      </c>
      <c r="D173" s="796" t="s">
        <v>2055</v>
      </c>
      <c r="E173" s="797" t="s">
        <v>1522</v>
      </c>
      <c r="F173" s="795" t="s">
        <v>1508</v>
      </c>
      <c r="G173" s="795" t="s">
        <v>1539</v>
      </c>
      <c r="H173" s="795" t="s">
        <v>912</v>
      </c>
      <c r="I173" s="795" t="s">
        <v>1540</v>
      </c>
      <c r="J173" s="795" t="s">
        <v>977</v>
      </c>
      <c r="K173" s="795" t="s">
        <v>1414</v>
      </c>
      <c r="L173" s="798">
        <v>490.89</v>
      </c>
      <c r="M173" s="798">
        <v>4908.8999999999996</v>
      </c>
      <c r="N173" s="795">
        <v>10</v>
      </c>
      <c r="O173" s="799">
        <v>4</v>
      </c>
      <c r="P173" s="798">
        <v>4908.8999999999996</v>
      </c>
      <c r="Q173" s="800">
        <v>1</v>
      </c>
      <c r="R173" s="795">
        <v>10</v>
      </c>
      <c r="S173" s="800">
        <v>1</v>
      </c>
      <c r="T173" s="799">
        <v>4</v>
      </c>
      <c r="U173" s="801">
        <v>1</v>
      </c>
    </row>
    <row r="174" spans="1:21" ht="14.4" customHeight="1" x14ac:dyDescent="0.3">
      <c r="A174" s="794">
        <v>31</v>
      </c>
      <c r="B174" s="795" t="s">
        <v>592</v>
      </c>
      <c r="C174" s="795" t="s">
        <v>1513</v>
      </c>
      <c r="D174" s="796" t="s">
        <v>2055</v>
      </c>
      <c r="E174" s="797" t="s">
        <v>1522</v>
      </c>
      <c r="F174" s="795" t="s">
        <v>1508</v>
      </c>
      <c r="G174" s="795" t="s">
        <v>1573</v>
      </c>
      <c r="H174" s="795" t="s">
        <v>912</v>
      </c>
      <c r="I174" s="795" t="s">
        <v>1574</v>
      </c>
      <c r="J174" s="795" t="s">
        <v>622</v>
      </c>
      <c r="K174" s="795" t="s">
        <v>1448</v>
      </c>
      <c r="L174" s="798">
        <v>48.42</v>
      </c>
      <c r="M174" s="798">
        <v>48.42</v>
      </c>
      <c r="N174" s="795">
        <v>1</v>
      </c>
      <c r="O174" s="799">
        <v>1</v>
      </c>
      <c r="P174" s="798"/>
      <c r="Q174" s="800">
        <v>0</v>
      </c>
      <c r="R174" s="795"/>
      <c r="S174" s="800">
        <v>0</v>
      </c>
      <c r="T174" s="799"/>
      <c r="U174" s="801">
        <v>0</v>
      </c>
    </row>
    <row r="175" spans="1:21" ht="14.4" customHeight="1" x14ac:dyDescent="0.3">
      <c r="A175" s="794">
        <v>31</v>
      </c>
      <c r="B175" s="795" t="s">
        <v>592</v>
      </c>
      <c r="C175" s="795" t="s">
        <v>1513</v>
      </c>
      <c r="D175" s="796" t="s">
        <v>2055</v>
      </c>
      <c r="E175" s="797" t="s">
        <v>1522</v>
      </c>
      <c r="F175" s="795" t="s">
        <v>1508</v>
      </c>
      <c r="G175" s="795" t="s">
        <v>1722</v>
      </c>
      <c r="H175" s="795" t="s">
        <v>593</v>
      </c>
      <c r="I175" s="795" t="s">
        <v>1142</v>
      </c>
      <c r="J175" s="795" t="s">
        <v>1723</v>
      </c>
      <c r="K175" s="795" t="s">
        <v>1724</v>
      </c>
      <c r="L175" s="798">
        <v>0</v>
      </c>
      <c r="M175" s="798">
        <v>0</v>
      </c>
      <c r="N175" s="795">
        <v>2</v>
      </c>
      <c r="O175" s="799">
        <v>1</v>
      </c>
      <c r="P175" s="798"/>
      <c r="Q175" s="800"/>
      <c r="R175" s="795"/>
      <c r="S175" s="800">
        <v>0</v>
      </c>
      <c r="T175" s="799"/>
      <c r="U175" s="801">
        <v>0</v>
      </c>
    </row>
    <row r="176" spans="1:21" ht="14.4" customHeight="1" x14ac:dyDescent="0.3">
      <c r="A176" s="794">
        <v>31</v>
      </c>
      <c r="B176" s="795" t="s">
        <v>592</v>
      </c>
      <c r="C176" s="795" t="s">
        <v>1513</v>
      </c>
      <c r="D176" s="796" t="s">
        <v>2055</v>
      </c>
      <c r="E176" s="797" t="s">
        <v>1522</v>
      </c>
      <c r="F176" s="795" t="s">
        <v>1508</v>
      </c>
      <c r="G176" s="795" t="s">
        <v>1541</v>
      </c>
      <c r="H176" s="795" t="s">
        <v>912</v>
      </c>
      <c r="I176" s="795" t="s">
        <v>929</v>
      </c>
      <c r="J176" s="795" t="s">
        <v>1453</v>
      </c>
      <c r="K176" s="795" t="s">
        <v>1454</v>
      </c>
      <c r="L176" s="798">
        <v>0</v>
      </c>
      <c r="M176" s="798">
        <v>0</v>
      </c>
      <c r="N176" s="795">
        <v>5</v>
      </c>
      <c r="O176" s="799">
        <v>4</v>
      </c>
      <c r="P176" s="798">
        <v>0</v>
      </c>
      <c r="Q176" s="800"/>
      <c r="R176" s="795">
        <v>4</v>
      </c>
      <c r="S176" s="800">
        <v>0.8</v>
      </c>
      <c r="T176" s="799">
        <v>3</v>
      </c>
      <c r="U176" s="801">
        <v>0.75</v>
      </c>
    </row>
    <row r="177" spans="1:21" ht="14.4" customHeight="1" x14ac:dyDescent="0.3">
      <c r="A177" s="794">
        <v>31</v>
      </c>
      <c r="B177" s="795" t="s">
        <v>592</v>
      </c>
      <c r="C177" s="795" t="s">
        <v>1513</v>
      </c>
      <c r="D177" s="796" t="s">
        <v>2055</v>
      </c>
      <c r="E177" s="797" t="s">
        <v>1522</v>
      </c>
      <c r="F177" s="795" t="s">
        <v>1508</v>
      </c>
      <c r="G177" s="795" t="s">
        <v>1544</v>
      </c>
      <c r="H177" s="795" t="s">
        <v>593</v>
      </c>
      <c r="I177" s="795" t="s">
        <v>1545</v>
      </c>
      <c r="J177" s="795" t="s">
        <v>1546</v>
      </c>
      <c r="K177" s="795" t="s">
        <v>1547</v>
      </c>
      <c r="L177" s="798">
        <v>50.32</v>
      </c>
      <c r="M177" s="798">
        <v>50.32</v>
      </c>
      <c r="N177" s="795">
        <v>1</v>
      </c>
      <c r="O177" s="799">
        <v>1</v>
      </c>
      <c r="P177" s="798"/>
      <c r="Q177" s="800">
        <v>0</v>
      </c>
      <c r="R177" s="795"/>
      <c r="S177" s="800">
        <v>0</v>
      </c>
      <c r="T177" s="799"/>
      <c r="U177" s="801">
        <v>0</v>
      </c>
    </row>
    <row r="178" spans="1:21" ht="14.4" customHeight="1" x14ac:dyDescent="0.3">
      <c r="A178" s="794">
        <v>31</v>
      </c>
      <c r="B178" s="795" t="s">
        <v>592</v>
      </c>
      <c r="C178" s="795" t="s">
        <v>1513</v>
      </c>
      <c r="D178" s="796" t="s">
        <v>2055</v>
      </c>
      <c r="E178" s="797" t="s">
        <v>1522</v>
      </c>
      <c r="F178" s="795" t="s">
        <v>1508</v>
      </c>
      <c r="G178" s="795" t="s">
        <v>1544</v>
      </c>
      <c r="H178" s="795" t="s">
        <v>593</v>
      </c>
      <c r="I178" s="795" t="s">
        <v>881</v>
      </c>
      <c r="J178" s="795" t="s">
        <v>1546</v>
      </c>
      <c r="K178" s="795" t="s">
        <v>1669</v>
      </c>
      <c r="L178" s="798">
        <v>99.94</v>
      </c>
      <c r="M178" s="798">
        <v>199.88</v>
      </c>
      <c r="N178" s="795">
        <v>2</v>
      </c>
      <c r="O178" s="799">
        <v>2</v>
      </c>
      <c r="P178" s="798">
        <v>199.88</v>
      </c>
      <c r="Q178" s="800">
        <v>1</v>
      </c>
      <c r="R178" s="795">
        <v>2</v>
      </c>
      <c r="S178" s="800">
        <v>1</v>
      </c>
      <c r="T178" s="799">
        <v>2</v>
      </c>
      <c r="U178" s="801">
        <v>1</v>
      </c>
    </row>
    <row r="179" spans="1:21" ht="14.4" customHeight="1" x14ac:dyDescent="0.3">
      <c r="A179" s="794">
        <v>31</v>
      </c>
      <c r="B179" s="795" t="s">
        <v>592</v>
      </c>
      <c r="C179" s="795" t="s">
        <v>1513</v>
      </c>
      <c r="D179" s="796" t="s">
        <v>2055</v>
      </c>
      <c r="E179" s="797" t="s">
        <v>1522</v>
      </c>
      <c r="F179" s="795" t="s">
        <v>1510</v>
      </c>
      <c r="G179" s="795" t="s">
        <v>1548</v>
      </c>
      <c r="H179" s="795" t="s">
        <v>593</v>
      </c>
      <c r="I179" s="795" t="s">
        <v>1549</v>
      </c>
      <c r="J179" s="795" t="s">
        <v>1550</v>
      </c>
      <c r="K179" s="795" t="s">
        <v>1551</v>
      </c>
      <c r="L179" s="798">
        <v>35.130000000000003</v>
      </c>
      <c r="M179" s="798">
        <v>421.56</v>
      </c>
      <c r="N179" s="795">
        <v>12</v>
      </c>
      <c r="O179" s="799">
        <v>12</v>
      </c>
      <c r="P179" s="798">
        <v>421.56</v>
      </c>
      <c r="Q179" s="800">
        <v>1</v>
      </c>
      <c r="R179" s="795">
        <v>12</v>
      </c>
      <c r="S179" s="800">
        <v>1</v>
      </c>
      <c r="T179" s="799">
        <v>12</v>
      </c>
      <c r="U179" s="801">
        <v>1</v>
      </c>
    </row>
    <row r="180" spans="1:21" ht="14.4" customHeight="1" x14ac:dyDescent="0.3">
      <c r="A180" s="794">
        <v>31</v>
      </c>
      <c r="B180" s="795" t="s">
        <v>592</v>
      </c>
      <c r="C180" s="795" t="s">
        <v>1513</v>
      </c>
      <c r="D180" s="796" t="s">
        <v>2055</v>
      </c>
      <c r="E180" s="797" t="s">
        <v>1522</v>
      </c>
      <c r="F180" s="795" t="s">
        <v>1510</v>
      </c>
      <c r="G180" s="795" t="s">
        <v>1548</v>
      </c>
      <c r="H180" s="795" t="s">
        <v>593</v>
      </c>
      <c r="I180" s="795" t="s">
        <v>1696</v>
      </c>
      <c r="J180" s="795" t="s">
        <v>1550</v>
      </c>
      <c r="K180" s="795" t="s">
        <v>1697</v>
      </c>
      <c r="L180" s="798">
        <v>38.24</v>
      </c>
      <c r="M180" s="798">
        <v>38.24</v>
      </c>
      <c r="N180" s="795">
        <v>1</v>
      </c>
      <c r="O180" s="799">
        <v>1</v>
      </c>
      <c r="P180" s="798">
        <v>38.24</v>
      </c>
      <c r="Q180" s="800">
        <v>1</v>
      </c>
      <c r="R180" s="795">
        <v>1</v>
      </c>
      <c r="S180" s="800">
        <v>1</v>
      </c>
      <c r="T180" s="799">
        <v>1</v>
      </c>
      <c r="U180" s="801">
        <v>1</v>
      </c>
    </row>
    <row r="181" spans="1:21" ht="14.4" customHeight="1" x14ac:dyDescent="0.3">
      <c r="A181" s="794">
        <v>31</v>
      </c>
      <c r="B181" s="795" t="s">
        <v>592</v>
      </c>
      <c r="C181" s="795" t="s">
        <v>1513</v>
      </c>
      <c r="D181" s="796" t="s">
        <v>2055</v>
      </c>
      <c r="E181" s="797" t="s">
        <v>1522</v>
      </c>
      <c r="F181" s="795" t="s">
        <v>1510</v>
      </c>
      <c r="G181" s="795" t="s">
        <v>1589</v>
      </c>
      <c r="H181" s="795" t="s">
        <v>593</v>
      </c>
      <c r="I181" s="795" t="s">
        <v>1676</v>
      </c>
      <c r="J181" s="795" t="s">
        <v>1677</v>
      </c>
      <c r="K181" s="795" t="s">
        <v>1678</v>
      </c>
      <c r="L181" s="798">
        <v>2296.87</v>
      </c>
      <c r="M181" s="798">
        <v>2296.87</v>
      </c>
      <c r="N181" s="795">
        <v>1</v>
      </c>
      <c r="O181" s="799">
        <v>1</v>
      </c>
      <c r="P181" s="798">
        <v>2296.87</v>
      </c>
      <c r="Q181" s="800">
        <v>1</v>
      </c>
      <c r="R181" s="795">
        <v>1</v>
      </c>
      <c r="S181" s="800">
        <v>1</v>
      </c>
      <c r="T181" s="799">
        <v>1</v>
      </c>
      <c r="U181" s="801">
        <v>1</v>
      </c>
    </row>
    <row r="182" spans="1:21" ht="14.4" customHeight="1" x14ac:dyDescent="0.3">
      <c r="A182" s="794">
        <v>31</v>
      </c>
      <c r="B182" s="795" t="s">
        <v>592</v>
      </c>
      <c r="C182" s="795" t="s">
        <v>1513</v>
      </c>
      <c r="D182" s="796" t="s">
        <v>2055</v>
      </c>
      <c r="E182" s="797" t="s">
        <v>1522</v>
      </c>
      <c r="F182" s="795" t="s">
        <v>1510</v>
      </c>
      <c r="G182" s="795" t="s">
        <v>1589</v>
      </c>
      <c r="H182" s="795" t="s">
        <v>593</v>
      </c>
      <c r="I182" s="795" t="s">
        <v>1725</v>
      </c>
      <c r="J182" s="795" t="s">
        <v>1726</v>
      </c>
      <c r="K182" s="795" t="s">
        <v>1727</v>
      </c>
      <c r="L182" s="798">
        <v>1575</v>
      </c>
      <c r="M182" s="798">
        <v>1575</v>
      </c>
      <c r="N182" s="795">
        <v>1</v>
      </c>
      <c r="O182" s="799">
        <v>1</v>
      </c>
      <c r="P182" s="798">
        <v>1575</v>
      </c>
      <c r="Q182" s="800">
        <v>1</v>
      </c>
      <c r="R182" s="795">
        <v>1</v>
      </c>
      <c r="S182" s="800">
        <v>1</v>
      </c>
      <c r="T182" s="799">
        <v>1</v>
      </c>
      <c r="U182" s="801">
        <v>1</v>
      </c>
    </row>
    <row r="183" spans="1:21" ht="14.4" customHeight="1" x14ac:dyDescent="0.3">
      <c r="A183" s="794">
        <v>31</v>
      </c>
      <c r="B183" s="795" t="s">
        <v>592</v>
      </c>
      <c r="C183" s="795" t="s">
        <v>1513</v>
      </c>
      <c r="D183" s="796" t="s">
        <v>2055</v>
      </c>
      <c r="E183" s="797" t="s">
        <v>1522</v>
      </c>
      <c r="F183" s="795" t="s">
        <v>1510</v>
      </c>
      <c r="G183" s="795" t="s">
        <v>1589</v>
      </c>
      <c r="H183" s="795" t="s">
        <v>593</v>
      </c>
      <c r="I183" s="795" t="s">
        <v>1655</v>
      </c>
      <c r="J183" s="795" t="s">
        <v>1656</v>
      </c>
      <c r="K183" s="795" t="s">
        <v>1657</v>
      </c>
      <c r="L183" s="798">
        <v>58.5</v>
      </c>
      <c r="M183" s="798">
        <v>117</v>
      </c>
      <c r="N183" s="795">
        <v>2</v>
      </c>
      <c r="O183" s="799">
        <v>2</v>
      </c>
      <c r="P183" s="798">
        <v>117</v>
      </c>
      <c r="Q183" s="800">
        <v>1</v>
      </c>
      <c r="R183" s="795">
        <v>2</v>
      </c>
      <c r="S183" s="800">
        <v>1</v>
      </c>
      <c r="T183" s="799">
        <v>2</v>
      </c>
      <c r="U183" s="801">
        <v>1</v>
      </c>
    </row>
    <row r="184" spans="1:21" ht="14.4" customHeight="1" x14ac:dyDescent="0.3">
      <c r="A184" s="794">
        <v>31</v>
      </c>
      <c r="B184" s="795" t="s">
        <v>592</v>
      </c>
      <c r="C184" s="795" t="s">
        <v>1513</v>
      </c>
      <c r="D184" s="796" t="s">
        <v>2055</v>
      </c>
      <c r="E184" s="797" t="s">
        <v>1522</v>
      </c>
      <c r="F184" s="795" t="s">
        <v>1510</v>
      </c>
      <c r="G184" s="795" t="s">
        <v>1589</v>
      </c>
      <c r="H184" s="795" t="s">
        <v>593</v>
      </c>
      <c r="I184" s="795" t="s">
        <v>1605</v>
      </c>
      <c r="J184" s="795" t="s">
        <v>1606</v>
      </c>
      <c r="K184" s="795" t="s">
        <v>1607</v>
      </c>
      <c r="L184" s="798">
        <v>350</v>
      </c>
      <c r="M184" s="798">
        <v>3150</v>
      </c>
      <c r="N184" s="795">
        <v>9</v>
      </c>
      <c r="O184" s="799">
        <v>9</v>
      </c>
      <c r="P184" s="798">
        <v>3150</v>
      </c>
      <c r="Q184" s="800">
        <v>1</v>
      </c>
      <c r="R184" s="795">
        <v>9</v>
      </c>
      <c r="S184" s="800">
        <v>1</v>
      </c>
      <c r="T184" s="799">
        <v>9</v>
      </c>
      <c r="U184" s="801">
        <v>1</v>
      </c>
    </row>
    <row r="185" spans="1:21" ht="14.4" customHeight="1" x14ac:dyDescent="0.3">
      <c r="A185" s="794">
        <v>31</v>
      </c>
      <c r="B185" s="795" t="s">
        <v>592</v>
      </c>
      <c r="C185" s="795" t="s">
        <v>1513</v>
      </c>
      <c r="D185" s="796" t="s">
        <v>2055</v>
      </c>
      <c r="E185" s="797" t="s">
        <v>1522</v>
      </c>
      <c r="F185" s="795" t="s">
        <v>1510</v>
      </c>
      <c r="G185" s="795" t="s">
        <v>1589</v>
      </c>
      <c r="H185" s="795" t="s">
        <v>593</v>
      </c>
      <c r="I185" s="795" t="s">
        <v>1661</v>
      </c>
      <c r="J185" s="795" t="s">
        <v>1656</v>
      </c>
      <c r="K185" s="795" t="s">
        <v>1662</v>
      </c>
      <c r="L185" s="798">
        <v>58.5</v>
      </c>
      <c r="M185" s="798">
        <v>117</v>
      </c>
      <c r="N185" s="795">
        <v>2</v>
      </c>
      <c r="O185" s="799">
        <v>2</v>
      </c>
      <c r="P185" s="798">
        <v>117</v>
      </c>
      <c r="Q185" s="800">
        <v>1</v>
      </c>
      <c r="R185" s="795">
        <v>2</v>
      </c>
      <c r="S185" s="800">
        <v>1</v>
      </c>
      <c r="T185" s="799">
        <v>2</v>
      </c>
      <c r="U185" s="801">
        <v>1</v>
      </c>
    </row>
    <row r="186" spans="1:21" ht="14.4" customHeight="1" x14ac:dyDescent="0.3">
      <c r="A186" s="794">
        <v>31</v>
      </c>
      <c r="B186" s="795" t="s">
        <v>592</v>
      </c>
      <c r="C186" s="795" t="s">
        <v>1513</v>
      </c>
      <c r="D186" s="796" t="s">
        <v>2055</v>
      </c>
      <c r="E186" s="797" t="s">
        <v>1522</v>
      </c>
      <c r="F186" s="795" t="s">
        <v>1510</v>
      </c>
      <c r="G186" s="795" t="s">
        <v>1589</v>
      </c>
      <c r="H186" s="795" t="s">
        <v>593</v>
      </c>
      <c r="I186" s="795" t="s">
        <v>1608</v>
      </c>
      <c r="J186" s="795" t="s">
        <v>1609</v>
      </c>
      <c r="K186" s="795" t="s">
        <v>1610</v>
      </c>
      <c r="L186" s="798">
        <v>1000</v>
      </c>
      <c r="M186" s="798">
        <v>1000</v>
      </c>
      <c r="N186" s="795">
        <v>1</v>
      </c>
      <c r="O186" s="799">
        <v>1</v>
      </c>
      <c r="P186" s="798"/>
      <c r="Q186" s="800">
        <v>0</v>
      </c>
      <c r="R186" s="795"/>
      <c r="S186" s="800">
        <v>0</v>
      </c>
      <c r="T186" s="799"/>
      <c r="U186" s="801">
        <v>0</v>
      </c>
    </row>
    <row r="187" spans="1:21" ht="14.4" customHeight="1" x14ac:dyDescent="0.3">
      <c r="A187" s="794">
        <v>31</v>
      </c>
      <c r="B187" s="795" t="s">
        <v>592</v>
      </c>
      <c r="C187" s="795" t="s">
        <v>1513</v>
      </c>
      <c r="D187" s="796" t="s">
        <v>2055</v>
      </c>
      <c r="E187" s="797" t="s">
        <v>1522</v>
      </c>
      <c r="F187" s="795" t="s">
        <v>1510</v>
      </c>
      <c r="G187" s="795" t="s">
        <v>1589</v>
      </c>
      <c r="H187" s="795" t="s">
        <v>593</v>
      </c>
      <c r="I187" s="795" t="s">
        <v>1728</v>
      </c>
      <c r="J187" s="795" t="s">
        <v>1729</v>
      </c>
      <c r="K187" s="795"/>
      <c r="L187" s="798">
        <v>2200</v>
      </c>
      <c r="M187" s="798">
        <v>2200</v>
      </c>
      <c r="N187" s="795">
        <v>1</v>
      </c>
      <c r="O187" s="799">
        <v>1</v>
      </c>
      <c r="P187" s="798"/>
      <c r="Q187" s="800">
        <v>0</v>
      </c>
      <c r="R187" s="795"/>
      <c r="S187" s="800">
        <v>0</v>
      </c>
      <c r="T187" s="799"/>
      <c r="U187" s="801">
        <v>0</v>
      </c>
    </row>
    <row r="188" spans="1:21" ht="14.4" customHeight="1" x14ac:dyDescent="0.3">
      <c r="A188" s="794">
        <v>31</v>
      </c>
      <c r="B188" s="795" t="s">
        <v>592</v>
      </c>
      <c r="C188" s="795" t="s">
        <v>1513</v>
      </c>
      <c r="D188" s="796" t="s">
        <v>2055</v>
      </c>
      <c r="E188" s="797" t="s">
        <v>1522</v>
      </c>
      <c r="F188" s="795" t="s">
        <v>1510</v>
      </c>
      <c r="G188" s="795" t="s">
        <v>1589</v>
      </c>
      <c r="H188" s="795" t="s">
        <v>593</v>
      </c>
      <c r="I188" s="795" t="s">
        <v>1730</v>
      </c>
      <c r="J188" s="795" t="s">
        <v>1731</v>
      </c>
      <c r="K188" s="795" t="s">
        <v>1732</v>
      </c>
      <c r="L188" s="798">
        <v>600</v>
      </c>
      <c r="M188" s="798">
        <v>600</v>
      </c>
      <c r="N188" s="795">
        <v>1</v>
      </c>
      <c r="O188" s="799">
        <v>1</v>
      </c>
      <c r="P188" s="798">
        <v>600</v>
      </c>
      <c r="Q188" s="800">
        <v>1</v>
      </c>
      <c r="R188" s="795">
        <v>1</v>
      </c>
      <c r="S188" s="800">
        <v>1</v>
      </c>
      <c r="T188" s="799">
        <v>1</v>
      </c>
      <c r="U188" s="801">
        <v>1</v>
      </c>
    </row>
    <row r="189" spans="1:21" ht="14.4" customHeight="1" x14ac:dyDescent="0.3">
      <c r="A189" s="794">
        <v>31</v>
      </c>
      <c r="B189" s="795" t="s">
        <v>592</v>
      </c>
      <c r="C189" s="795" t="s">
        <v>1513</v>
      </c>
      <c r="D189" s="796" t="s">
        <v>2055</v>
      </c>
      <c r="E189" s="797" t="s">
        <v>1522</v>
      </c>
      <c r="F189" s="795" t="s">
        <v>1510</v>
      </c>
      <c r="G189" s="795" t="s">
        <v>1589</v>
      </c>
      <c r="H189" s="795" t="s">
        <v>593</v>
      </c>
      <c r="I189" s="795" t="s">
        <v>1733</v>
      </c>
      <c r="J189" s="795" t="s">
        <v>1734</v>
      </c>
      <c r="K189" s="795"/>
      <c r="L189" s="798">
        <v>1000</v>
      </c>
      <c r="M189" s="798">
        <v>1000</v>
      </c>
      <c r="N189" s="795">
        <v>1</v>
      </c>
      <c r="O189" s="799">
        <v>1</v>
      </c>
      <c r="P189" s="798"/>
      <c r="Q189" s="800">
        <v>0</v>
      </c>
      <c r="R189" s="795"/>
      <c r="S189" s="800">
        <v>0</v>
      </c>
      <c r="T189" s="799"/>
      <c r="U189" s="801">
        <v>0</v>
      </c>
    </row>
    <row r="190" spans="1:21" ht="14.4" customHeight="1" x14ac:dyDescent="0.3">
      <c r="A190" s="794">
        <v>31</v>
      </c>
      <c r="B190" s="795" t="s">
        <v>592</v>
      </c>
      <c r="C190" s="795" t="s">
        <v>1513</v>
      </c>
      <c r="D190" s="796" t="s">
        <v>2055</v>
      </c>
      <c r="E190" s="797" t="s">
        <v>1522</v>
      </c>
      <c r="F190" s="795" t="s">
        <v>1510</v>
      </c>
      <c r="G190" s="795" t="s">
        <v>1617</v>
      </c>
      <c r="H190" s="795" t="s">
        <v>593</v>
      </c>
      <c r="I190" s="795" t="s">
        <v>1618</v>
      </c>
      <c r="J190" s="795" t="s">
        <v>1619</v>
      </c>
      <c r="K190" s="795" t="s">
        <v>1620</v>
      </c>
      <c r="L190" s="798">
        <v>260</v>
      </c>
      <c r="M190" s="798">
        <v>260</v>
      </c>
      <c r="N190" s="795">
        <v>1</v>
      </c>
      <c r="O190" s="799">
        <v>1</v>
      </c>
      <c r="P190" s="798">
        <v>260</v>
      </c>
      <c r="Q190" s="800">
        <v>1</v>
      </c>
      <c r="R190" s="795">
        <v>1</v>
      </c>
      <c r="S190" s="800">
        <v>1</v>
      </c>
      <c r="T190" s="799">
        <v>1</v>
      </c>
      <c r="U190" s="801">
        <v>1</v>
      </c>
    </row>
    <row r="191" spans="1:21" ht="14.4" customHeight="1" x14ac:dyDescent="0.3">
      <c r="A191" s="794">
        <v>31</v>
      </c>
      <c r="B191" s="795" t="s">
        <v>592</v>
      </c>
      <c r="C191" s="795" t="s">
        <v>1513</v>
      </c>
      <c r="D191" s="796" t="s">
        <v>2055</v>
      </c>
      <c r="E191" s="797" t="s">
        <v>1522</v>
      </c>
      <c r="F191" s="795" t="s">
        <v>1510</v>
      </c>
      <c r="G191" s="795" t="s">
        <v>1617</v>
      </c>
      <c r="H191" s="795" t="s">
        <v>593</v>
      </c>
      <c r="I191" s="795" t="s">
        <v>1621</v>
      </c>
      <c r="J191" s="795" t="s">
        <v>1622</v>
      </c>
      <c r="K191" s="795" t="s">
        <v>1623</v>
      </c>
      <c r="L191" s="798">
        <v>200</v>
      </c>
      <c r="M191" s="798">
        <v>400</v>
      </c>
      <c r="N191" s="795">
        <v>2</v>
      </c>
      <c r="O191" s="799">
        <v>1</v>
      </c>
      <c r="P191" s="798">
        <v>400</v>
      </c>
      <c r="Q191" s="800">
        <v>1</v>
      </c>
      <c r="R191" s="795">
        <v>2</v>
      </c>
      <c r="S191" s="800">
        <v>1</v>
      </c>
      <c r="T191" s="799">
        <v>1</v>
      </c>
      <c r="U191" s="801">
        <v>1</v>
      </c>
    </row>
    <row r="192" spans="1:21" ht="14.4" customHeight="1" x14ac:dyDescent="0.3">
      <c r="A192" s="794">
        <v>31</v>
      </c>
      <c r="B192" s="795" t="s">
        <v>592</v>
      </c>
      <c r="C192" s="795" t="s">
        <v>1513</v>
      </c>
      <c r="D192" s="796" t="s">
        <v>2055</v>
      </c>
      <c r="E192" s="797" t="s">
        <v>1522</v>
      </c>
      <c r="F192" s="795" t="s">
        <v>1510</v>
      </c>
      <c r="G192" s="795" t="s">
        <v>1617</v>
      </c>
      <c r="H192" s="795" t="s">
        <v>593</v>
      </c>
      <c r="I192" s="795" t="s">
        <v>1735</v>
      </c>
      <c r="J192" s="795" t="s">
        <v>1736</v>
      </c>
      <c r="K192" s="795" t="s">
        <v>1737</v>
      </c>
      <c r="L192" s="798">
        <v>300</v>
      </c>
      <c r="M192" s="798">
        <v>600</v>
      </c>
      <c r="N192" s="795">
        <v>2</v>
      </c>
      <c r="O192" s="799">
        <v>1</v>
      </c>
      <c r="P192" s="798"/>
      <c r="Q192" s="800">
        <v>0</v>
      </c>
      <c r="R192" s="795"/>
      <c r="S192" s="800">
        <v>0</v>
      </c>
      <c r="T192" s="799"/>
      <c r="U192" s="801">
        <v>0</v>
      </c>
    </row>
    <row r="193" spans="1:21" ht="14.4" customHeight="1" x14ac:dyDescent="0.3">
      <c r="A193" s="794">
        <v>31</v>
      </c>
      <c r="B193" s="795" t="s">
        <v>592</v>
      </c>
      <c r="C193" s="795" t="s">
        <v>1513</v>
      </c>
      <c r="D193" s="796" t="s">
        <v>2055</v>
      </c>
      <c r="E193" s="797" t="s">
        <v>1523</v>
      </c>
      <c r="F193" s="795" t="s">
        <v>1508</v>
      </c>
      <c r="G193" s="795" t="s">
        <v>1638</v>
      </c>
      <c r="H193" s="795" t="s">
        <v>593</v>
      </c>
      <c r="I193" s="795" t="s">
        <v>1639</v>
      </c>
      <c r="J193" s="795" t="s">
        <v>1640</v>
      </c>
      <c r="K193" s="795" t="s">
        <v>1641</v>
      </c>
      <c r="L193" s="798">
        <v>0</v>
      </c>
      <c r="M193" s="798">
        <v>0</v>
      </c>
      <c r="N193" s="795">
        <v>2</v>
      </c>
      <c r="O193" s="799">
        <v>1</v>
      </c>
      <c r="P193" s="798"/>
      <c r="Q193" s="800"/>
      <c r="R193" s="795"/>
      <c r="S193" s="800">
        <v>0</v>
      </c>
      <c r="T193" s="799"/>
      <c r="U193" s="801">
        <v>0</v>
      </c>
    </row>
    <row r="194" spans="1:21" ht="14.4" customHeight="1" x14ac:dyDescent="0.3">
      <c r="A194" s="794">
        <v>31</v>
      </c>
      <c r="B194" s="795" t="s">
        <v>592</v>
      </c>
      <c r="C194" s="795" t="s">
        <v>1513</v>
      </c>
      <c r="D194" s="796" t="s">
        <v>2055</v>
      </c>
      <c r="E194" s="797" t="s">
        <v>1523</v>
      </c>
      <c r="F194" s="795" t="s">
        <v>1508</v>
      </c>
      <c r="G194" s="795" t="s">
        <v>1738</v>
      </c>
      <c r="H194" s="795" t="s">
        <v>593</v>
      </c>
      <c r="I194" s="795" t="s">
        <v>1739</v>
      </c>
      <c r="J194" s="795" t="s">
        <v>1740</v>
      </c>
      <c r="K194" s="795" t="s">
        <v>1741</v>
      </c>
      <c r="L194" s="798">
        <v>0</v>
      </c>
      <c r="M194" s="798">
        <v>0</v>
      </c>
      <c r="N194" s="795">
        <v>1</v>
      </c>
      <c r="O194" s="799">
        <v>0.5</v>
      </c>
      <c r="P194" s="798">
        <v>0</v>
      </c>
      <c r="Q194" s="800"/>
      <c r="R194" s="795">
        <v>1</v>
      </c>
      <c r="S194" s="800">
        <v>1</v>
      </c>
      <c r="T194" s="799">
        <v>0.5</v>
      </c>
      <c r="U194" s="801">
        <v>1</v>
      </c>
    </row>
    <row r="195" spans="1:21" ht="14.4" customHeight="1" x14ac:dyDescent="0.3">
      <c r="A195" s="794">
        <v>31</v>
      </c>
      <c r="B195" s="795" t="s">
        <v>592</v>
      </c>
      <c r="C195" s="795" t="s">
        <v>1513</v>
      </c>
      <c r="D195" s="796" t="s">
        <v>2055</v>
      </c>
      <c r="E195" s="797" t="s">
        <v>1523</v>
      </c>
      <c r="F195" s="795" t="s">
        <v>1508</v>
      </c>
      <c r="G195" s="795" t="s">
        <v>1561</v>
      </c>
      <c r="H195" s="795" t="s">
        <v>593</v>
      </c>
      <c r="I195" s="795" t="s">
        <v>1721</v>
      </c>
      <c r="J195" s="795" t="s">
        <v>1563</v>
      </c>
      <c r="K195" s="795" t="s">
        <v>1566</v>
      </c>
      <c r="L195" s="798">
        <v>132.97999999999999</v>
      </c>
      <c r="M195" s="798">
        <v>265.95999999999998</v>
      </c>
      <c r="N195" s="795">
        <v>2</v>
      </c>
      <c r="O195" s="799">
        <v>1</v>
      </c>
      <c r="P195" s="798">
        <v>265.95999999999998</v>
      </c>
      <c r="Q195" s="800">
        <v>1</v>
      </c>
      <c r="R195" s="795">
        <v>2</v>
      </c>
      <c r="S195" s="800">
        <v>1</v>
      </c>
      <c r="T195" s="799">
        <v>1</v>
      </c>
      <c r="U195" s="801">
        <v>1</v>
      </c>
    </row>
    <row r="196" spans="1:21" ht="14.4" customHeight="1" x14ac:dyDescent="0.3">
      <c r="A196" s="794">
        <v>31</v>
      </c>
      <c r="B196" s="795" t="s">
        <v>592</v>
      </c>
      <c r="C196" s="795" t="s">
        <v>1513</v>
      </c>
      <c r="D196" s="796" t="s">
        <v>2055</v>
      </c>
      <c r="E196" s="797" t="s">
        <v>1523</v>
      </c>
      <c r="F196" s="795" t="s">
        <v>1508</v>
      </c>
      <c r="G196" s="795" t="s">
        <v>1539</v>
      </c>
      <c r="H196" s="795" t="s">
        <v>912</v>
      </c>
      <c r="I196" s="795" t="s">
        <v>1540</v>
      </c>
      <c r="J196" s="795" t="s">
        <v>977</v>
      </c>
      <c r="K196" s="795" t="s">
        <v>1414</v>
      </c>
      <c r="L196" s="798">
        <v>490.89</v>
      </c>
      <c r="M196" s="798">
        <v>1472.67</v>
      </c>
      <c r="N196" s="795">
        <v>3</v>
      </c>
      <c r="O196" s="799">
        <v>1</v>
      </c>
      <c r="P196" s="798">
        <v>1472.67</v>
      </c>
      <c r="Q196" s="800">
        <v>1</v>
      </c>
      <c r="R196" s="795">
        <v>3</v>
      </c>
      <c r="S196" s="800">
        <v>1</v>
      </c>
      <c r="T196" s="799">
        <v>1</v>
      </c>
      <c r="U196" s="801">
        <v>1</v>
      </c>
    </row>
    <row r="197" spans="1:21" ht="14.4" customHeight="1" x14ac:dyDescent="0.3">
      <c r="A197" s="794">
        <v>31</v>
      </c>
      <c r="B197" s="795" t="s">
        <v>592</v>
      </c>
      <c r="C197" s="795" t="s">
        <v>1513</v>
      </c>
      <c r="D197" s="796" t="s">
        <v>2055</v>
      </c>
      <c r="E197" s="797" t="s">
        <v>1523</v>
      </c>
      <c r="F197" s="795" t="s">
        <v>1508</v>
      </c>
      <c r="G197" s="795" t="s">
        <v>1742</v>
      </c>
      <c r="H197" s="795" t="s">
        <v>593</v>
      </c>
      <c r="I197" s="795" t="s">
        <v>1743</v>
      </c>
      <c r="J197" s="795" t="s">
        <v>1028</v>
      </c>
      <c r="K197" s="795" t="s">
        <v>1744</v>
      </c>
      <c r="L197" s="798">
        <v>0</v>
      </c>
      <c r="M197" s="798">
        <v>0</v>
      </c>
      <c r="N197" s="795">
        <v>1</v>
      </c>
      <c r="O197" s="799">
        <v>0.5</v>
      </c>
      <c r="P197" s="798">
        <v>0</v>
      </c>
      <c r="Q197" s="800"/>
      <c r="R197" s="795">
        <v>1</v>
      </c>
      <c r="S197" s="800">
        <v>1</v>
      </c>
      <c r="T197" s="799">
        <v>0.5</v>
      </c>
      <c r="U197" s="801">
        <v>1</v>
      </c>
    </row>
    <row r="198" spans="1:21" ht="14.4" customHeight="1" x14ac:dyDescent="0.3">
      <c r="A198" s="794">
        <v>31</v>
      </c>
      <c r="B198" s="795" t="s">
        <v>592</v>
      </c>
      <c r="C198" s="795" t="s">
        <v>1513</v>
      </c>
      <c r="D198" s="796" t="s">
        <v>2055</v>
      </c>
      <c r="E198" s="797" t="s">
        <v>1523</v>
      </c>
      <c r="F198" s="795" t="s">
        <v>1508</v>
      </c>
      <c r="G198" s="795" t="s">
        <v>1745</v>
      </c>
      <c r="H198" s="795" t="s">
        <v>593</v>
      </c>
      <c r="I198" s="795" t="s">
        <v>1746</v>
      </c>
      <c r="J198" s="795" t="s">
        <v>1747</v>
      </c>
      <c r="K198" s="795" t="s">
        <v>1748</v>
      </c>
      <c r="L198" s="798">
        <v>0</v>
      </c>
      <c r="M198" s="798">
        <v>0</v>
      </c>
      <c r="N198" s="795">
        <v>1</v>
      </c>
      <c r="O198" s="799">
        <v>0.5</v>
      </c>
      <c r="P198" s="798">
        <v>0</v>
      </c>
      <c r="Q198" s="800"/>
      <c r="R198" s="795">
        <v>1</v>
      </c>
      <c r="S198" s="800">
        <v>1</v>
      </c>
      <c r="T198" s="799">
        <v>0.5</v>
      </c>
      <c r="U198" s="801">
        <v>1</v>
      </c>
    </row>
    <row r="199" spans="1:21" ht="14.4" customHeight="1" x14ac:dyDescent="0.3">
      <c r="A199" s="794">
        <v>31</v>
      </c>
      <c r="B199" s="795" t="s">
        <v>592</v>
      </c>
      <c r="C199" s="795" t="s">
        <v>1513</v>
      </c>
      <c r="D199" s="796" t="s">
        <v>2055</v>
      </c>
      <c r="E199" s="797" t="s">
        <v>1523</v>
      </c>
      <c r="F199" s="795" t="s">
        <v>1508</v>
      </c>
      <c r="G199" s="795" t="s">
        <v>1749</v>
      </c>
      <c r="H199" s="795" t="s">
        <v>593</v>
      </c>
      <c r="I199" s="795" t="s">
        <v>874</v>
      </c>
      <c r="J199" s="795" t="s">
        <v>875</v>
      </c>
      <c r="K199" s="795" t="s">
        <v>1750</v>
      </c>
      <c r="L199" s="798">
        <v>108.44</v>
      </c>
      <c r="M199" s="798">
        <v>108.44</v>
      </c>
      <c r="N199" s="795">
        <v>1</v>
      </c>
      <c r="O199" s="799">
        <v>0.5</v>
      </c>
      <c r="P199" s="798">
        <v>108.44</v>
      </c>
      <c r="Q199" s="800">
        <v>1</v>
      </c>
      <c r="R199" s="795">
        <v>1</v>
      </c>
      <c r="S199" s="800">
        <v>1</v>
      </c>
      <c r="T199" s="799">
        <v>0.5</v>
      </c>
      <c r="U199" s="801">
        <v>1</v>
      </c>
    </row>
    <row r="200" spans="1:21" ht="14.4" customHeight="1" x14ac:dyDescent="0.3">
      <c r="A200" s="794">
        <v>31</v>
      </c>
      <c r="B200" s="795" t="s">
        <v>592</v>
      </c>
      <c r="C200" s="795" t="s">
        <v>1513</v>
      </c>
      <c r="D200" s="796" t="s">
        <v>2055</v>
      </c>
      <c r="E200" s="797" t="s">
        <v>1523</v>
      </c>
      <c r="F200" s="795" t="s">
        <v>1508</v>
      </c>
      <c r="G200" s="795" t="s">
        <v>1541</v>
      </c>
      <c r="H200" s="795" t="s">
        <v>912</v>
      </c>
      <c r="I200" s="795" t="s">
        <v>929</v>
      </c>
      <c r="J200" s="795" t="s">
        <v>1453</v>
      </c>
      <c r="K200" s="795" t="s">
        <v>1454</v>
      </c>
      <c r="L200" s="798">
        <v>0</v>
      </c>
      <c r="M200" s="798">
        <v>0</v>
      </c>
      <c r="N200" s="795">
        <v>6</v>
      </c>
      <c r="O200" s="799">
        <v>3</v>
      </c>
      <c r="P200" s="798">
        <v>0</v>
      </c>
      <c r="Q200" s="800"/>
      <c r="R200" s="795">
        <v>4</v>
      </c>
      <c r="S200" s="800">
        <v>0.66666666666666663</v>
      </c>
      <c r="T200" s="799">
        <v>2</v>
      </c>
      <c r="U200" s="801">
        <v>0.66666666666666663</v>
      </c>
    </row>
    <row r="201" spans="1:21" ht="14.4" customHeight="1" x14ac:dyDescent="0.3">
      <c r="A201" s="794">
        <v>31</v>
      </c>
      <c r="B201" s="795" t="s">
        <v>592</v>
      </c>
      <c r="C201" s="795" t="s">
        <v>1513</v>
      </c>
      <c r="D201" s="796" t="s">
        <v>2055</v>
      </c>
      <c r="E201" s="797" t="s">
        <v>1523</v>
      </c>
      <c r="F201" s="795" t="s">
        <v>1510</v>
      </c>
      <c r="G201" s="795" t="s">
        <v>1548</v>
      </c>
      <c r="H201" s="795" t="s">
        <v>593</v>
      </c>
      <c r="I201" s="795" t="s">
        <v>1549</v>
      </c>
      <c r="J201" s="795" t="s">
        <v>1550</v>
      </c>
      <c r="K201" s="795" t="s">
        <v>1551</v>
      </c>
      <c r="L201" s="798">
        <v>35.130000000000003</v>
      </c>
      <c r="M201" s="798">
        <v>35.130000000000003</v>
      </c>
      <c r="N201" s="795">
        <v>1</v>
      </c>
      <c r="O201" s="799">
        <v>1</v>
      </c>
      <c r="P201" s="798">
        <v>35.130000000000003</v>
      </c>
      <c r="Q201" s="800">
        <v>1</v>
      </c>
      <c r="R201" s="795">
        <v>1</v>
      </c>
      <c r="S201" s="800">
        <v>1</v>
      </c>
      <c r="T201" s="799">
        <v>1</v>
      </c>
      <c r="U201" s="801">
        <v>1</v>
      </c>
    </row>
    <row r="202" spans="1:21" ht="14.4" customHeight="1" x14ac:dyDescent="0.3">
      <c r="A202" s="794">
        <v>31</v>
      </c>
      <c r="B202" s="795" t="s">
        <v>592</v>
      </c>
      <c r="C202" s="795" t="s">
        <v>1513</v>
      </c>
      <c r="D202" s="796" t="s">
        <v>2055</v>
      </c>
      <c r="E202" s="797" t="s">
        <v>1523</v>
      </c>
      <c r="F202" s="795" t="s">
        <v>1510</v>
      </c>
      <c r="G202" s="795" t="s">
        <v>1548</v>
      </c>
      <c r="H202" s="795" t="s">
        <v>593</v>
      </c>
      <c r="I202" s="795" t="s">
        <v>1694</v>
      </c>
      <c r="J202" s="795" t="s">
        <v>1550</v>
      </c>
      <c r="K202" s="795" t="s">
        <v>1695</v>
      </c>
      <c r="L202" s="798">
        <v>24.77</v>
      </c>
      <c r="M202" s="798">
        <v>24.77</v>
      </c>
      <c r="N202" s="795">
        <v>1</v>
      </c>
      <c r="O202" s="799">
        <v>1</v>
      </c>
      <c r="P202" s="798">
        <v>24.77</v>
      </c>
      <c r="Q202" s="800">
        <v>1</v>
      </c>
      <c r="R202" s="795">
        <v>1</v>
      </c>
      <c r="S202" s="800">
        <v>1</v>
      </c>
      <c r="T202" s="799">
        <v>1</v>
      </c>
      <c r="U202" s="801">
        <v>1</v>
      </c>
    </row>
    <row r="203" spans="1:21" ht="14.4" customHeight="1" x14ac:dyDescent="0.3">
      <c r="A203" s="794">
        <v>31</v>
      </c>
      <c r="B203" s="795" t="s">
        <v>592</v>
      </c>
      <c r="C203" s="795" t="s">
        <v>1513</v>
      </c>
      <c r="D203" s="796" t="s">
        <v>2055</v>
      </c>
      <c r="E203" s="797" t="s">
        <v>1523</v>
      </c>
      <c r="F203" s="795" t="s">
        <v>1510</v>
      </c>
      <c r="G203" s="795" t="s">
        <v>1589</v>
      </c>
      <c r="H203" s="795" t="s">
        <v>593</v>
      </c>
      <c r="I203" s="795" t="s">
        <v>1590</v>
      </c>
      <c r="J203" s="795" t="s">
        <v>1591</v>
      </c>
      <c r="K203" s="795" t="s">
        <v>1592</v>
      </c>
      <c r="L203" s="798">
        <v>3000</v>
      </c>
      <c r="M203" s="798">
        <v>3000</v>
      </c>
      <c r="N203" s="795">
        <v>1</v>
      </c>
      <c r="O203" s="799">
        <v>1</v>
      </c>
      <c r="P203" s="798">
        <v>3000</v>
      </c>
      <c r="Q203" s="800">
        <v>1</v>
      </c>
      <c r="R203" s="795">
        <v>1</v>
      </c>
      <c r="S203" s="800">
        <v>1</v>
      </c>
      <c r="T203" s="799">
        <v>1</v>
      </c>
      <c r="U203" s="801">
        <v>1</v>
      </c>
    </row>
    <row r="204" spans="1:21" ht="14.4" customHeight="1" x14ac:dyDescent="0.3">
      <c r="A204" s="794">
        <v>31</v>
      </c>
      <c r="B204" s="795" t="s">
        <v>592</v>
      </c>
      <c r="C204" s="795" t="s">
        <v>1513</v>
      </c>
      <c r="D204" s="796" t="s">
        <v>2055</v>
      </c>
      <c r="E204" s="797" t="s">
        <v>1523</v>
      </c>
      <c r="F204" s="795" t="s">
        <v>1510</v>
      </c>
      <c r="G204" s="795" t="s">
        <v>1589</v>
      </c>
      <c r="H204" s="795" t="s">
        <v>593</v>
      </c>
      <c r="I204" s="795" t="s">
        <v>1725</v>
      </c>
      <c r="J204" s="795" t="s">
        <v>1726</v>
      </c>
      <c r="K204" s="795" t="s">
        <v>1727</v>
      </c>
      <c r="L204" s="798">
        <v>1575</v>
      </c>
      <c r="M204" s="798">
        <v>1575</v>
      </c>
      <c r="N204" s="795">
        <v>1</v>
      </c>
      <c r="O204" s="799">
        <v>1</v>
      </c>
      <c r="P204" s="798">
        <v>1575</v>
      </c>
      <c r="Q204" s="800">
        <v>1</v>
      </c>
      <c r="R204" s="795">
        <v>1</v>
      </c>
      <c r="S204" s="800">
        <v>1</v>
      </c>
      <c r="T204" s="799">
        <v>1</v>
      </c>
      <c r="U204" s="801">
        <v>1</v>
      </c>
    </row>
    <row r="205" spans="1:21" ht="14.4" customHeight="1" x14ac:dyDescent="0.3">
      <c r="A205" s="794">
        <v>31</v>
      </c>
      <c r="B205" s="795" t="s">
        <v>592</v>
      </c>
      <c r="C205" s="795" t="s">
        <v>1513</v>
      </c>
      <c r="D205" s="796" t="s">
        <v>2055</v>
      </c>
      <c r="E205" s="797" t="s">
        <v>1523</v>
      </c>
      <c r="F205" s="795" t="s">
        <v>1510</v>
      </c>
      <c r="G205" s="795" t="s">
        <v>1589</v>
      </c>
      <c r="H205" s="795" t="s">
        <v>593</v>
      </c>
      <c r="I205" s="795" t="s">
        <v>1655</v>
      </c>
      <c r="J205" s="795" t="s">
        <v>1656</v>
      </c>
      <c r="K205" s="795" t="s">
        <v>1657</v>
      </c>
      <c r="L205" s="798">
        <v>58.5</v>
      </c>
      <c r="M205" s="798">
        <v>58.5</v>
      </c>
      <c r="N205" s="795">
        <v>1</v>
      </c>
      <c r="O205" s="799">
        <v>1</v>
      </c>
      <c r="P205" s="798">
        <v>58.5</v>
      </c>
      <c r="Q205" s="800">
        <v>1</v>
      </c>
      <c r="R205" s="795">
        <v>1</v>
      </c>
      <c r="S205" s="800">
        <v>1</v>
      </c>
      <c r="T205" s="799">
        <v>1</v>
      </c>
      <c r="U205" s="801">
        <v>1</v>
      </c>
    </row>
    <row r="206" spans="1:21" ht="14.4" customHeight="1" x14ac:dyDescent="0.3">
      <c r="A206" s="794">
        <v>31</v>
      </c>
      <c r="B206" s="795" t="s">
        <v>592</v>
      </c>
      <c r="C206" s="795" t="s">
        <v>1513</v>
      </c>
      <c r="D206" s="796" t="s">
        <v>2055</v>
      </c>
      <c r="E206" s="797" t="s">
        <v>1523</v>
      </c>
      <c r="F206" s="795" t="s">
        <v>1510</v>
      </c>
      <c r="G206" s="795" t="s">
        <v>1589</v>
      </c>
      <c r="H206" s="795" t="s">
        <v>593</v>
      </c>
      <c r="I206" s="795" t="s">
        <v>1602</v>
      </c>
      <c r="J206" s="795" t="s">
        <v>1603</v>
      </c>
      <c r="K206" s="795" t="s">
        <v>1604</v>
      </c>
      <c r="L206" s="798">
        <v>971.25</v>
      </c>
      <c r="M206" s="798">
        <v>971.25</v>
      </c>
      <c r="N206" s="795">
        <v>1</v>
      </c>
      <c r="O206" s="799">
        <v>1</v>
      </c>
      <c r="P206" s="798">
        <v>971.25</v>
      </c>
      <c r="Q206" s="800">
        <v>1</v>
      </c>
      <c r="R206" s="795">
        <v>1</v>
      </c>
      <c r="S206" s="800">
        <v>1</v>
      </c>
      <c r="T206" s="799">
        <v>1</v>
      </c>
      <c r="U206" s="801">
        <v>1</v>
      </c>
    </row>
    <row r="207" spans="1:21" ht="14.4" customHeight="1" x14ac:dyDescent="0.3">
      <c r="A207" s="794">
        <v>31</v>
      </c>
      <c r="B207" s="795" t="s">
        <v>592</v>
      </c>
      <c r="C207" s="795" t="s">
        <v>1513</v>
      </c>
      <c r="D207" s="796" t="s">
        <v>2055</v>
      </c>
      <c r="E207" s="797" t="s">
        <v>1523</v>
      </c>
      <c r="F207" s="795" t="s">
        <v>1510</v>
      </c>
      <c r="G207" s="795" t="s">
        <v>1589</v>
      </c>
      <c r="H207" s="795" t="s">
        <v>593</v>
      </c>
      <c r="I207" s="795" t="s">
        <v>1751</v>
      </c>
      <c r="J207" s="795" t="s">
        <v>1752</v>
      </c>
      <c r="K207" s="795" t="s">
        <v>1753</v>
      </c>
      <c r="L207" s="798">
        <v>349.12</v>
      </c>
      <c r="M207" s="798">
        <v>698.24</v>
      </c>
      <c r="N207" s="795">
        <v>2</v>
      </c>
      <c r="O207" s="799">
        <v>2</v>
      </c>
      <c r="P207" s="798">
        <v>698.24</v>
      </c>
      <c r="Q207" s="800">
        <v>1</v>
      </c>
      <c r="R207" s="795">
        <v>2</v>
      </c>
      <c r="S207" s="800">
        <v>1</v>
      </c>
      <c r="T207" s="799">
        <v>2</v>
      </c>
      <c r="U207" s="801">
        <v>1</v>
      </c>
    </row>
    <row r="208" spans="1:21" ht="14.4" customHeight="1" x14ac:dyDescent="0.3">
      <c r="A208" s="794">
        <v>31</v>
      </c>
      <c r="B208" s="795" t="s">
        <v>592</v>
      </c>
      <c r="C208" s="795" t="s">
        <v>1513</v>
      </c>
      <c r="D208" s="796" t="s">
        <v>2055</v>
      </c>
      <c r="E208" s="797" t="s">
        <v>1523</v>
      </c>
      <c r="F208" s="795" t="s">
        <v>1510</v>
      </c>
      <c r="G208" s="795" t="s">
        <v>1589</v>
      </c>
      <c r="H208" s="795" t="s">
        <v>593</v>
      </c>
      <c r="I208" s="795" t="s">
        <v>1605</v>
      </c>
      <c r="J208" s="795" t="s">
        <v>1606</v>
      </c>
      <c r="K208" s="795" t="s">
        <v>1607</v>
      </c>
      <c r="L208" s="798">
        <v>350</v>
      </c>
      <c r="M208" s="798">
        <v>1050</v>
      </c>
      <c r="N208" s="795">
        <v>3</v>
      </c>
      <c r="O208" s="799">
        <v>3</v>
      </c>
      <c r="P208" s="798">
        <v>1050</v>
      </c>
      <c r="Q208" s="800">
        <v>1</v>
      </c>
      <c r="R208" s="795">
        <v>3</v>
      </c>
      <c r="S208" s="800">
        <v>1</v>
      </c>
      <c r="T208" s="799">
        <v>3</v>
      </c>
      <c r="U208" s="801">
        <v>1</v>
      </c>
    </row>
    <row r="209" spans="1:21" ht="14.4" customHeight="1" x14ac:dyDescent="0.3">
      <c r="A209" s="794">
        <v>31</v>
      </c>
      <c r="B209" s="795" t="s">
        <v>592</v>
      </c>
      <c r="C209" s="795" t="s">
        <v>1513</v>
      </c>
      <c r="D209" s="796" t="s">
        <v>2055</v>
      </c>
      <c r="E209" s="797" t="s">
        <v>1523</v>
      </c>
      <c r="F209" s="795" t="s">
        <v>1510</v>
      </c>
      <c r="G209" s="795" t="s">
        <v>1589</v>
      </c>
      <c r="H209" s="795" t="s">
        <v>593</v>
      </c>
      <c r="I209" s="795" t="s">
        <v>1754</v>
      </c>
      <c r="J209" s="795" t="s">
        <v>1755</v>
      </c>
      <c r="K209" s="795"/>
      <c r="L209" s="798">
        <v>100</v>
      </c>
      <c r="M209" s="798">
        <v>100</v>
      </c>
      <c r="N209" s="795">
        <v>1</v>
      </c>
      <c r="O209" s="799">
        <v>1</v>
      </c>
      <c r="P209" s="798">
        <v>100</v>
      </c>
      <c r="Q209" s="800">
        <v>1</v>
      </c>
      <c r="R209" s="795">
        <v>1</v>
      </c>
      <c r="S209" s="800">
        <v>1</v>
      </c>
      <c r="T209" s="799">
        <v>1</v>
      </c>
      <c r="U209" s="801">
        <v>1</v>
      </c>
    </row>
    <row r="210" spans="1:21" ht="14.4" customHeight="1" x14ac:dyDescent="0.3">
      <c r="A210" s="794">
        <v>31</v>
      </c>
      <c r="B210" s="795" t="s">
        <v>592</v>
      </c>
      <c r="C210" s="795" t="s">
        <v>1513</v>
      </c>
      <c r="D210" s="796" t="s">
        <v>2055</v>
      </c>
      <c r="E210" s="797" t="s">
        <v>1523</v>
      </c>
      <c r="F210" s="795" t="s">
        <v>1510</v>
      </c>
      <c r="G210" s="795" t="s">
        <v>1617</v>
      </c>
      <c r="H210" s="795" t="s">
        <v>593</v>
      </c>
      <c r="I210" s="795" t="s">
        <v>1621</v>
      </c>
      <c r="J210" s="795" t="s">
        <v>1622</v>
      </c>
      <c r="K210" s="795" t="s">
        <v>1623</v>
      </c>
      <c r="L210" s="798">
        <v>200</v>
      </c>
      <c r="M210" s="798">
        <v>800</v>
      </c>
      <c r="N210" s="795">
        <v>4</v>
      </c>
      <c r="O210" s="799">
        <v>2</v>
      </c>
      <c r="P210" s="798">
        <v>800</v>
      </c>
      <c r="Q210" s="800">
        <v>1</v>
      </c>
      <c r="R210" s="795">
        <v>4</v>
      </c>
      <c r="S210" s="800">
        <v>1</v>
      </c>
      <c r="T210" s="799">
        <v>2</v>
      </c>
      <c r="U210" s="801">
        <v>1</v>
      </c>
    </row>
    <row r="211" spans="1:21" ht="14.4" customHeight="1" x14ac:dyDescent="0.3">
      <c r="A211" s="794">
        <v>31</v>
      </c>
      <c r="B211" s="795" t="s">
        <v>592</v>
      </c>
      <c r="C211" s="795" t="s">
        <v>1513</v>
      </c>
      <c r="D211" s="796" t="s">
        <v>2055</v>
      </c>
      <c r="E211" s="797" t="s">
        <v>1524</v>
      </c>
      <c r="F211" s="795" t="s">
        <v>1508</v>
      </c>
      <c r="G211" s="795" t="s">
        <v>1553</v>
      </c>
      <c r="H211" s="795" t="s">
        <v>912</v>
      </c>
      <c r="I211" s="795" t="s">
        <v>970</v>
      </c>
      <c r="J211" s="795" t="s">
        <v>971</v>
      </c>
      <c r="K211" s="795" t="s">
        <v>1436</v>
      </c>
      <c r="L211" s="798">
        <v>225.06</v>
      </c>
      <c r="M211" s="798">
        <v>225.06</v>
      </c>
      <c r="N211" s="795">
        <v>1</v>
      </c>
      <c r="O211" s="799">
        <v>1</v>
      </c>
      <c r="P211" s="798">
        <v>225.06</v>
      </c>
      <c r="Q211" s="800">
        <v>1</v>
      </c>
      <c r="R211" s="795">
        <v>1</v>
      </c>
      <c r="S211" s="800">
        <v>1</v>
      </c>
      <c r="T211" s="799">
        <v>1</v>
      </c>
      <c r="U211" s="801">
        <v>1</v>
      </c>
    </row>
    <row r="212" spans="1:21" ht="14.4" customHeight="1" x14ac:dyDescent="0.3">
      <c r="A212" s="794">
        <v>31</v>
      </c>
      <c r="B212" s="795" t="s">
        <v>592</v>
      </c>
      <c r="C212" s="795" t="s">
        <v>1513</v>
      </c>
      <c r="D212" s="796" t="s">
        <v>2055</v>
      </c>
      <c r="E212" s="797" t="s">
        <v>1524</v>
      </c>
      <c r="F212" s="795" t="s">
        <v>1508</v>
      </c>
      <c r="G212" s="795" t="s">
        <v>1631</v>
      </c>
      <c r="H212" s="795" t="s">
        <v>593</v>
      </c>
      <c r="I212" s="795" t="s">
        <v>1756</v>
      </c>
      <c r="J212" s="795" t="s">
        <v>1757</v>
      </c>
      <c r="K212" s="795" t="s">
        <v>1758</v>
      </c>
      <c r="L212" s="798">
        <v>238.72</v>
      </c>
      <c r="M212" s="798">
        <v>477.44</v>
      </c>
      <c r="N212" s="795">
        <v>2</v>
      </c>
      <c r="O212" s="799">
        <v>0.5</v>
      </c>
      <c r="P212" s="798"/>
      <c r="Q212" s="800">
        <v>0</v>
      </c>
      <c r="R212" s="795"/>
      <c r="S212" s="800">
        <v>0</v>
      </c>
      <c r="T212" s="799"/>
      <c r="U212" s="801">
        <v>0</v>
      </c>
    </row>
    <row r="213" spans="1:21" ht="14.4" customHeight="1" x14ac:dyDescent="0.3">
      <c r="A213" s="794">
        <v>31</v>
      </c>
      <c r="B213" s="795" t="s">
        <v>592</v>
      </c>
      <c r="C213" s="795" t="s">
        <v>1513</v>
      </c>
      <c r="D213" s="796" t="s">
        <v>2055</v>
      </c>
      <c r="E213" s="797" t="s">
        <v>1524</v>
      </c>
      <c r="F213" s="795" t="s">
        <v>1508</v>
      </c>
      <c r="G213" s="795" t="s">
        <v>1759</v>
      </c>
      <c r="H213" s="795" t="s">
        <v>593</v>
      </c>
      <c r="I213" s="795" t="s">
        <v>1760</v>
      </c>
      <c r="J213" s="795" t="s">
        <v>1761</v>
      </c>
      <c r="K213" s="795" t="s">
        <v>1762</v>
      </c>
      <c r="L213" s="798">
        <v>0</v>
      </c>
      <c r="M213" s="798">
        <v>0</v>
      </c>
      <c r="N213" s="795">
        <v>5</v>
      </c>
      <c r="O213" s="799">
        <v>3.5</v>
      </c>
      <c r="P213" s="798"/>
      <c r="Q213" s="800"/>
      <c r="R213" s="795"/>
      <c r="S213" s="800">
        <v>0</v>
      </c>
      <c r="T213" s="799"/>
      <c r="U213" s="801">
        <v>0</v>
      </c>
    </row>
    <row r="214" spans="1:21" ht="14.4" customHeight="1" x14ac:dyDescent="0.3">
      <c r="A214" s="794">
        <v>31</v>
      </c>
      <c r="B214" s="795" t="s">
        <v>592</v>
      </c>
      <c r="C214" s="795" t="s">
        <v>1513</v>
      </c>
      <c r="D214" s="796" t="s">
        <v>2055</v>
      </c>
      <c r="E214" s="797" t="s">
        <v>1524</v>
      </c>
      <c r="F214" s="795" t="s">
        <v>1508</v>
      </c>
      <c r="G214" s="795" t="s">
        <v>1738</v>
      </c>
      <c r="H214" s="795" t="s">
        <v>593</v>
      </c>
      <c r="I214" s="795" t="s">
        <v>1763</v>
      </c>
      <c r="J214" s="795" t="s">
        <v>1764</v>
      </c>
      <c r="K214" s="795" t="s">
        <v>1765</v>
      </c>
      <c r="L214" s="798">
        <v>48.42</v>
      </c>
      <c r="M214" s="798">
        <v>96.84</v>
      </c>
      <c r="N214" s="795">
        <v>2</v>
      </c>
      <c r="O214" s="799">
        <v>1</v>
      </c>
      <c r="P214" s="798"/>
      <c r="Q214" s="800">
        <v>0</v>
      </c>
      <c r="R214" s="795"/>
      <c r="S214" s="800">
        <v>0</v>
      </c>
      <c r="T214" s="799"/>
      <c r="U214" s="801">
        <v>0</v>
      </c>
    </row>
    <row r="215" spans="1:21" ht="14.4" customHeight="1" x14ac:dyDescent="0.3">
      <c r="A215" s="794">
        <v>31</v>
      </c>
      <c r="B215" s="795" t="s">
        <v>592</v>
      </c>
      <c r="C215" s="795" t="s">
        <v>1513</v>
      </c>
      <c r="D215" s="796" t="s">
        <v>2055</v>
      </c>
      <c r="E215" s="797" t="s">
        <v>1524</v>
      </c>
      <c r="F215" s="795" t="s">
        <v>1508</v>
      </c>
      <c r="G215" s="795" t="s">
        <v>1561</v>
      </c>
      <c r="H215" s="795" t="s">
        <v>593</v>
      </c>
      <c r="I215" s="795" t="s">
        <v>1721</v>
      </c>
      <c r="J215" s="795" t="s">
        <v>1563</v>
      </c>
      <c r="K215" s="795" t="s">
        <v>1566</v>
      </c>
      <c r="L215" s="798">
        <v>132.97999999999999</v>
      </c>
      <c r="M215" s="798">
        <v>265.95999999999998</v>
      </c>
      <c r="N215" s="795">
        <v>2</v>
      </c>
      <c r="O215" s="799">
        <v>0.5</v>
      </c>
      <c r="P215" s="798">
        <v>265.95999999999998</v>
      </c>
      <c r="Q215" s="800">
        <v>1</v>
      </c>
      <c r="R215" s="795">
        <v>2</v>
      </c>
      <c r="S215" s="800">
        <v>1</v>
      </c>
      <c r="T215" s="799">
        <v>0.5</v>
      </c>
      <c r="U215" s="801">
        <v>1</v>
      </c>
    </row>
    <row r="216" spans="1:21" ht="14.4" customHeight="1" x14ac:dyDescent="0.3">
      <c r="A216" s="794">
        <v>31</v>
      </c>
      <c r="B216" s="795" t="s">
        <v>592</v>
      </c>
      <c r="C216" s="795" t="s">
        <v>1513</v>
      </c>
      <c r="D216" s="796" t="s">
        <v>2055</v>
      </c>
      <c r="E216" s="797" t="s">
        <v>1524</v>
      </c>
      <c r="F216" s="795" t="s">
        <v>1508</v>
      </c>
      <c r="G216" s="795" t="s">
        <v>1766</v>
      </c>
      <c r="H216" s="795" t="s">
        <v>593</v>
      </c>
      <c r="I216" s="795" t="s">
        <v>1767</v>
      </c>
      <c r="J216" s="795" t="s">
        <v>1768</v>
      </c>
      <c r="K216" s="795" t="s">
        <v>1769</v>
      </c>
      <c r="L216" s="798">
        <v>140.72</v>
      </c>
      <c r="M216" s="798">
        <v>281.44</v>
      </c>
      <c r="N216" s="795">
        <v>2</v>
      </c>
      <c r="O216" s="799">
        <v>1</v>
      </c>
      <c r="P216" s="798">
        <v>281.44</v>
      </c>
      <c r="Q216" s="800">
        <v>1</v>
      </c>
      <c r="R216" s="795">
        <v>2</v>
      </c>
      <c r="S216" s="800">
        <v>1</v>
      </c>
      <c r="T216" s="799">
        <v>1</v>
      </c>
      <c r="U216" s="801">
        <v>1</v>
      </c>
    </row>
    <row r="217" spans="1:21" ht="14.4" customHeight="1" x14ac:dyDescent="0.3">
      <c r="A217" s="794">
        <v>31</v>
      </c>
      <c r="B217" s="795" t="s">
        <v>592</v>
      </c>
      <c r="C217" s="795" t="s">
        <v>1513</v>
      </c>
      <c r="D217" s="796" t="s">
        <v>2055</v>
      </c>
      <c r="E217" s="797" t="s">
        <v>1524</v>
      </c>
      <c r="F217" s="795" t="s">
        <v>1508</v>
      </c>
      <c r="G217" s="795" t="s">
        <v>1539</v>
      </c>
      <c r="H217" s="795" t="s">
        <v>912</v>
      </c>
      <c r="I217" s="795" t="s">
        <v>1540</v>
      </c>
      <c r="J217" s="795" t="s">
        <v>977</v>
      </c>
      <c r="K217" s="795" t="s">
        <v>1414</v>
      </c>
      <c r="L217" s="798">
        <v>490.89</v>
      </c>
      <c r="M217" s="798">
        <v>3927.12</v>
      </c>
      <c r="N217" s="795">
        <v>8</v>
      </c>
      <c r="O217" s="799">
        <v>5</v>
      </c>
      <c r="P217" s="798">
        <v>2945.34</v>
      </c>
      <c r="Q217" s="800">
        <v>0.75000000000000011</v>
      </c>
      <c r="R217" s="795">
        <v>6</v>
      </c>
      <c r="S217" s="800">
        <v>0.75</v>
      </c>
      <c r="T217" s="799">
        <v>4</v>
      </c>
      <c r="U217" s="801">
        <v>0.8</v>
      </c>
    </row>
    <row r="218" spans="1:21" ht="14.4" customHeight="1" x14ac:dyDescent="0.3">
      <c r="A218" s="794">
        <v>31</v>
      </c>
      <c r="B218" s="795" t="s">
        <v>592</v>
      </c>
      <c r="C218" s="795" t="s">
        <v>1513</v>
      </c>
      <c r="D218" s="796" t="s">
        <v>2055</v>
      </c>
      <c r="E218" s="797" t="s">
        <v>1524</v>
      </c>
      <c r="F218" s="795" t="s">
        <v>1508</v>
      </c>
      <c r="G218" s="795" t="s">
        <v>1539</v>
      </c>
      <c r="H218" s="795" t="s">
        <v>912</v>
      </c>
      <c r="I218" s="795" t="s">
        <v>1552</v>
      </c>
      <c r="J218" s="795" t="s">
        <v>977</v>
      </c>
      <c r="K218" s="795" t="s">
        <v>1413</v>
      </c>
      <c r="L218" s="798">
        <v>736.33</v>
      </c>
      <c r="M218" s="798">
        <v>5890.64</v>
      </c>
      <c r="N218" s="795">
        <v>8</v>
      </c>
      <c r="O218" s="799">
        <v>4</v>
      </c>
      <c r="P218" s="798">
        <v>4417.9800000000005</v>
      </c>
      <c r="Q218" s="800">
        <v>0.75</v>
      </c>
      <c r="R218" s="795">
        <v>6</v>
      </c>
      <c r="S218" s="800">
        <v>0.75</v>
      </c>
      <c r="T218" s="799">
        <v>3</v>
      </c>
      <c r="U218" s="801">
        <v>0.75</v>
      </c>
    </row>
    <row r="219" spans="1:21" ht="14.4" customHeight="1" x14ac:dyDescent="0.3">
      <c r="A219" s="794">
        <v>31</v>
      </c>
      <c r="B219" s="795" t="s">
        <v>592</v>
      </c>
      <c r="C219" s="795" t="s">
        <v>1513</v>
      </c>
      <c r="D219" s="796" t="s">
        <v>2055</v>
      </c>
      <c r="E219" s="797" t="s">
        <v>1524</v>
      </c>
      <c r="F219" s="795" t="s">
        <v>1508</v>
      </c>
      <c r="G219" s="795" t="s">
        <v>1573</v>
      </c>
      <c r="H219" s="795" t="s">
        <v>912</v>
      </c>
      <c r="I219" s="795" t="s">
        <v>1574</v>
      </c>
      <c r="J219" s="795" t="s">
        <v>622</v>
      </c>
      <c r="K219" s="795" t="s">
        <v>1448</v>
      </c>
      <c r="L219" s="798">
        <v>48.42</v>
      </c>
      <c r="M219" s="798">
        <v>290.52000000000004</v>
      </c>
      <c r="N219" s="795">
        <v>6</v>
      </c>
      <c r="O219" s="799">
        <v>4</v>
      </c>
      <c r="P219" s="798">
        <v>242.10000000000002</v>
      </c>
      <c r="Q219" s="800">
        <v>0.83333333333333326</v>
      </c>
      <c r="R219" s="795">
        <v>5</v>
      </c>
      <c r="S219" s="800">
        <v>0.83333333333333337</v>
      </c>
      <c r="T219" s="799">
        <v>3</v>
      </c>
      <c r="U219" s="801">
        <v>0.75</v>
      </c>
    </row>
    <row r="220" spans="1:21" ht="14.4" customHeight="1" x14ac:dyDescent="0.3">
      <c r="A220" s="794">
        <v>31</v>
      </c>
      <c r="B220" s="795" t="s">
        <v>592</v>
      </c>
      <c r="C220" s="795" t="s">
        <v>1513</v>
      </c>
      <c r="D220" s="796" t="s">
        <v>2055</v>
      </c>
      <c r="E220" s="797" t="s">
        <v>1524</v>
      </c>
      <c r="F220" s="795" t="s">
        <v>1508</v>
      </c>
      <c r="G220" s="795" t="s">
        <v>1749</v>
      </c>
      <c r="H220" s="795" t="s">
        <v>593</v>
      </c>
      <c r="I220" s="795" t="s">
        <v>874</v>
      </c>
      <c r="J220" s="795" t="s">
        <v>875</v>
      </c>
      <c r="K220" s="795" t="s">
        <v>1750</v>
      </c>
      <c r="L220" s="798">
        <v>108.44</v>
      </c>
      <c r="M220" s="798">
        <v>216.88</v>
      </c>
      <c r="N220" s="795">
        <v>2</v>
      </c>
      <c r="O220" s="799">
        <v>1</v>
      </c>
      <c r="P220" s="798">
        <v>216.88</v>
      </c>
      <c r="Q220" s="800">
        <v>1</v>
      </c>
      <c r="R220" s="795">
        <v>2</v>
      </c>
      <c r="S220" s="800">
        <v>1</v>
      </c>
      <c r="T220" s="799">
        <v>1</v>
      </c>
      <c r="U220" s="801">
        <v>1</v>
      </c>
    </row>
    <row r="221" spans="1:21" ht="14.4" customHeight="1" x14ac:dyDescent="0.3">
      <c r="A221" s="794">
        <v>31</v>
      </c>
      <c r="B221" s="795" t="s">
        <v>592</v>
      </c>
      <c r="C221" s="795" t="s">
        <v>1513</v>
      </c>
      <c r="D221" s="796" t="s">
        <v>2055</v>
      </c>
      <c r="E221" s="797" t="s">
        <v>1524</v>
      </c>
      <c r="F221" s="795" t="s">
        <v>1508</v>
      </c>
      <c r="G221" s="795" t="s">
        <v>1749</v>
      </c>
      <c r="H221" s="795" t="s">
        <v>593</v>
      </c>
      <c r="I221" s="795" t="s">
        <v>1770</v>
      </c>
      <c r="J221" s="795" t="s">
        <v>875</v>
      </c>
      <c r="K221" s="795" t="s">
        <v>1750</v>
      </c>
      <c r="L221" s="798">
        <v>52.61</v>
      </c>
      <c r="M221" s="798">
        <v>105.22</v>
      </c>
      <c r="N221" s="795">
        <v>2</v>
      </c>
      <c r="O221" s="799">
        <v>1</v>
      </c>
      <c r="P221" s="798">
        <v>105.22</v>
      </c>
      <c r="Q221" s="800">
        <v>1</v>
      </c>
      <c r="R221" s="795">
        <v>2</v>
      </c>
      <c r="S221" s="800">
        <v>1</v>
      </c>
      <c r="T221" s="799">
        <v>1</v>
      </c>
      <c r="U221" s="801">
        <v>1</v>
      </c>
    </row>
    <row r="222" spans="1:21" ht="14.4" customHeight="1" x14ac:dyDescent="0.3">
      <c r="A222" s="794">
        <v>31</v>
      </c>
      <c r="B222" s="795" t="s">
        <v>592</v>
      </c>
      <c r="C222" s="795" t="s">
        <v>1513</v>
      </c>
      <c r="D222" s="796" t="s">
        <v>2055</v>
      </c>
      <c r="E222" s="797" t="s">
        <v>1524</v>
      </c>
      <c r="F222" s="795" t="s">
        <v>1508</v>
      </c>
      <c r="G222" s="795" t="s">
        <v>1771</v>
      </c>
      <c r="H222" s="795" t="s">
        <v>593</v>
      </c>
      <c r="I222" s="795" t="s">
        <v>1224</v>
      </c>
      <c r="J222" s="795" t="s">
        <v>1772</v>
      </c>
      <c r="K222" s="795" t="s">
        <v>1773</v>
      </c>
      <c r="L222" s="798">
        <v>99.11</v>
      </c>
      <c r="M222" s="798">
        <v>198.22</v>
      </c>
      <c r="N222" s="795">
        <v>2</v>
      </c>
      <c r="O222" s="799">
        <v>0.5</v>
      </c>
      <c r="P222" s="798">
        <v>198.22</v>
      </c>
      <c r="Q222" s="800">
        <v>1</v>
      </c>
      <c r="R222" s="795">
        <v>2</v>
      </c>
      <c r="S222" s="800">
        <v>1</v>
      </c>
      <c r="T222" s="799">
        <v>0.5</v>
      </c>
      <c r="U222" s="801">
        <v>1</v>
      </c>
    </row>
    <row r="223" spans="1:21" ht="14.4" customHeight="1" x14ac:dyDescent="0.3">
      <c r="A223" s="794">
        <v>31</v>
      </c>
      <c r="B223" s="795" t="s">
        <v>592</v>
      </c>
      <c r="C223" s="795" t="s">
        <v>1513</v>
      </c>
      <c r="D223" s="796" t="s">
        <v>2055</v>
      </c>
      <c r="E223" s="797" t="s">
        <v>1524</v>
      </c>
      <c r="F223" s="795" t="s">
        <v>1508</v>
      </c>
      <c r="G223" s="795" t="s">
        <v>1541</v>
      </c>
      <c r="H223" s="795" t="s">
        <v>912</v>
      </c>
      <c r="I223" s="795" t="s">
        <v>929</v>
      </c>
      <c r="J223" s="795" t="s">
        <v>1453</v>
      </c>
      <c r="K223" s="795" t="s">
        <v>1454</v>
      </c>
      <c r="L223" s="798">
        <v>0</v>
      </c>
      <c r="M223" s="798">
        <v>0</v>
      </c>
      <c r="N223" s="795">
        <v>2</v>
      </c>
      <c r="O223" s="799">
        <v>2</v>
      </c>
      <c r="P223" s="798">
        <v>0</v>
      </c>
      <c r="Q223" s="800"/>
      <c r="R223" s="795">
        <v>2</v>
      </c>
      <c r="S223" s="800">
        <v>1</v>
      </c>
      <c r="T223" s="799">
        <v>2</v>
      </c>
      <c r="U223" s="801">
        <v>1</v>
      </c>
    </row>
    <row r="224" spans="1:21" ht="14.4" customHeight="1" x14ac:dyDescent="0.3">
      <c r="A224" s="794">
        <v>31</v>
      </c>
      <c r="B224" s="795" t="s">
        <v>592</v>
      </c>
      <c r="C224" s="795" t="s">
        <v>1513</v>
      </c>
      <c r="D224" s="796" t="s">
        <v>2055</v>
      </c>
      <c r="E224" s="797" t="s">
        <v>1524</v>
      </c>
      <c r="F224" s="795" t="s">
        <v>1508</v>
      </c>
      <c r="G224" s="795" t="s">
        <v>1774</v>
      </c>
      <c r="H224" s="795" t="s">
        <v>593</v>
      </c>
      <c r="I224" s="795" t="s">
        <v>1775</v>
      </c>
      <c r="J224" s="795" t="s">
        <v>1776</v>
      </c>
      <c r="K224" s="795" t="s">
        <v>1500</v>
      </c>
      <c r="L224" s="798">
        <v>0</v>
      </c>
      <c r="M224" s="798">
        <v>0</v>
      </c>
      <c r="N224" s="795">
        <v>1</v>
      </c>
      <c r="O224" s="799">
        <v>1</v>
      </c>
      <c r="P224" s="798">
        <v>0</v>
      </c>
      <c r="Q224" s="800"/>
      <c r="R224" s="795">
        <v>1</v>
      </c>
      <c r="S224" s="800">
        <v>1</v>
      </c>
      <c r="T224" s="799">
        <v>1</v>
      </c>
      <c r="U224" s="801">
        <v>1</v>
      </c>
    </row>
    <row r="225" spans="1:21" ht="14.4" customHeight="1" x14ac:dyDescent="0.3">
      <c r="A225" s="794">
        <v>31</v>
      </c>
      <c r="B225" s="795" t="s">
        <v>592</v>
      </c>
      <c r="C225" s="795" t="s">
        <v>1513</v>
      </c>
      <c r="D225" s="796" t="s">
        <v>2055</v>
      </c>
      <c r="E225" s="797" t="s">
        <v>1524</v>
      </c>
      <c r="F225" s="795" t="s">
        <v>1508</v>
      </c>
      <c r="G225" s="795" t="s">
        <v>1774</v>
      </c>
      <c r="H225" s="795" t="s">
        <v>593</v>
      </c>
      <c r="I225" s="795" t="s">
        <v>1777</v>
      </c>
      <c r="J225" s="795" t="s">
        <v>1776</v>
      </c>
      <c r="K225" s="795" t="s">
        <v>1462</v>
      </c>
      <c r="L225" s="798">
        <v>0</v>
      </c>
      <c r="M225" s="798">
        <v>0</v>
      </c>
      <c r="N225" s="795">
        <v>4</v>
      </c>
      <c r="O225" s="799">
        <v>2</v>
      </c>
      <c r="P225" s="798"/>
      <c r="Q225" s="800"/>
      <c r="R225" s="795"/>
      <c r="S225" s="800">
        <v>0</v>
      </c>
      <c r="T225" s="799"/>
      <c r="U225" s="801">
        <v>0</v>
      </c>
    </row>
    <row r="226" spans="1:21" ht="14.4" customHeight="1" x14ac:dyDescent="0.3">
      <c r="A226" s="794">
        <v>31</v>
      </c>
      <c r="B226" s="795" t="s">
        <v>592</v>
      </c>
      <c r="C226" s="795" t="s">
        <v>1513</v>
      </c>
      <c r="D226" s="796" t="s">
        <v>2055</v>
      </c>
      <c r="E226" s="797" t="s">
        <v>1524</v>
      </c>
      <c r="F226" s="795" t="s">
        <v>1510</v>
      </c>
      <c r="G226" s="795" t="s">
        <v>1589</v>
      </c>
      <c r="H226" s="795" t="s">
        <v>593</v>
      </c>
      <c r="I226" s="795" t="s">
        <v>1778</v>
      </c>
      <c r="J226" s="795" t="s">
        <v>1779</v>
      </c>
      <c r="K226" s="795" t="s">
        <v>1780</v>
      </c>
      <c r="L226" s="798">
        <v>2202.1999999999998</v>
      </c>
      <c r="M226" s="798">
        <v>2202.1999999999998</v>
      </c>
      <c r="N226" s="795">
        <v>1</v>
      </c>
      <c r="O226" s="799">
        <v>1</v>
      </c>
      <c r="P226" s="798"/>
      <c r="Q226" s="800">
        <v>0</v>
      </c>
      <c r="R226" s="795"/>
      <c r="S226" s="800">
        <v>0</v>
      </c>
      <c r="T226" s="799"/>
      <c r="U226" s="801">
        <v>0</v>
      </c>
    </row>
    <row r="227" spans="1:21" ht="14.4" customHeight="1" x14ac:dyDescent="0.3">
      <c r="A227" s="794">
        <v>31</v>
      </c>
      <c r="B227" s="795" t="s">
        <v>592</v>
      </c>
      <c r="C227" s="795" t="s">
        <v>1513</v>
      </c>
      <c r="D227" s="796" t="s">
        <v>2055</v>
      </c>
      <c r="E227" s="797" t="s">
        <v>1524</v>
      </c>
      <c r="F227" s="795" t="s">
        <v>1510</v>
      </c>
      <c r="G227" s="795" t="s">
        <v>1589</v>
      </c>
      <c r="H227" s="795" t="s">
        <v>593</v>
      </c>
      <c r="I227" s="795" t="s">
        <v>1602</v>
      </c>
      <c r="J227" s="795" t="s">
        <v>1603</v>
      </c>
      <c r="K227" s="795" t="s">
        <v>1604</v>
      </c>
      <c r="L227" s="798">
        <v>971.25</v>
      </c>
      <c r="M227" s="798">
        <v>971.25</v>
      </c>
      <c r="N227" s="795">
        <v>1</v>
      </c>
      <c r="O227" s="799">
        <v>1</v>
      </c>
      <c r="P227" s="798">
        <v>971.25</v>
      </c>
      <c r="Q227" s="800">
        <v>1</v>
      </c>
      <c r="R227" s="795">
        <v>1</v>
      </c>
      <c r="S227" s="800">
        <v>1</v>
      </c>
      <c r="T227" s="799">
        <v>1</v>
      </c>
      <c r="U227" s="801">
        <v>1</v>
      </c>
    </row>
    <row r="228" spans="1:21" ht="14.4" customHeight="1" x14ac:dyDescent="0.3">
      <c r="A228" s="794">
        <v>31</v>
      </c>
      <c r="B228" s="795" t="s">
        <v>592</v>
      </c>
      <c r="C228" s="795" t="s">
        <v>1513</v>
      </c>
      <c r="D228" s="796" t="s">
        <v>2055</v>
      </c>
      <c r="E228" s="797" t="s">
        <v>1524</v>
      </c>
      <c r="F228" s="795" t="s">
        <v>1510</v>
      </c>
      <c r="G228" s="795" t="s">
        <v>1589</v>
      </c>
      <c r="H228" s="795" t="s">
        <v>593</v>
      </c>
      <c r="I228" s="795" t="s">
        <v>1781</v>
      </c>
      <c r="J228" s="795" t="s">
        <v>1782</v>
      </c>
      <c r="K228" s="795" t="s">
        <v>1783</v>
      </c>
      <c r="L228" s="798">
        <v>600</v>
      </c>
      <c r="M228" s="798">
        <v>600</v>
      </c>
      <c r="N228" s="795">
        <v>1</v>
      </c>
      <c r="O228" s="799">
        <v>1</v>
      </c>
      <c r="P228" s="798">
        <v>600</v>
      </c>
      <c r="Q228" s="800">
        <v>1</v>
      </c>
      <c r="R228" s="795">
        <v>1</v>
      </c>
      <c r="S228" s="800">
        <v>1</v>
      </c>
      <c r="T228" s="799">
        <v>1</v>
      </c>
      <c r="U228" s="801">
        <v>1</v>
      </c>
    </row>
    <row r="229" spans="1:21" ht="14.4" customHeight="1" x14ac:dyDescent="0.3">
      <c r="A229" s="794">
        <v>31</v>
      </c>
      <c r="B229" s="795" t="s">
        <v>592</v>
      </c>
      <c r="C229" s="795" t="s">
        <v>1513</v>
      </c>
      <c r="D229" s="796" t="s">
        <v>2055</v>
      </c>
      <c r="E229" s="797" t="s">
        <v>1524</v>
      </c>
      <c r="F229" s="795" t="s">
        <v>1510</v>
      </c>
      <c r="G229" s="795" t="s">
        <v>1617</v>
      </c>
      <c r="H229" s="795" t="s">
        <v>593</v>
      </c>
      <c r="I229" s="795" t="s">
        <v>1618</v>
      </c>
      <c r="J229" s="795" t="s">
        <v>1619</v>
      </c>
      <c r="K229" s="795" t="s">
        <v>1620</v>
      </c>
      <c r="L229" s="798">
        <v>260</v>
      </c>
      <c r="M229" s="798">
        <v>1040</v>
      </c>
      <c r="N229" s="795">
        <v>4</v>
      </c>
      <c r="O229" s="799">
        <v>2</v>
      </c>
      <c r="P229" s="798">
        <v>1040</v>
      </c>
      <c r="Q229" s="800">
        <v>1</v>
      </c>
      <c r="R229" s="795">
        <v>4</v>
      </c>
      <c r="S229" s="800">
        <v>1</v>
      </c>
      <c r="T229" s="799">
        <v>2</v>
      </c>
      <c r="U229" s="801">
        <v>1</v>
      </c>
    </row>
    <row r="230" spans="1:21" ht="14.4" customHeight="1" x14ac:dyDescent="0.3">
      <c r="A230" s="794">
        <v>31</v>
      </c>
      <c r="B230" s="795" t="s">
        <v>592</v>
      </c>
      <c r="C230" s="795" t="s">
        <v>1513</v>
      </c>
      <c r="D230" s="796" t="s">
        <v>2055</v>
      </c>
      <c r="E230" s="797" t="s">
        <v>1526</v>
      </c>
      <c r="F230" s="795" t="s">
        <v>1508</v>
      </c>
      <c r="G230" s="795" t="s">
        <v>1557</v>
      </c>
      <c r="H230" s="795" t="s">
        <v>593</v>
      </c>
      <c r="I230" s="795" t="s">
        <v>1682</v>
      </c>
      <c r="J230" s="795" t="s">
        <v>1062</v>
      </c>
      <c r="K230" s="795" t="s">
        <v>1683</v>
      </c>
      <c r="L230" s="798">
        <v>391.67</v>
      </c>
      <c r="M230" s="798">
        <v>391.67</v>
      </c>
      <c r="N230" s="795">
        <v>1</v>
      </c>
      <c r="O230" s="799">
        <v>0.5</v>
      </c>
      <c r="P230" s="798">
        <v>391.67</v>
      </c>
      <c r="Q230" s="800">
        <v>1</v>
      </c>
      <c r="R230" s="795">
        <v>1</v>
      </c>
      <c r="S230" s="800">
        <v>1</v>
      </c>
      <c r="T230" s="799">
        <v>0.5</v>
      </c>
      <c r="U230" s="801">
        <v>1</v>
      </c>
    </row>
    <row r="231" spans="1:21" ht="14.4" customHeight="1" x14ac:dyDescent="0.3">
      <c r="A231" s="794">
        <v>31</v>
      </c>
      <c r="B231" s="795" t="s">
        <v>592</v>
      </c>
      <c r="C231" s="795" t="s">
        <v>1513</v>
      </c>
      <c r="D231" s="796" t="s">
        <v>2055</v>
      </c>
      <c r="E231" s="797" t="s">
        <v>1526</v>
      </c>
      <c r="F231" s="795" t="s">
        <v>1508</v>
      </c>
      <c r="G231" s="795" t="s">
        <v>1784</v>
      </c>
      <c r="H231" s="795" t="s">
        <v>593</v>
      </c>
      <c r="I231" s="795" t="s">
        <v>1785</v>
      </c>
      <c r="J231" s="795" t="s">
        <v>1786</v>
      </c>
      <c r="K231" s="795" t="s">
        <v>1787</v>
      </c>
      <c r="L231" s="798">
        <v>92.85</v>
      </c>
      <c r="M231" s="798">
        <v>92.85</v>
      </c>
      <c r="N231" s="795">
        <v>1</v>
      </c>
      <c r="O231" s="799">
        <v>1</v>
      </c>
      <c r="P231" s="798"/>
      <c r="Q231" s="800">
        <v>0</v>
      </c>
      <c r="R231" s="795"/>
      <c r="S231" s="800">
        <v>0</v>
      </c>
      <c r="T231" s="799"/>
      <c r="U231" s="801">
        <v>0</v>
      </c>
    </row>
    <row r="232" spans="1:21" ht="14.4" customHeight="1" x14ac:dyDescent="0.3">
      <c r="A232" s="794">
        <v>31</v>
      </c>
      <c r="B232" s="795" t="s">
        <v>592</v>
      </c>
      <c r="C232" s="795" t="s">
        <v>1513</v>
      </c>
      <c r="D232" s="796" t="s">
        <v>2055</v>
      </c>
      <c r="E232" s="797" t="s">
        <v>1526</v>
      </c>
      <c r="F232" s="795" t="s">
        <v>1508</v>
      </c>
      <c r="G232" s="795" t="s">
        <v>1708</v>
      </c>
      <c r="H232" s="795" t="s">
        <v>593</v>
      </c>
      <c r="I232" s="795" t="s">
        <v>1788</v>
      </c>
      <c r="J232" s="795" t="s">
        <v>1710</v>
      </c>
      <c r="K232" s="795" t="s">
        <v>1789</v>
      </c>
      <c r="L232" s="798">
        <v>0</v>
      </c>
      <c r="M232" s="798">
        <v>0</v>
      </c>
      <c r="N232" s="795">
        <v>1</v>
      </c>
      <c r="O232" s="799">
        <v>1</v>
      </c>
      <c r="P232" s="798">
        <v>0</v>
      </c>
      <c r="Q232" s="800"/>
      <c r="R232" s="795">
        <v>1</v>
      </c>
      <c r="S232" s="800">
        <v>1</v>
      </c>
      <c r="T232" s="799">
        <v>1</v>
      </c>
      <c r="U232" s="801">
        <v>1</v>
      </c>
    </row>
    <row r="233" spans="1:21" ht="14.4" customHeight="1" x14ac:dyDescent="0.3">
      <c r="A233" s="794">
        <v>31</v>
      </c>
      <c r="B233" s="795" t="s">
        <v>592</v>
      </c>
      <c r="C233" s="795" t="s">
        <v>1513</v>
      </c>
      <c r="D233" s="796" t="s">
        <v>2055</v>
      </c>
      <c r="E233" s="797" t="s">
        <v>1526</v>
      </c>
      <c r="F233" s="795" t="s">
        <v>1508</v>
      </c>
      <c r="G233" s="795" t="s">
        <v>1537</v>
      </c>
      <c r="H233" s="795" t="s">
        <v>593</v>
      </c>
      <c r="I233" s="795" t="s">
        <v>1271</v>
      </c>
      <c r="J233" s="795" t="s">
        <v>748</v>
      </c>
      <c r="K233" s="795" t="s">
        <v>1790</v>
      </c>
      <c r="L233" s="798">
        <v>0</v>
      </c>
      <c r="M233" s="798">
        <v>0</v>
      </c>
      <c r="N233" s="795">
        <v>1</v>
      </c>
      <c r="O233" s="799">
        <v>0.5</v>
      </c>
      <c r="P233" s="798">
        <v>0</v>
      </c>
      <c r="Q233" s="800"/>
      <c r="R233" s="795">
        <v>1</v>
      </c>
      <c r="S233" s="800">
        <v>1</v>
      </c>
      <c r="T233" s="799">
        <v>0.5</v>
      </c>
      <c r="U233" s="801">
        <v>1</v>
      </c>
    </row>
    <row r="234" spans="1:21" ht="14.4" customHeight="1" x14ac:dyDescent="0.3">
      <c r="A234" s="794">
        <v>31</v>
      </c>
      <c r="B234" s="795" t="s">
        <v>592</v>
      </c>
      <c r="C234" s="795" t="s">
        <v>1513</v>
      </c>
      <c r="D234" s="796" t="s">
        <v>2055</v>
      </c>
      <c r="E234" s="797" t="s">
        <v>1526</v>
      </c>
      <c r="F234" s="795" t="s">
        <v>1508</v>
      </c>
      <c r="G234" s="795" t="s">
        <v>1712</v>
      </c>
      <c r="H234" s="795" t="s">
        <v>593</v>
      </c>
      <c r="I234" s="795" t="s">
        <v>708</v>
      </c>
      <c r="J234" s="795" t="s">
        <v>709</v>
      </c>
      <c r="K234" s="795" t="s">
        <v>1715</v>
      </c>
      <c r="L234" s="798">
        <v>0</v>
      </c>
      <c r="M234" s="798">
        <v>0</v>
      </c>
      <c r="N234" s="795">
        <v>1</v>
      </c>
      <c r="O234" s="799">
        <v>0.5</v>
      </c>
      <c r="P234" s="798">
        <v>0</v>
      </c>
      <c r="Q234" s="800"/>
      <c r="R234" s="795">
        <v>1</v>
      </c>
      <c r="S234" s="800">
        <v>1</v>
      </c>
      <c r="T234" s="799">
        <v>0.5</v>
      </c>
      <c r="U234" s="801">
        <v>1</v>
      </c>
    </row>
    <row r="235" spans="1:21" ht="14.4" customHeight="1" x14ac:dyDescent="0.3">
      <c r="A235" s="794">
        <v>31</v>
      </c>
      <c r="B235" s="795" t="s">
        <v>592</v>
      </c>
      <c r="C235" s="795" t="s">
        <v>1513</v>
      </c>
      <c r="D235" s="796" t="s">
        <v>2055</v>
      </c>
      <c r="E235" s="797" t="s">
        <v>1526</v>
      </c>
      <c r="F235" s="795" t="s">
        <v>1508</v>
      </c>
      <c r="G235" s="795" t="s">
        <v>1712</v>
      </c>
      <c r="H235" s="795" t="s">
        <v>593</v>
      </c>
      <c r="I235" s="795" t="s">
        <v>704</v>
      </c>
      <c r="J235" s="795" t="s">
        <v>709</v>
      </c>
      <c r="K235" s="795" t="s">
        <v>1791</v>
      </c>
      <c r="L235" s="798">
        <v>0</v>
      </c>
      <c r="M235" s="798">
        <v>0</v>
      </c>
      <c r="N235" s="795">
        <v>2</v>
      </c>
      <c r="O235" s="799">
        <v>1.5</v>
      </c>
      <c r="P235" s="798">
        <v>0</v>
      </c>
      <c r="Q235" s="800"/>
      <c r="R235" s="795">
        <v>1</v>
      </c>
      <c r="S235" s="800">
        <v>0.5</v>
      </c>
      <c r="T235" s="799">
        <v>0.5</v>
      </c>
      <c r="U235" s="801">
        <v>0.33333333333333331</v>
      </c>
    </row>
    <row r="236" spans="1:21" ht="14.4" customHeight="1" x14ac:dyDescent="0.3">
      <c r="A236" s="794">
        <v>31</v>
      </c>
      <c r="B236" s="795" t="s">
        <v>592</v>
      </c>
      <c r="C236" s="795" t="s">
        <v>1513</v>
      </c>
      <c r="D236" s="796" t="s">
        <v>2055</v>
      </c>
      <c r="E236" s="797" t="s">
        <v>1526</v>
      </c>
      <c r="F236" s="795" t="s">
        <v>1508</v>
      </c>
      <c r="G236" s="795" t="s">
        <v>1561</v>
      </c>
      <c r="H236" s="795" t="s">
        <v>593</v>
      </c>
      <c r="I236" s="795" t="s">
        <v>1721</v>
      </c>
      <c r="J236" s="795" t="s">
        <v>1563</v>
      </c>
      <c r="K236" s="795" t="s">
        <v>1566</v>
      </c>
      <c r="L236" s="798">
        <v>132.97999999999999</v>
      </c>
      <c r="M236" s="798">
        <v>265.95999999999998</v>
      </c>
      <c r="N236" s="795">
        <v>2</v>
      </c>
      <c r="O236" s="799">
        <v>1</v>
      </c>
      <c r="P236" s="798">
        <v>265.95999999999998</v>
      </c>
      <c r="Q236" s="800">
        <v>1</v>
      </c>
      <c r="R236" s="795">
        <v>2</v>
      </c>
      <c r="S236" s="800">
        <v>1</v>
      </c>
      <c r="T236" s="799">
        <v>1</v>
      </c>
      <c r="U236" s="801">
        <v>1</v>
      </c>
    </row>
    <row r="237" spans="1:21" ht="14.4" customHeight="1" x14ac:dyDescent="0.3">
      <c r="A237" s="794">
        <v>31</v>
      </c>
      <c r="B237" s="795" t="s">
        <v>592</v>
      </c>
      <c r="C237" s="795" t="s">
        <v>1513</v>
      </c>
      <c r="D237" s="796" t="s">
        <v>2055</v>
      </c>
      <c r="E237" s="797" t="s">
        <v>1526</v>
      </c>
      <c r="F237" s="795" t="s">
        <v>1508</v>
      </c>
      <c r="G237" s="795" t="s">
        <v>1539</v>
      </c>
      <c r="H237" s="795" t="s">
        <v>912</v>
      </c>
      <c r="I237" s="795" t="s">
        <v>1540</v>
      </c>
      <c r="J237" s="795" t="s">
        <v>977</v>
      </c>
      <c r="K237" s="795" t="s">
        <v>1414</v>
      </c>
      <c r="L237" s="798">
        <v>490.89</v>
      </c>
      <c r="M237" s="798">
        <v>8345.1299999999992</v>
      </c>
      <c r="N237" s="795">
        <v>17</v>
      </c>
      <c r="O237" s="799">
        <v>8.5</v>
      </c>
      <c r="P237" s="798">
        <v>7363.3499999999995</v>
      </c>
      <c r="Q237" s="800">
        <v>0.88235294117647056</v>
      </c>
      <c r="R237" s="795">
        <v>15</v>
      </c>
      <c r="S237" s="800">
        <v>0.88235294117647056</v>
      </c>
      <c r="T237" s="799">
        <v>6.5</v>
      </c>
      <c r="U237" s="801">
        <v>0.76470588235294112</v>
      </c>
    </row>
    <row r="238" spans="1:21" ht="14.4" customHeight="1" x14ac:dyDescent="0.3">
      <c r="A238" s="794">
        <v>31</v>
      </c>
      <c r="B238" s="795" t="s">
        <v>592</v>
      </c>
      <c r="C238" s="795" t="s">
        <v>1513</v>
      </c>
      <c r="D238" s="796" t="s">
        <v>2055</v>
      </c>
      <c r="E238" s="797" t="s">
        <v>1526</v>
      </c>
      <c r="F238" s="795" t="s">
        <v>1508</v>
      </c>
      <c r="G238" s="795" t="s">
        <v>1539</v>
      </c>
      <c r="H238" s="795" t="s">
        <v>912</v>
      </c>
      <c r="I238" s="795" t="s">
        <v>1552</v>
      </c>
      <c r="J238" s="795" t="s">
        <v>977</v>
      </c>
      <c r="K238" s="795" t="s">
        <v>1413</v>
      </c>
      <c r="L238" s="798">
        <v>736.33</v>
      </c>
      <c r="M238" s="798">
        <v>4417.9800000000005</v>
      </c>
      <c r="N238" s="795">
        <v>6</v>
      </c>
      <c r="O238" s="799">
        <v>3</v>
      </c>
      <c r="P238" s="798">
        <v>4417.9800000000005</v>
      </c>
      <c r="Q238" s="800">
        <v>1</v>
      </c>
      <c r="R238" s="795">
        <v>6</v>
      </c>
      <c r="S238" s="800">
        <v>1</v>
      </c>
      <c r="T238" s="799">
        <v>3</v>
      </c>
      <c r="U238" s="801">
        <v>1</v>
      </c>
    </row>
    <row r="239" spans="1:21" ht="14.4" customHeight="1" x14ac:dyDescent="0.3">
      <c r="A239" s="794">
        <v>31</v>
      </c>
      <c r="B239" s="795" t="s">
        <v>592</v>
      </c>
      <c r="C239" s="795" t="s">
        <v>1513</v>
      </c>
      <c r="D239" s="796" t="s">
        <v>2055</v>
      </c>
      <c r="E239" s="797" t="s">
        <v>1526</v>
      </c>
      <c r="F239" s="795" t="s">
        <v>1508</v>
      </c>
      <c r="G239" s="795" t="s">
        <v>1541</v>
      </c>
      <c r="H239" s="795" t="s">
        <v>912</v>
      </c>
      <c r="I239" s="795" t="s">
        <v>929</v>
      </c>
      <c r="J239" s="795" t="s">
        <v>1453</v>
      </c>
      <c r="K239" s="795" t="s">
        <v>1454</v>
      </c>
      <c r="L239" s="798">
        <v>0</v>
      </c>
      <c r="M239" s="798">
        <v>0</v>
      </c>
      <c r="N239" s="795">
        <v>2</v>
      </c>
      <c r="O239" s="799">
        <v>1.5</v>
      </c>
      <c r="P239" s="798">
        <v>0</v>
      </c>
      <c r="Q239" s="800"/>
      <c r="R239" s="795">
        <v>2</v>
      </c>
      <c r="S239" s="800">
        <v>1</v>
      </c>
      <c r="T239" s="799">
        <v>1.5</v>
      </c>
      <c r="U239" s="801">
        <v>1</v>
      </c>
    </row>
    <row r="240" spans="1:21" ht="14.4" customHeight="1" x14ac:dyDescent="0.3">
      <c r="A240" s="794">
        <v>31</v>
      </c>
      <c r="B240" s="795" t="s">
        <v>592</v>
      </c>
      <c r="C240" s="795" t="s">
        <v>1513</v>
      </c>
      <c r="D240" s="796" t="s">
        <v>2055</v>
      </c>
      <c r="E240" s="797" t="s">
        <v>1526</v>
      </c>
      <c r="F240" s="795" t="s">
        <v>1508</v>
      </c>
      <c r="G240" s="795" t="s">
        <v>1792</v>
      </c>
      <c r="H240" s="795" t="s">
        <v>593</v>
      </c>
      <c r="I240" s="795" t="s">
        <v>1793</v>
      </c>
      <c r="J240" s="795" t="s">
        <v>1794</v>
      </c>
      <c r="K240" s="795" t="s">
        <v>1795</v>
      </c>
      <c r="L240" s="798">
        <v>1578.41</v>
      </c>
      <c r="M240" s="798">
        <v>1578.41</v>
      </c>
      <c r="N240" s="795">
        <v>1</v>
      </c>
      <c r="O240" s="799">
        <v>1</v>
      </c>
      <c r="P240" s="798">
        <v>1578.41</v>
      </c>
      <c r="Q240" s="800">
        <v>1</v>
      </c>
      <c r="R240" s="795">
        <v>1</v>
      </c>
      <c r="S240" s="800">
        <v>1</v>
      </c>
      <c r="T240" s="799">
        <v>1</v>
      </c>
      <c r="U240" s="801">
        <v>1</v>
      </c>
    </row>
    <row r="241" spans="1:21" ht="14.4" customHeight="1" x14ac:dyDescent="0.3">
      <c r="A241" s="794">
        <v>31</v>
      </c>
      <c r="B241" s="795" t="s">
        <v>592</v>
      </c>
      <c r="C241" s="795" t="s">
        <v>1513</v>
      </c>
      <c r="D241" s="796" t="s">
        <v>2055</v>
      </c>
      <c r="E241" s="797" t="s">
        <v>1526</v>
      </c>
      <c r="F241" s="795" t="s">
        <v>1508</v>
      </c>
      <c r="G241" s="795" t="s">
        <v>1792</v>
      </c>
      <c r="H241" s="795" t="s">
        <v>593</v>
      </c>
      <c r="I241" s="795" t="s">
        <v>1796</v>
      </c>
      <c r="J241" s="795" t="s">
        <v>1794</v>
      </c>
      <c r="K241" s="795" t="s">
        <v>1797</v>
      </c>
      <c r="L241" s="798">
        <v>789.2</v>
      </c>
      <c r="M241" s="798">
        <v>789.2</v>
      </c>
      <c r="N241" s="795">
        <v>1</v>
      </c>
      <c r="O241" s="799">
        <v>1</v>
      </c>
      <c r="P241" s="798"/>
      <c r="Q241" s="800">
        <v>0</v>
      </c>
      <c r="R241" s="795"/>
      <c r="S241" s="800">
        <v>0</v>
      </c>
      <c r="T241" s="799"/>
      <c r="U241" s="801">
        <v>0</v>
      </c>
    </row>
    <row r="242" spans="1:21" ht="14.4" customHeight="1" x14ac:dyDescent="0.3">
      <c r="A242" s="794">
        <v>31</v>
      </c>
      <c r="B242" s="795" t="s">
        <v>592</v>
      </c>
      <c r="C242" s="795" t="s">
        <v>1513</v>
      </c>
      <c r="D242" s="796" t="s">
        <v>2055</v>
      </c>
      <c r="E242" s="797" t="s">
        <v>1526</v>
      </c>
      <c r="F242" s="795" t="s">
        <v>1508</v>
      </c>
      <c r="G242" s="795" t="s">
        <v>1798</v>
      </c>
      <c r="H242" s="795" t="s">
        <v>593</v>
      </c>
      <c r="I242" s="795" t="s">
        <v>1799</v>
      </c>
      <c r="J242" s="795" t="s">
        <v>1800</v>
      </c>
      <c r="K242" s="795" t="s">
        <v>1801</v>
      </c>
      <c r="L242" s="798">
        <v>0</v>
      </c>
      <c r="M242" s="798">
        <v>0</v>
      </c>
      <c r="N242" s="795">
        <v>1</v>
      </c>
      <c r="O242" s="799">
        <v>1</v>
      </c>
      <c r="P242" s="798">
        <v>0</v>
      </c>
      <c r="Q242" s="800"/>
      <c r="R242" s="795">
        <v>1</v>
      </c>
      <c r="S242" s="800">
        <v>1</v>
      </c>
      <c r="T242" s="799">
        <v>1</v>
      </c>
      <c r="U242" s="801">
        <v>1</v>
      </c>
    </row>
    <row r="243" spans="1:21" ht="14.4" customHeight="1" x14ac:dyDescent="0.3">
      <c r="A243" s="794">
        <v>31</v>
      </c>
      <c r="B243" s="795" t="s">
        <v>592</v>
      </c>
      <c r="C243" s="795" t="s">
        <v>1513</v>
      </c>
      <c r="D243" s="796" t="s">
        <v>2055</v>
      </c>
      <c r="E243" s="797" t="s">
        <v>1526</v>
      </c>
      <c r="F243" s="795" t="s">
        <v>1508</v>
      </c>
      <c r="G243" s="795" t="s">
        <v>1544</v>
      </c>
      <c r="H243" s="795" t="s">
        <v>593</v>
      </c>
      <c r="I243" s="795" t="s">
        <v>1545</v>
      </c>
      <c r="J243" s="795" t="s">
        <v>1546</v>
      </c>
      <c r="K243" s="795" t="s">
        <v>1547</v>
      </c>
      <c r="L243" s="798">
        <v>50.32</v>
      </c>
      <c r="M243" s="798">
        <v>50.32</v>
      </c>
      <c r="N243" s="795">
        <v>1</v>
      </c>
      <c r="O243" s="799">
        <v>1</v>
      </c>
      <c r="P243" s="798">
        <v>50.32</v>
      </c>
      <c r="Q243" s="800">
        <v>1</v>
      </c>
      <c r="R243" s="795">
        <v>1</v>
      </c>
      <c r="S243" s="800">
        <v>1</v>
      </c>
      <c r="T243" s="799">
        <v>1</v>
      </c>
      <c r="U243" s="801">
        <v>1</v>
      </c>
    </row>
    <row r="244" spans="1:21" ht="14.4" customHeight="1" x14ac:dyDescent="0.3">
      <c r="A244" s="794">
        <v>31</v>
      </c>
      <c r="B244" s="795" t="s">
        <v>592</v>
      </c>
      <c r="C244" s="795" t="s">
        <v>1513</v>
      </c>
      <c r="D244" s="796" t="s">
        <v>2055</v>
      </c>
      <c r="E244" s="797" t="s">
        <v>1526</v>
      </c>
      <c r="F244" s="795" t="s">
        <v>1510</v>
      </c>
      <c r="G244" s="795" t="s">
        <v>1548</v>
      </c>
      <c r="H244" s="795" t="s">
        <v>593</v>
      </c>
      <c r="I244" s="795" t="s">
        <v>1802</v>
      </c>
      <c r="J244" s="795" t="s">
        <v>1803</v>
      </c>
      <c r="K244" s="795" t="s">
        <v>1804</v>
      </c>
      <c r="L244" s="798">
        <v>56.25</v>
      </c>
      <c r="M244" s="798">
        <v>225</v>
      </c>
      <c r="N244" s="795">
        <v>4</v>
      </c>
      <c r="O244" s="799">
        <v>2</v>
      </c>
      <c r="P244" s="798">
        <v>112.5</v>
      </c>
      <c r="Q244" s="800">
        <v>0.5</v>
      </c>
      <c r="R244" s="795">
        <v>2</v>
      </c>
      <c r="S244" s="800">
        <v>0.5</v>
      </c>
      <c r="T244" s="799">
        <v>1</v>
      </c>
      <c r="U244" s="801">
        <v>0.5</v>
      </c>
    </row>
    <row r="245" spans="1:21" ht="14.4" customHeight="1" x14ac:dyDescent="0.3">
      <c r="A245" s="794">
        <v>31</v>
      </c>
      <c r="B245" s="795" t="s">
        <v>592</v>
      </c>
      <c r="C245" s="795" t="s">
        <v>1513</v>
      </c>
      <c r="D245" s="796" t="s">
        <v>2055</v>
      </c>
      <c r="E245" s="797" t="s">
        <v>1526</v>
      </c>
      <c r="F245" s="795" t="s">
        <v>1510</v>
      </c>
      <c r="G245" s="795" t="s">
        <v>1548</v>
      </c>
      <c r="H245" s="795" t="s">
        <v>593</v>
      </c>
      <c r="I245" s="795" t="s">
        <v>1805</v>
      </c>
      <c r="J245" s="795" t="s">
        <v>1550</v>
      </c>
      <c r="K245" s="795" t="s">
        <v>1806</v>
      </c>
      <c r="L245" s="798">
        <v>30.99</v>
      </c>
      <c r="M245" s="798">
        <v>61.98</v>
      </c>
      <c r="N245" s="795">
        <v>2</v>
      </c>
      <c r="O245" s="799">
        <v>2</v>
      </c>
      <c r="P245" s="798">
        <v>61.98</v>
      </c>
      <c r="Q245" s="800">
        <v>1</v>
      </c>
      <c r="R245" s="795">
        <v>2</v>
      </c>
      <c r="S245" s="800">
        <v>1</v>
      </c>
      <c r="T245" s="799">
        <v>2</v>
      </c>
      <c r="U245" s="801">
        <v>1</v>
      </c>
    </row>
    <row r="246" spans="1:21" ht="14.4" customHeight="1" x14ac:dyDescent="0.3">
      <c r="A246" s="794">
        <v>31</v>
      </c>
      <c r="B246" s="795" t="s">
        <v>592</v>
      </c>
      <c r="C246" s="795" t="s">
        <v>1513</v>
      </c>
      <c r="D246" s="796" t="s">
        <v>2055</v>
      </c>
      <c r="E246" s="797" t="s">
        <v>1526</v>
      </c>
      <c r="F246" s="795" t="s">
        <v>1510</v>
      </c>
      <c r="G246" s="795" t="s">
        <v>1589</v>
      </c>
      <c r="H246" s="795" t="s">
        <v>593</v>
      </c>
      <c r="I246" s="795" t="s">
        <v>1778</v>
      </c>
      <c r="J246" s="795" t="s">
        <v>1779</v>
      </c>
      <c r="K246" s="795" t="s">
        <v>1780</v>
      </c>
      <c r="L246" s="798">
        <v>2202.1999999999998</v>
      </c>
      <c r="M246" s="798">
        <v>2202.1999999999998</v>
      </c>
      <c r="N246" s="795">
        <v>1</v>
      </c>
      <c r="O246" s="799">
        <v>1</v>
      </c>
      <c r="P246" s="798"/>
      <c r="Q246" s="800">
        <v>0</v>
      </c>
      <c r="R246" s="795"/>
      <c r="S246" s="800">
        <v>0</v>
      </c>
      <c r="T246" s="799"/>
      <c r="U246" s="801">
        <v>0</v>
      </c>
    </row>
    <row r="247" spans="1:21" ht="14.4" customHeight="1" x14ac:dyDescent="0.3">
      <c r="A247" s="794">
        <v>31</v>
      </c>
      <c r="B247" s="795" t="s">
        <v>592</v>
      </c>
      <c r="C247" s="795" t="s">
        <v>1513</v>
      </c>
      <c r="D247" s="796" t="s">
        <v>2055</v>
      </c>
      <c r="E247" s="797" t="s">
        <v>1526</v>
      </c>
      <c r="F247" s="795" t="s">
        <v>1510</v>
      </c>
      <c r="G247" s="795" t="s">
        <v>1589</v>
      </c>
      <c r="H247" s="795" t="s">
        <v>593</v>
      </c>
      <c r="I247" s="795" t="s">
        <v>1605</v>
      </c>
      <c r="J247" s="795" t="s">
        <v>1606</v>
      </c>
      <c r="K247" s="795" t="s">
        <v>1607</v>
      </c>
      <c r="L247" s="798">
        <v>350</v>
      </c>
      <c r="M247" s="798">
        <v>350</v>
      </c>
      <c r="N247" s="795">
        <v>1</v>
      </c>
      <c r="O247" s="799">
        <v>1</v>
      </c>
      <c r="P247" s="798">
        <v>350</v>
      </c>
      <c r="Q247" s="800">
        <v>1</v>
      </c>
      <c r="R247" s="795">
        <v>1</v>
      </c>
      <c r="S247" s="800">
        <v>1</v>
      </c>
      <c r="T247" s="799">
        <v>1</v>
      </c>
      <c r="U247" s="801">
        <v>1</v>
      </c>
    </row>
    <row r="248" spans="1:21" ht="14.4" customHeight="1" x14ac:dyDescent="0.3">
      <c r="A248" s="794">
        <v>31</v>
      </c>
      <c r="B248" s="795" t="s">
        <v>592</v>
      </c>
      <c r="C248" s="795" t="s">
        <v>1513</v>
      </c>
      <c r="D248" s="796" t="s">
        <v>2055</v>
      </c>
      <c r="E248" s="797" t="s">
        <v>1526</v>
      </c>
      <c r="F248" s="795" t="s">
        <v>1510</v>
      </c>
      <c r="G248" s="795" t="s">
        <v>1589</v>
      </c>
      <c r="H248" s="795" t="s">
        <v>593</v>
      </c>
      <c r="I248" s="795" t="s">
        <v>1754</v>
      </c>
      <c r="J248" s="795" t="s">
        <v>1755</v>
      </c>
      <c r="K248" s="795"/>
      <c r="L248" s="798">
        <v>100</v>
      </c>
      <c r="M248" s="798">
        <v>200</v>
      </c>
      <c r="N248" s="795">
        <v>2</v>
      </c>
      <c r="O248" s="799">
        <v>2</v>
      </c>
      <c r="P248" s="798">
        <v>200</v>
      </c>
      <c r="Q248" s="800">
        <v>1</v>
      </c>
      <c r="R248" s="795">
        <v>2</v>
      </c>
      <c r="S248" s="800">
        <v>1</v>
      </c>
      <c r="T248" s="799">
        <v>2</v>
      </c>
      <c r="U248" s="801">
        <v>1</v>
      </c>
    </row>
    <row r="249" spans="1:21" ht="14.4" customHeight="1" x14ac:dyDescent="0.3">
      <c r="A249" s="794">
        <v>31</v>
      </c>
      <c r="B249" s="795" t="s">
        <v>592</v>
      </c>
      <c r="C249" s="795" t="s">
        <v>1513</v>
      </c>
      <c r="D249" s="796" t="s">
        <v>2055</v>
      </c>
      <c r="E249" s="797" t="s">
        <v>1526</v>
      </c>
      <c r="F249" s="795" t="s">
        <v>1510</v>
      </c>
      <c r="G249" s="795" t="s">
        <v>1589</v>
      </c>
      <c r="H249" s="795" t="s">
        <v>593</v>
      </c>
      <c r="I249" s="795" t="s">
        <v>1807</v>
      </c>
      <c r="J249" s="795" t="s">
        <v>1808</v>
      </c>
      <c r="K249" s="795" t="s">
        <v>1809</v>
      </c>
      <c r="L249" s="798">
        <v>695.62</v>
      </c>
      <c r="M249" s="798">
        <v>695.62</v>
      </c>
      <c r="N249" s="795">
        <v>1</v>
      </c>
      <c r="O249" s="799">
        <v>1</v>
      </c>
      <c r="P249" s="798">
        <v>695.62</v>
      </c>
      <c r="Q249" s="800">
        <v>1</v>
      </c>
      <c r="R249" s="795">
        <v>1</v>
      </c>
      <c r="S249" s="800">
        <v>1</v>
      </c>
      <c r="T249" s="799">
        <v>1</v>
      </c>
      <c r="U249" s="801">
        <v>1</v>
      </c>
    </row>
    <row r="250" spans="1:21" ht="14.4" customHeight="1" x14ac:dyDescent="0.3">
      <c r="A250" s="794">
        <v>31</v>
      </c>
      <c r="B250" s="795" t="s">
        <v>592</v>
      </c>
      <c r="C250" s="795" t="s">
        <v>1513</v>
      </c>
      <c r="D250" s="796" t="s">
        <v>2055</v>
      </c>
      <c r="E250" s="797" t="s">
        <v>1526</v>
      </c>
      <c r="F250" s="795" t="s">
        <v>1510</v>
      </c>
      <c r="G250" s="795" t="s">
        <v>1617</v>
      </c>
      <c r="H250" s="795" t="s">
        <v>593</v>
      </c>
      <c r="I250" s="795" t="s">
        <v>1618</v>
      </c>
      <c r="J250" s="795" t="s">
        <v>1619</v>
      </c>
      <c r="K250" s="795" t="s">
        <v>1620</v>
      </c>
      <c r="L250" s="798">
        <v>260</v>
      </c>
      <c r="M250" s="798">
        <v>520</v>
      </c>
      <c r="N250" s="795">
        <v>2</v>
      </c>
      <c r="O250" s="799">
        <v>1</v>
      </c>
      <c r="P250" s="798">
        <v>520</v>
      </c>
      <c r="Q250" s="800">
        <v>1</v>
      </c>
      <c r="R250" s="795">
        <v>2</v>
      </c>
      <c r="S250" s="800">
        <v>1</v>
      </c>
      <c r="T250" s="799">
        <v>1</v>
      </c>
      <c r="U250" s="801">
        <v>1</v>
      </c>
    </row>
    <row r="251" spans="1:21" ht="14.4" customHeight="1" x14ac:dyDescent="0.3">
      <c r="A251" s="794">
        <v>31</v>
      </c>
      <c r="B251" s="795" t="s">
        <v>592</v>
      </c>
      <c r="C251" s="795" t="s">
        <v>1513</v>
      </c>
      <c r="D251" s="796" t="s">
        <v>2055</v>
      </c>
      <c r="E251" s="797" t="s">
        <v>1526</v>
      </c>
      <c r="F251" s="795" t="s">
        <v>1510</v>
      </c>
      <c r="G251" s="795" t="s">
        <v>1617</v>
      </c>
      <c r="H251" s="795" t="s">
        <v>593</v>
      </c>
      <c r="I251" s="795" t="s">
        <v>1621</v>
      </c>
      <c r="J251" s="795" t="s">
        <v>1622</v>
      </c>
      <c r="K251" s="795" t="s">
        <v>1623</v>
      </c>
      <c r="L251" s="798">
        <v>200</v>
      </c>
      <c r="M251" s="798">
        <v>400</v>
      </c>
      <c r="N251" s="795">
        <v>2</v>
      </c>
      <c r="O251" s="799">
        <v>1</v>
      </c>
      <c r="P251" s="798">
        <v>400</v>
      </c>
      <c r="Q251" s="800">
        <v>1</v>
      </c>
      <c r="R251" s="795">
        <v>2</v>
      </c>
      <c r="S251" s="800">
        <v>1</v>
      </c>
      <c r="T251" s="799">
        <v>1</v>
      </c>
      <c r="U251" s="801">
        <v>1</v>
      </c>
    </row>
    <row r="252" spans="1:21" ht="14.4" customHeight="1" x14ac:dyDescent="0.3">
      <c r="A252" s="794">
        <v>31</v>
      </c>
      <c r="B252" s="795" t="s">
        <v>592</v>
      </c>
      <c r="C252" s="795" t="s">
        <v>1513</v>
      </c>
      <c r="D252" s="796" t="s">
        <v>2055</v>
      </c>
      <c r="E252" s="797" t="s">
        <v>1527</v>
      </c>
      <c r="F252" s="795" t="s">
        <v>1508</v>
      </c>
      <c r="G252" s="795" t="s">
        <v>1810</v>
      </c>
      <c r="H252" s="795" t="s">
        <v>912</v>
      </c>
      <c r="I252" s="795" t="s">
        <v>1811</v>
      </c>
      <c r="J252" s="795" t="s">
        <v>1812</v>
      </c>
      <c r="K252" s="795" t="s">
        <v>1813</v>
      </c>
      <c r="L252" s="798">
        <v>70.540000000000006</v>
      </c>
      <c r="M252" s="798">
        <v>141.08000000000001</v>
      </c>
      <c r="N252" s="795">
        <v>2</v>
      </c>
      <c r="O252" s="799">
        <v>1</v>
      </c>
      <c r="P252" s="798"/>
      <c r="Q252" s="800">
        <v>0</v>
      </c>
      <c r="R252" s="795"/>
      <c r="S252" s="800">
        <v>0</v>
      </c>
      <c r="T252" s="799"/>
      <c r="U252" s="801">
        <v>0</v>
      </c>
    </row>
    <row r="253" spans="1:21" ht="14.4" customHeight="1" x14ac:dyDescent="0.3">
      <c r="A253" s="794">
        <v>31</v>
      </c>
      <c r="B253" s="795" t="s">
        <v>592</v>
      </c>
      <c r="C253" s="795" t="s">
        <v>1513</v>
      </c>
      <c r="D253" s="796" t="s">
        <v>2055</v>
      </c>
      <c r="E253" s="797" t="s">
        <v>1527</v>
      </c>
      <c r="F253" s="795" t="s">
        <v>1508</v>
      </c>
      <c r="G253" s="795" t="s">
        <v>1631</v>
      </c>
      <c r="H253" s="795" t="s">
        <v>593</v>
      </c>
      <c r="I253" s="795" t="s">
        <v>1814</v>
      </c>
      <c r="J253" s="795" t="s">
        <v>1757</v>
      </c>
      <c r="K253" s="795" t="s">
        <v>1815</v>
      </c>
      <c r="L253" s="798">
        <v>55.41</v>
      </c>
      <c r="M253" s="798">
        <v>277.04999999999995</v>
      </c>
      <c r="N253" s="795">
        <v>5</v>
      </c>
      <c r="O253" s="799">
        <v>2</v>
      </c>
      <c r="P253" s="798">
        <v>166.23</v>
      </c>
      <c r="Q253" s="800">
        <v>0.60000000000000009</v>
      </c>
      <c r="R253" s="795">
        <v>3</v>
      </c>
      <c r="S253" s="800">
        <v>0.6</v>
      </c>
      <c r="T253" s="799">
        <v>1</v>
      </c>
      <c r="U253" s="801">
        <v>0.5</v>
      </c>
    </row>
    <row r="254" spans="1:21" ht="14.4" customHeight="1" x14ac:dyDescent="0.3">
      <c r="A254" s="794">
        <v>31</v>
      </c>
      <c r="B254" s="795" t="s">
        <v>592</v>
      </c>
      <c r="C254" s="795" t="s">
        <v>1513</v>
      </c>
      <c r="D254" s="796" t="s">
        <v>2055</v>
      </c>
      <c r="E254" s="797" t="s">
        <v>1527</v>
      </c>
      <c r="F254" s="795" t="s">
        <v>1508</v>
      </c>
      <c r="G254" s="795" t="s">
        <v>1816</v>
      </c>
      <c r="H254" s="795" t="s">
        <v>912</v>
      </c>
      <c r="I254" s="795" t="s">
        <v>1817</v>
      </c>
      <c r="J254" s="795" t="s">
        <v>1818</v>
      </c>
      <c r="K254" s="795" t="s">
        <v>1819</v>
      </c>
      <c r="L254" s="798">
        <v>207.45</v>
      </c>
      <c r="M254" s="798">
        <v>207.45</v>
      </c>
      <c r="N254" s="795">
        <v>1</v>
      </c>
      <c r="O254" s="799">
        <v>0.5</v>
      </c>
      <c r="P254" s="798">
        <v>207.45</v>
      </c>
      <c r="Q254" s="800">
        <v>1</v>
      </c>
      <c r="R254" s="795">
        <v>1</v>
      </c>
      <c r="S254" s="800">
        <v>1</v>
      </c>
      <c r="T254" s="799">
        <v>0.5</v>
      </c>
      <c r="U254" s="801">
        <v>1</v>
      </c>
    </row>
    <row r="255" spans="1:21" ht="14.4" customHeight="1" x14ac:dyDescent="0.3">
      <c r="A255" s="794">
        <v>31</v>
      </c>
      <c r="B255" s="795" t="s">
        <v>592</v>
      </c>
      <c r="C255" s="795" t="s">
        <v>1513</v>
      </c>
      <c r="D255" s="796" t="s">
        <v>2055</v>
      </c>
      <c r="E255" s="797" t="s">
        <v>1527</v>
      </c>
      <c r="F255" s="795" t="s">
        <v>1508</v>
      </c>
      <c r="G255" s="795" t="s">
        <v>1634</v>
      </c>
      <c r="H255" s="795" t="s">
        <v>593</v>
      </c>
      <c r="I255" s="795" t="s">
        <v>1701</v>
      </c>
      <c r="J255" s="795" t="s">
        <v>1702</v>
      </c>
      <c r="K255" s="795" t="s">
        <v>1703</v>
      </c>
      <c r="L255" s="798">
        <v>72.64</v>
      </c>
      <c r="M255" s="798">
        <v>72.64</v>
      </c>
      <c r="N255" s="795">
        <v>1</v>
      </c>
      <c r="O255" s="799">
        <v>1</v>
      </c>
      <c r="P255" s="798"/>
      <c r="Q255" s="800">
        <v>0</v>
      </c>
      <c r="R255" s="795"/>
      <c r="S255" s="800">
        <v>0</v>
      </c>
      <c r="T255" s="799"/>
      <c r="U255" s="801">
        <v>0</v>
      </c>
    </row>
    <row r="256" spans="1:21" ht="14.4" customHeight="1" x14ac:dyDescent="0.3">
      <c r="A256" s="794">
        <v>31</v>
      </c>
      <c r="B256" s="795" t="s">
        <v>592</v>
      </c>
      <c r="C256" s="795" t="s">
        <v>1513</v>
      </c>
      <c r="D256" s="796" t="s">
        <v>2055</v>
      </c>
      <c r="E256" s="797" t="s">
        <v>1527</v>
      </c>
      <c r="F256" s="795" t="s">
        <v>1508</v>
      </c>
      <c r="G256" s="795" t="s">
        <v>1784</v>
      </c>
      <c r="H256" s="795" t="s">
        <v>593</v>
      </c>
      <c r="I256" s="795" t="s">
        <v>1820</v>
      </c>
      <c r="J256" s="795" t="s">
        <v>1786</v>
      </c>
      <c r="K256" s="795" t="s">
        <v>1821</v>
      </c>
      <c r="L256" s="798">
        <v>477.5</v>
      </c>
      <c r="M256" s="798">
        <v>477.5</v>
      </c>
      <c r="N256" s="795">
        <v>1</v>
      </c>
      <c r="O256" s="799">
        <v>1</v>
      </c>
      <c r="P256" s="798">
        <v>477.5</v>
      </c>
      <c r="Q256" s="800">
        <v>1</v>
      </c>
      <c r="R256" s="795">
        <v>1</v>
      </c>
      <c r="S256" s="800">
        <v>1</v>
      </c>
      <c r="T256" s="799">
        <v>1</v>
      </c>
      <c r="U256" s="801">
        <v>1</v>
      </c>
    </row>
    <row r="257" spans="1:21" ht="14.4" customHeight="1" x14ac:dyDescent="0.3">
      <c r="A257" s="794">
        <v>31</v>
      </c>
      <c r="B257" s="795" t="s">
        <v>592</v>
      </c>
      <c r="C257" s="795" t="s">
        <v>1513</v>
      </c>
      <c r="D257" s="796" t="s">
        <v>2055</v>
      </c>
      <c r="E257" s="797" t="s">
        <v>1527</v>
      </c>
      <c r="F257" s="795" t="s">
        <v>1508</v>
      </c>
      <c r="G257" s="795" t="s">
        <v>1822</v>
      </c>
      <c r="H257" s="795" t="s">
        <v>593</v>
      </c>
      <c r="I257" s="795" t="s">
        <v>1823</v>
      </c>
      <c r="J257" s="795" t="s">
        <v>1824</v>
      </c>
      <c r="K257" s="795" t="s">
        <v>1643</v>
      </c>
      <c r="L257" s="798">
        <v>848.49</v>
      </c>
      <c r="M257" s="798">
        <v>848.49</v>
      </c>
      <c r="N257" s="795">
        <v>1</v>
      </c>
      <c r="O257" s="799">
        <v>0.5</v>
      </c>
      <c r="P257" s="798"/>
      <c r="Q257" s="800">
        <v>0</v>
      </c>
      <c r="R257" s="795"/>
      <c r="S257" s="800">
        <v>0</v>
      </c>
      <c r="T257" s="799"/>
      <c r="U257" s="801">
        <v>0</v>
      </c>
    </row>
    <row r="258" spans="1:21" ht="14.4" customHeight="1" x14ac:dyDescent="0.3">
      <c r="A258" s="794">
        <v>31</v>
      </c>
      <c r="B258" s="795" t="s">
        <v>592</v>
      </c>
      <c r="C258" s="795" t="s">
        <v>1513</v>
      </c>
      <c r="D258" s="796" t="s">
        <v>2055</v>
      </c>
      <c r="E258" s="797" t="s">
        <v>1527</v>
      </c>
      <c r="F258" s="795" t="s">
        <v>1508</v>
      </c>
      <c r="G258" s="795" t="s">
        <v>1638</v>
      </c>
      <c r="H258" s="795" t="s">
        <v>593</v>
      </c>
      <c r="I258" s="795" t="s">
        <v>1639</v>
      </c>
      <c r="J258" s="795" t="s">
        <v>1640</v>
      </c>
      <c r="K258" s="795" t="s">
        <v>1641</v>
      </c>
      <c r="L258" s="798">
        <v>0</v>
      </c>
      <c r="M258" s="798">
        <v>0</v>
      </c>
      <c r="N258" s="795">
        <v>2</v>
      </c>
      <c r="O258" s="799">
        <v>1.5</v>
      </c>
      <c r="P258" s="798">
        <v>0</v>
      </c>
      <c r="Q258" s="800"/>
      <c r="R258" s="795">
        <v>1</v>
      </c>
      <c r="S258" s="800">
        <v>0.5</v>
      </c>
      <c r="T258" s="799">
        <v>1</v>
      </c>
      <c r="U258" s="801">
        <v>0.66666666666666663</v>
      </c>
    </row>
    <row r="259" spans="1:21" ht="14.4" customHeight="1" x14ac:dyDescent="0.3">
      <c r="A259" s="794">
        <v>31</v>
      </c>
      <c r="B259" s="795" t="s">
        <v>592</v>
      </c>
      <c r="C259" s="795" t="s">
        <v>1513</v>
      </c>
      <c r="D259" s="796" t="s">
        <v>2055</v>
      </c>
      <c r="E259" s="797" t="s">
        <v>1527</v>
      </c>
      <c r="F259" s="795" t="s">
        <v>1508</v>
      </c>
      <c r="G259" s="795" t="s">
        <v>1537</v>
      </c>
      <c r="H259" s="795" t="s">
        <v>593</v>
      </c>
      <c r="I259" s="795" t="s">
        <v>1686</v>
      </c>
      <c r="J259" s="795" t="s">
        <v>748</v>
      </c>
      <c r="K259" s="795" t="s">
        <v>1687</v>
      </c>
      <c r="L259" s="798">
        <v>0</v>
      </c>
      <c r="M259" s="798">
        <v>0</v>
      </c>
      <c r="N259" s="795">
        <v>1</v>
      </c>
      <c r="O259" s="799">
        <v>1</v>
      </c>
      <c r="P259" s="798">
        <v>0</v>
      </c>
      <c r="Q259" s="800"/>
      <c r="R259" s="795">
        <v>1</v>
      </c>
      <c r="S259" s="800">
        <v>1</v>
      </c>
      <c r="T259" s="799">
        <v>1</v>
      </c>
      <c r="U259" s="801">
        <v>1</v>
      </c>
    </row>
    <row r="260" spans="1:21" ht="14.4" customHeight="1" x14ac:dyDescent="0.3">
      <c r="A260" s="794">
        <v>31</v>
      </c>
      <c r="B260" s="795" t="s">
        <v>592</v>
      </c>
      <c r="C260" s="795" t="s">
        <v>1513</v>
      </c>
      <c r="D260" s="796" t="s">
        <v>2055</v>
      </c>
      <c r="E260" s="797" t="s">
        <v>1527</v>
      </c>
      <c r="F260" s="795" t="s">
        <v>1508</v>
      </c>
      <c r="G260" s="795" t="s">
        <v>1825</v>
      </c>
      <c r="H260" s="795" t="s">
        <v>593</v>
      </c>
      <c r="I260" s="795" t="s">
        <v>885</v>
      </c>
      <c r="J260" s="795" t="s">
        <v>1826</v>
      </c>
      <c r="K260" s="795" t="s">
        <v>1827</v>
      </c>
      <c r="L260" s="798">
        <v>76.180000000000007</v>
      </c>
      <c r="M260" s="798">
        <v>76.180000000000007</v>
      </c>
      <c r="N260" s="795">
        <v>1</v>
      </c>
      <c r="O260" s="799">
        <v>0.5</v>
      </c>
      <c r="P260" s="798">
        <v>76.180000000000007</v>
      </c>
      <c r="Q260" s="800">
        <v>1</v>
      </c>
      <c r="R260" s="795">
        <v>1</v>
      </c>
      <c r="S260" s="800">
        <v>1</v>
      </c>
      <c r="T260" s="799">
        <v>0.5</v>
      </c>
      <c r="U260" s="801">
        <v>1</v>
      </c>
    </row>
    <row r="261" spans="1:21" ht="14.4" customHeight="1" x14ac:dyDescent="0.3">
      <c r="A261" s="794">
        <v>31</v>
      </c>
      <c r="B261" s="795" t="s">
        <v>592</v>
      </c>
      <c r="C261" s="795" t="s">
        <v>1513</v>
      </c>
      <c r="D261" s="796" t="s">
        <v>2055</v>
      </c>
      <c r="E261" s="797" t="s">
        <v>1527</v>
      </c>
      <c r="F261" s="795" t="s">
        <v>1508</v>
      </c>
      <c r="G261" s="795" t="s">
        <v>1561</v>
      </c>
      <c r="H261" s="795" t="s">
        <v>593</v>
      </c>
      <c r="I261" s="795" t="s">
        <v>1721</v>
      </c>
      <c r="J261" s="795" t="s">
        <v>1563</v>
      </c>
      <c r="K261" s="795" t="s">
        <v>1566</v>
      </c>
      <c r="L261" s="798">
        <v>132.97999999999999</v>
      </c>
      <c r="M261" s="798">
        <v>398.93999999999994</v>
      </c>
      <c r="N261" s="795">
        <v>3</v>
      </c>
      <c r="O261" s="799">
        <v>1</v>
      </c>
      <c r="P261" s="798">
        <v>398.93999999999994</v>
      </c>
      <c r="Q261" s="800">
        <v>1</v>
      </c>
      <c r="R261" s="795">
        <v>3</v>
      </c>
      <c r="S261" s="800">
        <v>1</v>
      </c>
      <c r="T261" s="799">
        <v>1</v>
      </c>
      <c r="U261" s="801">
        <v>1</v>
      </c>
    </row>
    <row r="262" spans="1:21" ht="14.4" customHeight="1" x14ac:dyDescent="0.3">
      <c r="A262" s="794">
        <v>31</v>
      </c>
      <c r="B262" s="795" t="s">
        <v>592</v>
      </c>
      <c r="C262" s="795" t="s">
        <v>1513</v>
      </c>
      <c r="D262" s="796" t="s">
        <v>2055</v>
      </c>
      <c r="E262" s="797" t="s">
        <v>1527</v>
      </c>
      <c r="F262" s="795" t="s">
        <v>1508</v>
      </c>
      <c r="G262" s="795" t="s">
        <v>1561</v>
      </c>
      <c r="H262" s="795" t="s">
        <v>593</v>
      </c>
      <c r="I262" s="795" t="s">
        <v>1565</v>
      </c>
      <c r="J262" s="795" t="s">
        <v>1563</v>
      </c>
      <c r="K262" s="795" t="s">
        <v>1566</v>
      </c>
      <c r="L262" s="798">
        <v>132.97999999999999</v>
      </c>
      <c r="M262" s="798">
        <v>265.95999999999998</v>
      </c>
      <c r="N262" s="795">
        <v>2</v>
      </c>
      <c r="O262" s="799">
        <v>1</v>
      </c>
      <c r="P262" s="798">
        <v>265.95999999999998</v>
      </c>
      <c r="Q262" s="800">
        <v>1</v>
      </c>
      <c r="R262" s="795">
        <v>2</v>
      </c>
      <c r="S262" s="800">
        <v>1</v>
      </c>
      <c r="T262" s="799">
        <v>1</v>
      </c>
      <c r="U262" s="801">
        <v>1</v>
      </c>
    </row>
    <row r="263" spans="1:21" ht="14.4" customHeight="1" x14ac:dyDescent="0.3">
      <c r="A263" s="794">
        <v>31</v>
      </c>
      <c r="B263" s="795" t="s">
        <v>592</v>
      </c>
      <c r="C263" s="795" t="s">
        <v>1513</v>
      </c>
      <c r="D263" s="796" t="s">
        <v>2055</v>
      </c>
      <c r="E263" s="797" t="s">
        <v>1527</v>
      </c>
      <c r="F263" s="795" t="s">
        <v>1508</v>
      </c>
      <c r="G263" s="795" t="s">
        <v>1539</v>
      </c>
      <c r="H263" s="795" t="s">
        <v>912</v>
      </c>
      <c r="I263" s="795" t="s">
        <v>1540</v>
      </c>
      <c r="J263" s="795" t="s">
        <v>977</v>
      </c>
      <c r="K263" s="795" t="s">
        <v>1414</v>
      </c>
      <c r="L263" s="798">
        <v>490.89</v>
      </c>
      <c r="M263" s="798">
        <v>5890.68</v>
      </c>
      <c r="N263" s="795">
        <v>12</v>
      </c>
      <c r="O263" s="799">
        <v>10</v>
      </c>
      <c r="P263" s="798">
        <v>4908.9000000000005</v>
      </c>
      <c r="Q263" s="800">
        <v>0.83333333333333337</v>
      </c>
      <c r="R263" s="795">
        <v>10</v>
      </c>
      <c r="S263" s="800">
        <v>0.83333333333333337</v>
      </c>
      <c r="T263" s="799">
        <v>8</v>
      </c>
      <c r="U263" s="801">
        <v>0.8</v>
      </c>
    </row>
    <row r="264" spans="1:21" ht="14.4" customHeight="1" x14ac:dyDescent="0.3">
      <c r="A264" s="794">
        <v>31</v>
      </c>
      <c r="B264" s="795" t="s">
        <v>592</v>
      </c>
      <c r="C264" s="795" t="s">
        <v>1513</v>
      </c>
      <c r="D264" s="796" t="s">
        <v>2055</v>
      </c>
      <c r="E264" s="797" t="s">
        <v>1527</v>
      </c>
      <c r="F264" s="795" t="s">
        <v>1508</v>
      </c>
      <c r="G264" s="795" t="s">
        <v>1539</v>
      </c>
      <c r="H264" s="795" t="s">
        <v>912</v>
      </c>
      <c r="I264" s="795" t="s">
        <v>1552</v>
      </c>
      <c r="J264" s="795" t="s">
        <v>977</v>
      </c>
      <c r="K264" s="795" t="s">
        <v>1413</v>
      </c>
      <c r="L264" s="798">
        <v>736.33</v>
      </c>
      <c r="M264" s="798">
        <v>1472.66</v>
      </c>
      <c r="N264" s="795">
        <v>2</v>
      </c>
      <c r="O264" s="799">
        <v>1</v>
      </c>
      <c r="P264" s="798">
        <v>1472.66</v>
      </c>
      <c r="Q264" s="800">
        <v>1</v>
      </c>
      <c r="R264" s="795">
        <v>2</v>
      </c>
      <c r="S264" s="800">
        <v>1</v>
      </c>
      <c r="T264" s="799">
        <v>1</v>
      </c>
      <c r="U264" s="801">
        <v>1</v>
      </c>
    </row>
    <row r="265" spans="1:21" ht="14.4" customHeight="1" x14ac:dyDescent="0.3">
      <c r="A265" s="794">
        <v>31</v>
      </c>
      <c r="B265" s="795" t="s">
        <v>592</v>
      </c>
      <c r="C265" s="795" t="s">
        <v>1513</v>
      </c>
      <c r="D265" s="796" t="s">
        <v>2055</v>
      </c>
      <c r="E265" s="797" t="s">
        <v>1527</v>
      </c>
      <c r="F265" s="795" t="s">
        <v>1508</v>
      </c>
      <c r="G265" s="795" t="s">
        <v>1539</v>
      </c>
      <c r="H265" s="795" t="s">
        <v>912</v>
      </c>
      <c r="I265" s="795" t="s">
        <v>1571</v>
      </c>
      <c r="J265" s="795" t="s">
        <v>977</v>
      </c>
      <c r="K265" s="795" t="s">
        <v>1572</v>
      </c>
      <c r="L265" s="798">
        <v>923.74</v>
      </c>
      <c r="M265" s="798">
        <v>1847.48</v>
      </c>
      <c r="N265" s="795">
        <v>2</v>
      </c>
      <c r="O265" s="799">
        <v>1</v>
      </c>
      <c r="P265" s="798">
        <v>1847.48</v>
      </c>
      <c r="Q265" s="800">
        <v>1</v>
      </c>
      <c r="R265" s="795">
        <v>2</v>
      </c>
      <c r="S265" s="800">
        <v>1</v>
      </c>
      <c r="T265" s="799">
        <v>1</v>
      </c>
      <c r="U265" s="801">
        <v>1</v>
      </c>
    </row>
    <row r="266" spans="1:21" ht="14.4" customHeight="1" x14ac:dyDescent="0.3">
      <c r="A266" s="794">
        <v>31</v>
      </c>
      <c r="B266" s="795" t="s">
        <v>592</v>
      </c>
      <c r="C266" s="795" t="s">
        <v>1513</v>
      </c>
      <c r="D266" s="796" t="s">
        <v>2055</v>
      </c>
      <c r="E266" s="797" t="s">
        <v>1527</v>
      </c>
      <c r="F266" s="795" t="s">
        <v>1508</v>
      </c>
      <c r="G266" s="795" t="s">
        <v>1573</v>
      </c>
      <c r="H266" s="795" t="s">
        <v>912</v>
      </c>
      <c r="I266" s="795" t="s">
        <v>1574</v>
      </c>
      <c r="J266" s="795" t="s">
        <v>622</v>
      </c>
      <c r="K266" s="795" t="s">
        <v>1448</v>
      </c>
      <c r="L266" s="798">
        <v>48.42</v>
      </c>
      <c r="M266" s="798">
        <v>48.42</v>
      </c>
      <c r="N266" s="795">
        <v>1</v>
      </c>
      <c r="O266" s="799">
        <v>1</v>
      </c>
      <c r="P266" s="798">
        <v>48.42</v>
      </c>
      <c r="Q266" s="800">
        <v>1</v>
      </c>
      <c r="R266" s="795">
        <v>1</v>
      </c>
      <c r="S266" s="800">
        <v>1</v>
      </c>
      <c r="T266" s="799">
        <v>1</v>
      </c>
      <c r="U266" s="801">
        <v>1</v>
      </c>
    </row>
    <row r="267" spans="1:21" ht="14.4" customHeight="1" x14ac:dyDescent="0.3">
      <c r="A267" s="794">
        <v>31</v>
      </c>
      <c r="B267" s="795" t="s">
        <v>592</v>
      </c>
      <c r="C267" s="795" t="s">
        <v>1513</v>
      </c>
      <c r="D267" s="796" t="s">
        <v>2055</v>
      </c>
      <c r="E267" s="797" t="s">
        <v>1527</v>
      </c>
      <c r="F267" s="795" t="s">
        <v>1508</v>
      </c>
      <c r="G267" s="795" t="s">
        <v>1828</v>
      </c>
      <c r="H267" s="795" t="s">
        <v>593</v>
      </c>
      <c r="I267" s="795" t="s">
        <v>1829</v>
      </c>
      <c r="J267" s="795" t="s">
        <v>907</v>
      </c>
      <c r="K267" s="795" t="s">
        <v>1830</v>
      </c>
      <c r="L267" s="798">
        <v>185.26</v>
      </c>
      <c r="M267" s="798">
        <v>185.26</v>
      </c>
      <c r="N267" s="795">
        <v>1</v>
      </c>
      <c r="O267" s="799">
        <v>0.5</v>
      </c>
      <c r="P267" s="798">
        <v>185.26</v>
      </c>
      <c r="Q267" s="800">
        <v>1</v>
      </c>
      <c r="R267" s="795">
        <v>1</v>
      </c>
      <c r="S267" s="800">
        <v>1</v>
      </c>
      <c r="T267" s="799">
        <v>0.5</v>
      </c>
      <c r="U267" s="801">
        <v>1</v>
      </c>
    </row>
    <row r="268" spans="1:21" ht="14.4" customHeight="1" x14ac:dyDescent="0.3">
      <c r="A268" s="794">
        <v>31</v>
      </c>
      <c r="B268" s="795" t="s">
        <v>592</v>
      </c>
      <c r="C268" s="795" t="s">
        <v>1513</v>
      </c>
      <c r="D268" s="796" t="s">
        <v>2055</v>
      </c>
      <c r="E268" s="797" t="s">
        <v>1527</v>
      </c>
      <c r="F268" s="795" t="s">
        <v>1508</v>
      </c>
      <c r="G268" s="795" t="s">
        <v>1831</v>
      </c>
      <c r="H268" s="795" t="s">
        <v>593</v>
      </c>
      <c r="I268" s="795" t="s">
        <v>1832</v>
      </c>
      <c r="J268" s="795" t="s">
        <v>1833</v>
      </c>
      <c r="K268" s="795" t="s">
        <v>1834</v>
      </c>
      <c r="L268" s="798">
        <v>54.55</v>
      </c>
      <c r="M268" s="798">
        <v>54.55</v>
      </c>
      <c r="N268" s="795">
        <v>1</v>
      </c>
      <c r="O268" s="799">
        <v>0.5</v>
      </c>
      <c r="P268" s="798">
        <v>54.55</v>
      </c>
      <c r="Q268" s="800">
        <v>1</v>
      </c>
      <c r="R268" s="795">
        <v>1</v>
      </c>
      <c r="S268" s="800">
        <v>1</v>
      </c>
      <c r="T268" s="799">
        <v>0.5</v>
      </c>
      <c r="U268" s="801">
        <v>1</v>
      </c>
    </row>
    <row r="269" spans="1:21" ht="14.4" customHeight="1" x14ac:dyDescent="0.3">
      <c r="A269" s="794">
        <v>31</v>
      </c>
      <c r="B269" s="795" t="s">
        <v>592</v>
      </c>
      <c r="C269" s="795" t="s">
        <v>1513</v>
      </c>
      <c r="D269" s="796" t="s">
        <v>2055</v>
      </c>
      <c r="E269" s="797" t="s">
        <v>1527</v>
      </c>
      <c r="F269" s="795" t="s">
        <v>1508</v>
      </c>
      <c r="G269" s="795" t="s">
        <v>1541</v>
      </c>
      <c r="H269" s="795" t="s">
        <v>912</v>
      </c>
      <c r="I269" s="795" t="s">
        <v>929</v>
      </c>
      <c r="J269" s="795" t="s">
        <v>1453</v>
      </c>
      <c r="K269" s="795" t="s">
        <v>1454</v>
      </c>
      <c r="L269" s="798">
        <v>0</v>
      </c>
      <c r="M269" s="798">
        <v>0</v>
      </c>
      <c r="N269" s="795">
        <v>3</v>
      </c>
      <c r="O269" s="799">
        <v>2</v>
      </c>
      <c r="P269" s="798">
        <v>0</v>
      </c>
      <c r="Q269" s="800"/>
      <c r="R269" s="795">
        <v>3</v>
      </c>
      <c r="S269" s="800">
        <v>1</v>
      </c>
      <c r="T269" s="799">
        <v>2</v>
      </c>
      <c r="U269" s="801">
        <v>1</v>
      </c>
    </row>
    <row r="270" spans="1:21" ht="14.4" customHeight="1" x14ac:dyDescent="0.3">
      <c r="A270" s="794">
        <v>31</v>
      </c>
      <c r="B270" s="795" t="s">
        <v>592</v>
      </c>
      <c r="C270" s="795" t="s">
        <v>1513</v>
      </c>
      <c r="D270" s="796" t="s">
        <v>2055</v>
      </c>
      <c r="E270" s="797" t="s">
        <v>1527</v>
      </c>
      <c r="F270" s="795" t="s">
        <v>1508</v>
      </c>
      <c r="G270" s="795" t="s">
        <v>1835</v>
      </c>
      <c r="H270" s="795" t="s">
        <v>593</v>
      </c>
      <c r="I270" s="795" t="s">
        <v>1836</v>
      </c>
      <c r="J270" s="795" t="s">
        <v>1837</v>
      </c>
      <c r="K270" s="795" t="s">
        <v>1838</v>
      </c>
      <c r="L270" s="798">
        <v>0</v>
      </c>
      <c r="M270" s="798">
        <v>0</v>
      </c>
      <c r="N270" s="795">
        <v>2</v>
      </c>
      <c r="O270" s="799">
        <v>1</v>
      </c>
      <c r="P270" s="798"/>
      <c r="Q270" s="800"/>
      <c r="R270" s="795"/>
      <c r="S270" s="800">
        <v>0</v>
      </c>
      <c r="T270" s="799"/>
      <c r="U270" s="801">
        <v>0</v>
      </c>
    </row>
    <row r="271" spans="1:21" ht="14.4" customHeight="1" x14ac:dyDescent="0.3">
      <c r="A271" s="794">
        <v>31</v>
      </c>
      <c r="B271" s="795" t="s">
        <v>592</v>
      </c>
      <c r="C271" s="795" t="s">
        <v>1513</v>
      </c>
      <c r="D271" s="796" t="s">
        <v>2055</v>
      </c>
      <c r="E271" s="797" t="s">
        <v>1527</v>
      </c>
      <c r="F271" s="795" t="s">
        <v>1508</v>
      </c>
      <c r="G271" s="795" t="s">
        <v>1839</v>
      </c>
      <c r="H271" s="795" t="s">
        <v>912</v>
      </c>
      <c r="I271" s="795" t="s">
        <v>1840</v>
      </c>
      <c r="J271" s="795" t="s">
        <v>1841</v>
      </c>
      <c r="K271" s="795" t="s">
        <v>1842</v>
      </c>
      <c r="L271" s="798">
        <v>802.48</v>
      </c>
      <c r="M271" s="798">
        <v>1604.96</v>
      </c>
      <c r="N271" s="795">
        <v>2</v>
      </c>
      <c r="O271" s="799">
        <v>0.5</v>
      </c>
      <c r="P271" s="798">
        <v>1604.96</v>
      </c>
      <c r="Q271" s="800">
        <v>1</v>
      </c>
      <c r="R271" s="795">
        <v>2</v>
      </c>
      <c r="S271" s="800">
        <v>1</v>
      </c>
      <c r="T271" s="799">
        <v>0.5</v>
      </c>
      <c r="U271" s="801">
        <v>1</v>
      </c>
    </row>
    <row r="272" spans="1:21" ht="14.4" customHeight="1" x14ac:dyDescent="0.3">
      <c r="A272" s="794">
        <v>31</v>
      </c>
      <c r="B272" s="795" t="s">
        <v>592</v>
      </c>
      <c r="C272" s="795" t="s">
        <v>1513</v>
      </c>
      <c r="D272" s="796" t="s">
        <v>2055</v>
      </c>
      <c r="E272" s="797" t="s">
        <v>1527</v>
      </c>
      <c r="F272" s="795" t="s">
        <v>1508</v>
      </c>
      <c r="G272" s="795" t="s">
        <v>1544</v>
      </c>
      <c r="H272" s="795" t="s">
        <v>593</v>
      </c>
      <c r="I272" s="795" t="s">
        <v>1843</v>
      </c>
      <c r="J272" s="795" t="s">
        <v>1274</v>
      </c>
      <c r="K272" s="795" t="s">
        <v>1844</v>
      </c>
      <c r="L272" s="798">
        <v>50.32</v>
      </c>
      <c r="M272" s="798">
        <v>50.32</v>
      </c>
      <c r="N272" s="795">
        <v>1</v>
      </c>
      <c r="O272" s="799">
        <v>1</v>
      </c>
      <c r="P272" s="798">
        <v>50.32</v>
      </c>
      <c r="Q272" s="800">
        <v>1</v>
      </c>
      <c r="R272" s="795">
        <v>1</v>
      </c>
      <c r="S272" s="800">
        <v>1</v>
      </c>
      <c r="T272" s="799">
        <v>1</v>
      </c>
      <c r="U272" s="801">
        <v>1</v>
      </c>
    </row>
    <row r="273" spans="1:21" ht="14.4" customHeight="1" x14ac:dyDescent="0.3">
      <c r="A273" s="794">
        <v>31</v>
      </c>
      <c r="B273" s="795" t="s">
        <v>592</v>
      </c>
      <c r="C273" s="795" t="s">
        <v>1513</v>
      </c>
      <c r="D273" s="796" t="s">
        <v>2055</v>
      </c>
      <c r="E273" s="797" t="s">
        <v>1527</v>
      </c>
      <c r="F273" s="795" t="s">
        <v>1508</v>
      </c>
      <c r="G273" s="795" t="s">
        <v>1544</v>
      </c>
      <c r="H273" s="795" t="s">
        <v>593</v>
      </c>
      <c r="I273" s="795" t="s">
        <v>1845</v>
      </c>
      <c r="J273" s="795" t="s">
        <v>1274</v>
      </c>
      <c r="K273" s="795" t="s">
        <v>1846</v>
      </c>
      <c r="L273" s="798">
        <v>50.32</v>
      </c>
      <c r="M273" s="798">
        <v>50.32</v>
      </c>
      <c r="N273" s="795">
        <v>1</v>
      </c>
      <c r="O273" s="799">
        <v>0.5</v>
      </c>
      <c r="P273" s="798">
        <v>50.32</v>
      </c>
      <c r="Q273" s="800">
        <v>1</v>
      </c>
      <c r="R273" s="795">
        <v>1</v>
      </c>
      <c r="S273" s="800">
        <v>1</v>
      </c>
      <c r="T273" s="799">
        <v>0.5</v>
      </c>
      <c r="U273" s="801">
        <v>1</v>
      </c>
    </row>
    <row r="274" spans="1:21" ht="14.4" customHeight="1" x14ac:dyDescent="0.3">
      <c r="A274" s="794">
        <v>31</v>
      </c>
      <c r="B274" s="795" t="s">
        <v>592</v>
      </c>
      <c r="C274" s="795" t="s">
        <v>1513</v>
      </c>
      <c r="D274" s="796" t="s">
        <v>2055</v>
      </c>
      <c r="E274" s="797" t="s">
        <v>1527</v>
      </c>
      <c r="F274" s="795" t="s">
        <v>1510</v>
      </c>
      <c r="G274" s="795" t="s">
        <v>1548</v>
      </c>
      <c r="H274" s="795" t="s">
        <v>593</v>
      </c>
      <c r="I274" s="795" t="s">
        <v>1549</v>
      </c>
      <c r="J274" s="795" t="s">
        <v>1550</v>
      </c>
      <c r="K274" s="795" t="s">
        <v>1551</v>
      </c>
      <c r="L274" s="798">
        <v>35.130000000000003</v>
      </c>
      <c r="M274" s="798">
        <v>35.130000000000003</v>
      </c>
      <c r="N274" s="795">
        <v>1</v>
      </c>
      <c r="O274" s="799">
        <v>1</v>
      </c>
      <c r="P274" s="798">
        <v>35.130000000000003</v>
      </c>
      <c r="Q274" s="800">
        <v>1</v>
      </c>
      <c r="R274" s="795">
        <v>1</v>
      </c>
      <c r="S274" s="800">
        <v>1</v>
      </c>
      <c r="T274" s="799">
        <v>1</v>
      </c>
      <c r="U274" s="801">
        <v>1</v>
      </c>
    </row>
    <row r="275" spans="1:21" ht="14.4" customHeight="1" x14ac:dyDescent="0.3">
      <c r="A275" s="794">
        <v>31</v>
      </c>
      <c r="B275" s="795" t="s">
        <v>592</v>
      </c>
      <c r="C275" s="795" t="s">
        <v>1513</v>
      </c>
      <c r="D275" s="796" t="s">
        <v>2055</v>
      </c>
      <c r="E275" s="797" t="s">
        <v>1527</v>
      </c>
      <c r="F275" s="795" t="s">
        <v>1510</v>
      </c>
      <c r="G275" s="795" t="s">
        <v>1548</v>
      </c>
      <c r="H275" s="795" t="s">
        <v>593</v>
      </c>
      <c r="I275" s="795" t="s">
        <v>1694</v>
      </c>
      <c r="J275" s="795" t="s">
        <v>1550</v>
      </c>
      <c r="K275" s="795" t="s">
        <v>1695</v>
      </c>
      <c r="L275" s="798">
        <v>24.77</v>
      </c>
      <c r="M275" s="798">
        <v>24.77</v>
      </c>
      <c r="N275" s="795">
        <v>1</v>
      </c>
      <c r="O275" s="799">
        <v>1</v>
      </c>
      <c r="P275" s="798">
        <v>24.77</v>
      </c>
      <c r="Q275" s="800">
        <v>1</v>
      </c>
      <c r="R275" s="795">
        <v>1</v>
      </c>
      <c r="S275" s="800">
        <v>1</v>
      </c>
      <c r="T275" s="799">
        <v>1</v>
      </c>
      <c r="U275" s="801">
        <v>1</v>
      </c>
    </row>
    <row r="276" spans="1:21" ht="14.4" customHeight="1" x14ac:dyDescent="0.3">
      <c r="A276" s="794">
        <v>31</v>
      </c>
      <c r="B276" s="795" t="s">
        <v>592</v>
      </c>
      <c r="C276" s="795" t="s">
        <v>1513</v>
      </c>
      <c r="D276" s="796" t="s">
        <v>2055</v>
      </c>
      <c r="E276" s="797" t="s">
        <v>1527</v>
      </c>
      <c r="F276" s="795" t="s">
        <v>1510</v>
      </c>
      <c r="G276" s="795" t="s">
        <v>1589</v>
      </c>
      <c r="H276" s="795" t="s">
        <v>593</v>
      </c>
      <c r="I276" s="795" t="s">
        <v>1602</v>
      </c>
      <c r="J276" s="795" t="s">
        <v>1603</v>
      </c>
      <c r="K276" s="795" t="s">
        <v>1604</v>
      </c>
      <c r="L276" s="798">
        <v>971.25</v>
      </c>
      <c r="M276" s="798">
        <v>1942.5</v>
      </c>
      <c r="N276" s="795">
        <v>2</v>
      </c>
      <c r="O276" s="799">
        <v>2</v>
      </c>
      <c r="P276" s="798">
        <v>1942.5</v>
      </c>
      <c r="Q276" s="800">
        <v>1</v>
      </c>
      <c r="R276" s="795">
        <v>2</v>
      </c>
      <c r="S276" s="800">
        <v>1</v>
      </c>
      <c r="T276" s="799">
        <v>2</v>
      </c>
      <c r="U276" s="801">
        <v>1</v>
      </c>
    </row>
    <row r="277" spans="1:21" ht="14.4" customHeight="1" x14ac:dyDescent="0.3">
      <c r="A277" s="794">
        <v>31</v>
      </c>
      <c r="B277" s="795" t="s">
        <v>592</v>
      </c>
      <c r="C277" s="795" t="s">
        <v>1513</v>
      </c>
      <c r="D277" s="796" t="s">
        <v>2055</v>
      </c>
      <c r="E277" s="797" t="s">
        <v>1527</v>
      </c>
      <c r="F277" s="795" t="s">
        <v>1510</v>
      </c>
      <c r="G277" s="795" t="s">
        <v>1589</v>
      </c>
      <c r="H277" s="795" t="s">
        <v>593</v>
      </c>
      <c r="I277" s="795" t="s">
        <v>1605</v>
      </c>
      <c r="J277" s="795" t="s">
        <v>1606</v>
      </c>
      <c r="K277" s="795" t="s">
        <v>1607</v>
      </c>
      <c r="L277" s="798">
        <v>350</v>
      </c>
      <c r="M277" s="798">
        <v>700</v>
      </c>
      <c r="N277" s="795">
        <v>2</v>
      </c>
      <c r="O277" s="799">
        <v>2</v>
      </c>
      <c r="P277" s="798">
        <v>700</v>
      </c>
      <c r="Q277" s="800">
        <v>1</v>
      </c>
      <c r="R277" s="795">
        <v>2</v>
      </c>
      <c r="S277" s="800">
        <v>1</v>
      </c>
      <c r="T277" s="799">
        <v>2</v>
      </c>
      <c r="U277" s="801">
        <v>1</v>
      </c>
    </row>
    <row r="278" spans="1:21" ht="14.4" customHeight="1" x14ac:dyDescent="0.3">
      <c r="A278" s="794">
        <v>31</v>
      </c>
      <c r="B278" s="795" t="s">
        <v>592</v>
      </c>
      <c r="C278" s="795" t="s">
        <v>1513</v>
      </c>
      <c r="D278" s="796" t="s">
        <v>2055</v>
      </c>
      <c r="E278" s="797" t="s">
        <v>1527</v>
      </c>
      <c r="F278" s="795" t="s">
        <v>1510</v>
      </c>
      <c r="G278" s="795" t="s">
        <v>1589</v>
      </c>
      <c r="H278" s="795" t="s">
        <v>593</v>
      </c>
      <c r="I278" s="795" t="s">
        <v>1847</v>
      </c>
      <c r="J278" s="795" t="s">
        <v>1667</v>
      </c>
      <c r="K278" s="795" t="s">
        <v>1848</v>
      </c>
      <c r="L278" s="798">
        <v>775</v>
      </c>
      <c r="M278" s="798">
        <v>775</v>
      </c>
      <c r="N278" s="795">
        <v>1</v>
      </c>
      <c r="O278" s="799">
        <v>1</v>
      </c>
      <c r="P278" s="798">
        <v>775</v>
      </c>
      <c r="Q278" s="800">
        <v>1</v>
      </c>
      <c r="R278" s="795">
        <v>1</v>
      </c>
      <c r="S278" s="800">
        <v>1</v>
      </c>
      <c r="T278" s="799">
        <v>1</v>
      </c>
      <c r="U278" s="801">
        <v>1</v>
      </c>
    </row>
    <row r="279" spans="1:21" ht="14.4" customHeight="1" x14ac:dyDescent="0.3">
      <c r="A279" s="794">
        <v>31</v>
      </c>
      <c r="B279" s="795" t="s">
        <v>592</v>
      </c>
      <c r="C279" s="795" t="s">
        <v>1513</v>
      </c>
      <c r="D279" s="796" t="s">
        <v>2055</v>
      </c>
      <c r="E279" s="797" t="s">
        <v>1527</v>
      </c>
      <c r="F279" s="795" t="s">
        <v>1510</v>
      </c>
      <c r="G279" s="795" t="s">
        <v>1589</v>
      </c>
      <c r="H279" s="795" t="s">
        <v>593</v>
      </c>
      <c r="I279" s="795" t="s">
        <v>1849</v>
      </c>
      <c r="J279" s="795" t="s">
        <v>1850</v>
      </c>
      <c r="K279" s="795" t="s">
        <v>1851</v>
      </c>
      <c r="L279" s="798">
        <v>1000</v>
      </c>
      <c r="M279" s="798">
        <v>1000</v>
      </c>
      <c r="N279" s="795">
        <v>1</v>
      </c>
      <c r="O279" s="799">
        <v>1</v>
      </c>
      <c r="P279" s="798"/>
      <c r="Q279" s="800">
        <v>0</v>
      </c>
      <c r="R279" s="795"/>
      <c r="S279" s="800">
        <v>0</v>
      </c>
      <c r="T279" s="799"/>
      <c r="U279" s="801">
        <v>0</v>
      </c>
    </row>
    <row r="280" spans="1:21" ht="14.4" customHeight="1" x14ac:dyDescent="0.3">
      <c r="A280" s="794">
        <v>31</v>
      </c>
      <c r="B280" s="795" t="s">
        <v>592</v>
      </c>
      <c r="C280" s="795" t="s">
        <v>1513</v>
      </c>
      <c r="D280" s="796" t="s">
        <v>2055</v>
      </c>
      <c r="E280" s="797" t="s">
        <v>1527</v>
      </c>
      <c r="F280" s="795" t="s">
        <v>1510</v>
      </c>
      <c r="G280" s="795" t="s">
        <v>1589</v>
      </c>
      <c r="H280" s="795" t="s">
        <v>593</v>
      </c>
      <c r="I280" s="795" t="s">
        <v>1852</v>
      </c>
      <c r="J280" s="795" t="s">
        <v>1853</v>
      </c>
      <c r="K280" s="795" t="s">
        <v>1854</v>
      </c>
      <c r="L280" s="798">
        <v>400</v>
      </c>
      <c r="M280" s="798">
        <v>400</v>
      </c>
      <c r="N280" s="795">
        <v>1</v>
      </c>
      <c r="O280" s="799">
        <v>1</v>
      </c>
      <c r="P280" s="798">
        <v>400</v>
      </c>
      <c r="Q280" s="800">
        <v>1</v>
      </c>
      <c r="R280" s="795">
        <v>1</v>
      </c>
      <c r="S280" s="800">
        <v>1</v>
      </c>
      <c r="T280" s="799">
        <v>1</v>
      </c>
      <c r="U280" s="801">
        <v>1</v>
      </c>
    </row>
    <row r="281" spans="1:21" ht="14.4" customHeight="1" x14ac:dyDescent="0.3">
      <c r="A281" s="794">
        <v>31</v>
      </c>
      <c r="B281" s="795" t="s">
        <v>592</v>
      </c>
      <c r="C281" s="795" t="s">
        <v>1513</v>
      </c>
      <c r="D281" s="796" t="s">
        <v>2055</v>
      </c>
      <c r="E281" s="797" t="s">
        <v>1527</v>
      </c>
      <c r="F281" s="795" t="s">
        <v>1510</v>
      </c>
      <c r="G281" s="795" t="s">
        <v>1617</v>
      </c>
      <c r="H281" s="795" t="s">
        <v>593</v>
      </c>
      <c r="I281" s="795" t="s">
        <v>1621</v>
      </c>
      <c r="J281" s="795" t="s">
        <v>1622</v>
      </c>
      <c r="K281" s="795" t="s">
        <v>1623</v>
      </c>
      <c r="L281" s="798">
        <v>200</v>
      </c>
      <c r="M281" s="798">
        <v>800</v>
      </c>
      <c r="N281" s="795">
        <v>4</v>
      </c>
      <c r="O281" s="799">
        <v>2</v>
      </c>
      <c r="P281" s="798">
        <v>800</v>
      </c>
      <c r="Q281" s="800">
        <v>1</v>
      </c>
      <c r="R281" s="795">
        <v>4</v>
      </c>
      <c r="S281" s="800">
        <v>1</v>
      </c>
      <c r="T281" s="799">
        <v>2</v>
      </c>
      <c r="U281" s="801">
        <v>1</v>
      </c>
    </row>
    <row r="282" spans="1:21" ht="14.4" customHeight="1" x14ac:dyDescent="0.3">
      <c r="A282" s="794">
        <v>31</v>
      </c>
      <c r="B282" s="795" t="s">
        <v>592</v>
      </c>
      <c r="C282" s="795" t="s">
        <v>1513</v>
      </c>
      <c r="D282" s="796" t="s">
        <v>2055</v>
      </c>
      <c r="E282" s="797" t="s">
        <v>1528</v>
      </c>
      <c r="F282" s="795" t="s">
        <v>1508</v>
      </c>
      <c r="G282" s="795" t="s">
        <v>1553</v>
      </c>
      <c r="H282" s="795" t="s">
        <v>912</v>
      </c>
      <c r="I282" s="795" t="s">
        <v>970</v>
      </c>
      <c r="J282" s="795" t="s">
        <v>971</v>
      </c>
      <c r="K282" s="795" t="s">
        <v>1436</v>
      </c>
      <c r="L282" s="798">
        <v>225.06</v>
      </c>
      <c r="M282" s="798">
        <v>450.12</v>
      </c>
      <c r="N282" s="795">
        <v>2</v>
      </c>
      <c r="O282" s="799">
        <v>2</v>
      </c>
      <c r="P282" s="798">
        <v>225.06</v>
      </c>
      <c r="Q282" s="800">
        <v>0.5</v>
      </c>
      <c r="R282" s="795">
        <v>1</v>
      </c>
      <c r="S282" s="800">
        <v>0.5</v>
      </c>
      <c r="T282" s="799">
        <v>1</v>
      </c>
      <c r="U282" s="801">
        <v>0.5</v>
      </c>
    </row>
    <row r="283" spans="1:21" ht="14.4" customHeight="1" x14ac:dyDescent="0.3">
      <c r="A283" s="794">
        <v>31</v>
      </c>
      <c r="B283" s="795" t="s">
        <v>592</v>
      </c>
      <c r="C283" s="795" t="s">
        <v>1513</v>
      </c>
      <c r="D283" s="796" t="s">
        <v>2055</v>
      </c>
      <c r="E283" s="797" t="s">
        <v>1528</v>
      </c>
      <c r="F283" s="795" t="s">
        <v>1508</v>
      </c>
      <c r="G283" s="795" t="s">
        <v>1634</v>
      </c>
      <c r="H283" s="795" t="s">
        <v>593</v>
      </c>
      <c r="I283" s="795" t="s">
        <v>1855</v>
      </c>
      <c r="J283" s="795" t="s">
        <v>1856</v>
      </c>
      <c r="K283" s="795" t="s">
        <v>1857</v>
      </c>
      <c r="L283" s="798">
        <v>80.7</v>
      </c>
      <c r="M283" s="798">
        <v>80.7</v>
      </c>
      <c r="N283" s="795">
        <v>1</v>
      </c>
      <c r="O283" s="799">
        <v>1</v>
      </c>
      <c r="P283" s="798"/>
      <c r="Q283" s="800">
        <v>0</v>
      </c>
      <c r="R283" s="795"/>
      <c r="S283" s="800">
        <v>0</v>
      </c>
      <c r="T283" s="799"/>
      <c r="U283" s="801">
        <v>0</v>
      </c>
    </row>
    <row r="284" spans="1:21" ht="14.4" customHeight="1" x14ac:dyDescent="0.3">
      <c r="A284" s="794">
        <v>31</v>
      </c>
      <c r="B284" s="795" t="s">
        <v>592</v>
      </c>
      <c r="C284" s="795" t="s">
        <v>1513</v>
      </c>
      <c r="D284" s="796" t="s">
        <v>2055</v>
      </c>
      <c r="E284" s="797" t="s">
        <v>1528</v>
      </c>
      <c r="F284" s="795" t="s">
        <v>1508</v>
      </c>
      <c r="G284" s="795" t="s">
        <v>1858</v>
      </c>
      <c r="H284" s="795" t="s">
        <v>593</v>
      </c>
      <c r="I284" s="795" t="s">
        <v>1859</v>
      </c>
      <c r="J284" s="795" t="s">
        <v>1860</v>
      </c>
      <c r="K284" s="795" t="s">
        <v>1861</v>
      </c>
      <c r="L284" s="798">
        <v>29.13</v>
      </c>
      <c r="M284" s="798">
        <v>58.26</v>
      </c>
      <c r="N284" s="795">
        <v>2</v>
      </c>
      <c r="O284" s="799">
        <v>1.5</v>
      </c>
      <c r="P284" s="798">
        <v>58.26</v>
      </c>
      <c r="Q284" s="800">
        <v>1</v>
      </c>
      <c r="R284" s="795">
        <v>2</v>
      </c>
      <c r="S284" s="800">
        <v>1</v>
      </c>
      <c r="T284" s="799">
        <v>1.5</v>
      </c>
      <c r="U284" s="801">
        <v>1</v>
      </c>
    </row>
    <row r="285" spans="1:21" ht="14.4" customHeight="1" x14ac:dyDescent="0.3">
      <c r="A285" s="794">
        <v>31</v>
      </c>
      <c r="B285" s="795" t="s">
        <v>592</v>
      </c>
      <c r="C285" s="795" t="s">
        <v>1513</v>
      </c>
      <c r="D285" s="796" t="s">
        <v>2055</v>
      </c>
      <c r="E285" s="797" t="s">
        <v>1528</v>
      </c>
      <c r="F285" s="795" t="s">
        <v>1508</v>
      </c>
      <c r="G285" s="795" t="s">
        <v>1638</v>
      </c>
      <c r="H285" s="795" t="s">
        <v>593</v>
      </c>
      <c r="I285" s="795" t="s">
        <v>1639</v>
      </c>
      <c r="J285" s="795" t="s">
        <v>1640</v>
      </c>
      <c r="K285" s="795" t="s">
        <v>1641</v>
      </c>
      <c r="L285" s="798">
        <v>0</v>
      </c>
      <c r="M285" s="798">
        <v>0</v>
      </c>
      <c r="N285" s="795">
        <v>1</v>
      </c>
      <c r="O285" s="799">
        <v>0.5</v>
      </c>
      <c r="P285" s="798">
        <v>0</v>
      </c>
      <c r="Q285" s="800"/>
      <c r="R285" s="795">
        <v>1</v>
      </c>
      <c r="S285" s="800">
        <v>1</v>
      </c>
      <c r="T285" s="799">
        <v>0.5</v>
      </c>
      <c r="U285" s="801">
        <v>1</v>
      </c>
    </row>
    <row r="286" spans="1:21" ht="14.4" customHeight="1" x14ac:dyDescent="0.3">
      <c r="A286" s="794">
        <v>31</v>
      </c>
      <c r="B286" s="795" t="s">
        <v>592</v>
      </c>
      <c r="C286" s="795" t="s">
        <v>1513</v>
      </c>
      <c r="D286" s="796" t="s">
        <v>2055</v>
      </c>
      <c r="E286" s="797" t="s">
        <v>1528</v>
      </c>
      <c r="F286" s="795" t="s">
        <v>1508</v>
      </c>
      <c r="G286" s="795" t="s">
        <v>1862</v>
      </c>
      <c r="H286" s="795" t="s">
        <v>593</v>
      </c>
      <c r="I286" s="795" t="s">
        <v>1863</v>
      </c>
      <c r="J286" s="795" t="s">
        <v>1864</v>
      </c>
      <c r="K286" s="795" t="s">
        <v>1485</v>
      </c>
      <c r="L286" s="798">
        <v>38.56</v>
      </c>
      <c r="M286" s="798">
        <v>38.56</v>
      </c>
      <c r="N286" s="795">
        <v>1</v>
      </c>
      <c r="O286" s="799">
        <v>1</v>
      </c>
      <c r="P286" s="798">
        <v>38.56</v>
      </c>
      <c r="Q286" s="800">
        <v>1</v>
      </c>
      <c r="R286" s="795">
        <v>1</v>
      </c>
      <c r="S286" s="800">
        <v>1</v>
      </c>
      <c r="T286" s="799">
        <v>1</v>
      </c>
      <c r="U286" s="801">
        <v>1</v>
      </c>
    </row>
    <row r="287" spans="1:21" ht="14.4" customHeight="1" x14ac:dyDescent="0.3">
      <c r="A287" s="794">
        <v>31</v>
      </c>
      <c r="B287" s="795" t="s">
        <v>592</v>
      </c>
      <c r="C287" s="795" t="s">
        <v>1513</v>
      </c>
      <c r="D287" s="796" t="s">
        <v>2055</v>
      </c>
      <c r="E287" s="797" t="s">
        <v>1528</v>
      </c>
      <c r="F287" s="795" t="s">
        <v>1508</v>
      </c>
      <c r="G287" s="795" t="s">
        <v>1539</v>
      </c>
      <c r="H287" s="795" t="s">
        <v>912</v>
      </c>
      <c r="I287" s="795" t="s">
        <v>1540</v>
      </c>
      <c r="J287" s="795" t="s">
        <v>977</v>
      </c>
      <c r="K287" s="795" t="s">
        <v>1414</v>
      </c>
      <c r="L287" s="798">
        <v>490.89</v>
      </c>
      <c r="M287" s="798">
        <v>4908.8999999999996</v>
      </c>
      <c r="N287" s="795">
        <v>10</v>
      </c>
      <c r="O287" s="799">
        <v>6</v>
      </c>
      <c r="P287" s="798">
        <v>2945.3399999999997</v>
      </c>
      <c r="Q287" s="800">
        <v>0.6</v>
      </c>
      <c r="R287" s="795">
        <v>6</v>
      </c>
      <c r="S287" s="800">
        <v>0.6</v>
      </c>
      <c r="T287" s="799">
        <v>4</v>
      </c>
      <c r="U287" s="801">
        <v>0.66666666666666663</v>
      </c>
    </row>
    <row r="288" spans="1:21" ht="14.4" customHeight="1" x14ac:dyDescent="0.3">
      <c r="A288" s="794">
        <v>31</v>
      </c>
      <c r="B288" s="795" t="s">
        <v>592</v>
      </c>
      <c r="C288" s="795" t="s">
        <v>1513</v>
      </c>
      <c r="D288" s="796" t="s">
        <v>2055</v>
      </c>
      <c r="E288" s="797" t="s">
        <v>1528</v>
      </c>
      <c r="F288" s="795" t="s">
        <v>1508</v>
      </c>
      <c r="G288" s="795" t="s">
        <v>1539</v>
      </c>
      <c r="H288" s="795" t="s">
        <v>912</v>
      </c>
      <c r="I288" s="795" t="s">
        <v>1552</v>
      </c>
      <c r="J288" s="795" t="s">
        <v>977</v>
      </c>
      <c r="K288" s="795" t="s">
        <v>1413</v>
      </c>
      <c r="L288" s="798">
        <v>736.33</v>
      </c>
      <c r="M288" s="798">
        <v>2945.32</v>
      </c>
      <c r="N288" s="795">
        <v>4</v>
      </c>
      <c r="O288" s="799">
        <v>4</v>
      </c>
      <c r="P288" s="798">
        <v>2945.32</v>
      </c>
      <c r="Q288" s="800">
        <v>1</v>
      </c>
      <c r="R288" s="795">
        <v>4</v>
      </c>
      <c r="S288" s="800">
        <v>1</v>
      </c>
      <c r="T288" s="799">
        <v>4</v>
      </c>
      <c r="U288" s="801">
        <v>1</v>
      </c>
    </row>
    <row r="289" spans="1:21" ht="14.4" customHeight="1" x14ac:dyDescent="0.3">
      <c r="A289" s="794">
        <v>31</v>
      </c>
      <c r="B289" s="795" t="s">
        <v>592</v>
      </c>
      <c r="C289" s="795" t="s">
        <v>1513</v>
      </c>
      <c r="D289" s="796" t="s">
        <v>2055</v>
      </c>
      <c r="E289" s="797" t="s">
        <v>1528</v>
      </c>
      <c r="F289" s="795" t="s">
        <v>1508</v>
      </c>
      <c r="G289" s="795" t="s">
        <v>1541</v>
      </c>
      <c r="H289" s="795" t="s">
        <v>912</v>
      </c>
      <c r="I289" s="795" t="s">
        <v>929</v>
      </c>
      <c r="J289" s="795" t="s">
        <v>1453</v>
      </c>
      <c r="K289" s="795" t="s">
        <v>1454</v>
      </c>
      <c r="L289" s="798">
        <v>0</v>
      </c>
      <c r="M289" s="798">
        <v>0</v>
      </c>
      <c r="N289" s="795">
        <v>11</v>
      </c>
      <c r="O289" s="799">
        <v>5.5</v>
      </c>
      <c r="P289" s="798">
        <v>0</v>
      </c>
      <c r="Q289" s="800"/>
      <c r="R289" s="795">
        <v>11</v>
      </c>
      <c r="S289" s="800">
        <v>1</v>
      </c>
      <c r="T289" s="799">
        <v>5.5</v>
      </c>
      <c r="U289" s="801">
        <v>1</v>
      </c>
    </row>
    <row r="290" spans="1:21" ht="14.4" customHeight="1" x14ac:dyDescent="0.3">
      <c r="A290" s="794">
        <v>31</v>
      </c>
      <c r="B290" s="795" t="s">
        <v>592</v>
      </c>
      <c r="C290" s="795" t="s">
        <v>1513</v>
      </c>
      <c r="D290" s="796" t="s">
        <v>2055</v>
      </c>
      <c r="E290" s="797" t="s">
        <v>1528</v>
      </c>
      <c r="F290" s="795" t="s">
        <v>1508</v>
      </c>
      <c r="G290" s="795" t="s">
        <v>1865</v>
      </c>
      <c r="H290" s="795" t="s">
        <v>593</v>
      </c>
      <c r="I290" s="795" t="s">
        <v>1866</v>
      </c>
      <c r="J290" s="795" t="s">
        <v>1867</v>
      </c>
      <c r="K290" s="795" t="s">
        <v>1868</v>
      </c>
      <c r="L290" s="798">
        <v>300.68</v>
      </c>
      <c r="M290" s="798">
        <v>300.68</v>
      </c>
      <c r="N290" s="795">
        <v>1</v>
      </c>
      <c r="O290" s="799">
        <v>0.5</v>
      </c>
      <c r="P290" s="798">
        <v>300.68</v>
      </c>
      <c r="Q290" s="800">
        <v>1</v>
      </c>
      <c r="R290" s="795">
        <v>1</v>
      </c>
      <c r="S290" s="800">
        <v>1</v>
      </c>
      <c r="T290" s="799">
        <v>0.5</v>
      </c>
      <c r="U290" s="801">
        <v>1</v>
      </c>
    </row>
    <row r="291" spans="1:21" ht="14.4" customHeight="1" x14ac:dyDescent="0.3">
      <c r="A291" s="794">
        <v>31</v>
      </c>
      <c r="B291" s="795" t="s">
        <v>592</v>
      </c>
      <c r="C291" s="795" t="s">
        <v>1513</v>
      </c>
      <c r="D291" s="796" t="s">
        <v>2055</v>
      </c>
      <c r="E291" s="797" t="s">
        <v>1528</v>
      </c>
      <c r="F291" s="795" t="s">
        <v>1510</v>
      </c>
      <c r="G291" s="795" t="s">
        <v>1548</v>
      </c>
      <c r="H291" s="795" t="s">
        <v>593</v>
      </c>
      <c r="I291" s="795" t="s">
        <v>1549</v>
      </c>
      <c r="J291" s="795" t="s">
        <v>1550</v>
      </c>
      <c r="K291" s="795" t="s">
        <v>1551</v>
      </c>
      <c r="L291" s="798">
        <v>35.130000000000003</v>
      </c>
      <c r="M291" s="798">
        <v>105.39000000000001</v>
      </c>
      <c r="N291" s="795">
        <v>3</v>
      </c>
      <c r="O291" s="799">
        <v>3</v>
      </c>
      <c r="P291" s="798">
        <v>105.39000000000001</v>
      </c>
      <c r="Q291" s="800">
        <v>1</v>
      </c>
      <c r="R291" s="795">
        <v>3</v>
      </c>
      <c r="S291" s="800">
        <v>1</v>
      </c>
      <c r="T291" s="799">
        <v>3</v>
      </c>
      <c r="U291" s="801">
        <v>1</v>
      </c>
    </row>
    <row r="292" spans="1:21" ht="14.4" customHeight="1" x14ac:dyDescent="0.3">
      <c r="A292" s="794">
        <v>31</v>
      </c>
      <c r="B292" s="795" t="s">
        <v>592</v>
      </c>
      <c r="C292" s="795" t="s">
        <v>1513</v>
      </c>
      <c r="D292" s="796" t="s">
        <v>2055</v>
      </c>
      <c r="E292" s="797" t="s">
        <v>1528</v>
      </c>
      <c r="F292" s="795" t="s">
        <v>1510</v>
      </c>
      <c r="G292" s="795" t="s">
        <v>1589</v>
      </c>
      <c r="H292" s="795" t="s">
        <v>593</v>
      </c>
      <c r="I292" s="795" t="s">
        <v>1590</v>
      </c>
      <c r="J292" s="795" t="s">
        <v>1591</v>
      </c>
      <c r="K292" s="795" t="s">
        <v>1592</v>
      </c>
      <c r="L292" s="798">
        <v>3000</v>
      </c>
      <c r="M292" s="798">
        <v>6000</v>
      </c>
      <c r="N292" s="795">
        <v>2</v>
      </c>
      <c r="O292" s="799">
        <v>2</v>
      </c>
      <c r="P292" s="798">
        <v>3000</v>
      </c>
      <c r="Q292" s="800">
        <v>0.5</v>
      </c>
      <c r="R292" s="795">
        <v>1</v>
      </c>
      <c r="S292" s="800">
        <v>0.5</v>
      </c>
      <c r="T292" s="799">
        <v>1</v>
      </c>
      <c r="U292" s="801">
        <v>0.5</v>
      </c>
    </row>
    <row r="293" spans="1:21" ht="14.4" customHeight="1" x14ac:dyDescent="0.3">
      <c r="A293" s="794">
        <v>31</v>
      </c>
      <c r="B293" s="795" t="s">
        <v>592</v>
      </c>
      <c r="C293" s="795" t="s">
        <v>1513</v>
      </c>
      <c r="D293" s="796" t="s">
        <v>2055</v>
      </c>
      <c r="E293" s="797" t="s">
        <v>1528</v>
      </c>
      <c r="F293" s="795" t="s">
        <v>1510</v>
      </c>
      <c r="G293" s="795" t="s">
        <v>1589</v>
      </c>
      <c r="H293" s="795" t="s">
        <v>593</v>
      </c>
      <c r="I293" s="795" t="s">
        <v>1869</v>
      </c>
      <c r="J293" s="795" t="s">
        <v>1656</v>
      </c>
      <c r="K293" s="795" t="s">
        <v>1870</v>
      </c>
      <c r="L293" s="798">
        <v>50.5</v>
      </c>
      <c r="M293" s="798">
        <v>50.5</v>
      </c>
      <c r="N293" s="795">
        <v>1</v>
      </c>
      <c r="O293" s="799">
        <v>1</v>
      </c>
      <c r="P293" s="798">
        <v>50.5</v>
      </c>
      <c r="Q293" s="800">
        <v>1</v>
      </c>
      <c r="R293" s="795">
        <v>1</v>
      </c>
      <c r="S293" s="800">
        <v>1</v>
      </c>
      <c r="T293" s="799">
        <v>1</v>
      </c>
      <c r="U293" s="801">
        <v>1</v>
      </c>
    </row>
    <row r="294" spans="1:21" ht="14.4" customHeight="1" x14ac:dyDescent="0.3">
      <c r="A294" s="794">
        <v>31</v>
      </c>
      <c r="B294" s="795" t="s">
        <v>592</v>
      </c>
      <c r="C294" s="795" t="s">
        <v>1513</v>
      </c>
      <c r="D294" s="796" t="s">
        <v>2055</v>
      </c>
      <c r="E294" s="797" t="s">
        <v>1528</v>
      </c>
      <c r="F294" s="795" t="s">
        <v>1510</v>
      </c>
      <c r="G294" s="795" t="s">
        <v>1589</v>
      </c>
      <c r="H294" s="795" t="s">
        <v>593</v>
      </c>
      <c r="I294" s="795" t="s">
        <v>1871</v>
      </c>
      <c r="J294" s="795" t="s">
        <v>1872</v>
      </c>
      <c r="K294" s="795" t="s">
        <v>1873</v>
      </c>
      <c r="L294" s="798">
        <v>250</v>
      </c>
      <c r="M294" s="798">
        <v>250</v>
      </c>
      <c r="N294" s="795">
        <v>1</v>
      </c>
      <c r="O294" s="799">
        <v>1</v>
      </c>
      <c r="P294" s="798">
        <v>250</v>
      </c>
      <c r="Q294" s="800">
        <v>1</v>
      </c>
      <c r="R294" s="795">
        <v>1</v>
      </c>
      <c r="S294" s="800">
        <v>1</v>
      </c>
      <c r="T294" s="799">
        <v>1</v>
      </c>
      <c r="U294" s="801">
        <v>1</v>
      </c>
    </row>
    <row r="295" spans="1:21" ht="14.4" customHeight="1" x14ac:dyDescent="0.3">
      <c r="A295" s="794">
        <v>31</v>
      </c>
      <c r="B295" s="795" t="s">
        <v>592</v>
      </c>
      <c r="C295" s="795" t="s">
        <v>1513</v>
      </c>
      <c r="D295" s="796" t="s">
        <v>2055</v>
      </c>
      <c r="E295" s="797" t="s">
        <v>1528</v>
      </c>
      <c r="F295" s="795" t="s">
        <v>1510</v>
      </c>
      <c r="G295" s="795" t="s">
        <v>1589</v>
      </c>
      <c r="H295" s="795" t="s">
        <v>593</v>
      </c>
      <c r="I295" s="795" t="s">
        <v>1751</v>
      </c>
      <c r="J295" s="795" t="s">
        <v>1752</v>
      </c>
      <c r="K295" s="795" t="s">
        <v>1753</v>
      </c>
      <c r="L295" s="798">
        <v>349.12</v>
      </c>
      <c r="M295" s="798">
        <v>349.12</v>
      </c>
      <c r="N295" s="795">
        <v>1</v>
      </c>
      <c r="O295" s="799">
        <v>1</v>
      </c>
      <c r="P295" s="798">
        <v>349.12</v>
      </c>
      <c r="Q295" s="800">
        <v>1</v>
      </c>
      <c r="R295" s="795">
        <v>1</v>
      </c>
      <c r="S295" s="800">
        <v>1</v>
      </c>
      <c r="T295" s="799">
        <v>1</v>
      </c>
      <c r="U295" s="801">
        <v>1</v>
      </c>
    </row>
    <row r="296" spans="1:21" ht="14.4" customHeight="1" x14ac:dyDescent="0.3">
      <c r="A296" s="794">
        <v>31</v>
      </c>
      <c r="B296" s="795" t="s">
        <v>592</v>
      </c>
      <c r="C296" s="795" t="s">
        <v>1513</v>
      </c>
      <c r="D296" s="796" t="s">
        <v>2055</v>
      </c>
      <c r="E296" s="797" t="s">
        <v>1528</v>
      </c>
      <c r="F296" s="795" t="s">
        <v>1510</v>
      </c>
      <c r="G296" s="795" t="s">
        <v>1589</v>
      </c>
      <c r="H296" s="795" t="s">
        <v>593</v>
      </c>
      <c r="I296" s="795" t="s">
        <v>1605</v>
      </c>
      <c r="J296" s="795" t="s">
        <v>1606</v>
      </c>
      <c r="K296" s="795" t="s">
        <v>1607</v>
      </c>
      <c r="L296" s="798">
        <v>350</v>
      </c>
      <c r="M296" s="798">
        <v>2800</v>
      </c>
      <c r="N296" s="795">
        <v>8</v>
      </c>
      <c r="O296" s="799">
        <v>8</v>
      </c>
      <c r="P296" s="798">
        <v>2800</v>
      </c>
      <c r="Q296" s="800">
        <v>1</v>
      </c>
      <c r="R296" s="795">
        <v>8</v>
      </c>
      <c r="S296" s="800">
        <v>1</v>
      </c>
      <c r="T296" s="799">
        <v>8</v>
      </c>
      <c r="U296" s="801">
        <v>1</v>
      </c>
    </row>
    <row r="297" spans="1:21" ht="14.4" customHeight="1" x14ac:dyDescent="0.3">
      <c r="A297" s="794">
        <v>31</v>
      </c>
      <c r="B297" s="795" t="s">
        <v>592</v>
      </c>
      <c r="C297" s="795" t="s">
        <v>1513</v>
      </c>
      <c r="D297" s="796" t="s">
        <v>2055</v>
      </c>
      <c r="E297" s="797" t="s">
        <v>1528</v>
      </c>
      <c r="F297" s="795" t="s">
        <v>1510</v>
      </c>
      <c r="G297" s="795" t="s">
        <v>1589</v>
      </c>
      <c r="H297" s="795" t="s">
        <v>593</v>
      </c>
      <c r="I297" s="795" t="s">
        <v>1608</v>
      </c>
      <c r="J297" s="795" t="s">
        <v>1609</v>
      </c>
      <c r="K297" s="795" t="s">
        <v>1610</v>
      </c>
      <c r="L297" s="798">
        <v>1000</v>
      </c>
      <c r="M297" s="798">
        <v>1000</v>
      </c>
      <c r="N297" s="795">
        <v>1</v>
      </c>
      <c r="O297" s="799">
        <v>1</v>
      </c>
      <c r="P297" s="798">
        <v>1000</v>
      </c>
      <c r="Q297" s="800">
        <v>1</v>
      </c>
      <c r="R297" s="795">
        <v>1</v>
      </c>
      <c r="S297" s="800">
        <v>1</v>
      </c>
      <c r="T297" s="799">
        <v>1</v>
      </c>
      <c r="U297" s="801">
        <v>1</v>
      </c>
    </row>
    <row r="298" spans="1:21" ht="14.4" customHeight="1" x14ac:dyDescent="0.3">
      <c r="A298" s="794">
        <v>31</v>
      </c>
      <c r="B298" s="795" t="s">
        <v>592</v>
      </c>
      <c r="C298" s="795" t="s">
        <v>1513</v>
      </c>
      <c r="D298" s="796" t="s">
        <v>2055</v>
      </c>
      <c r="E298" s="797" t="s">
        <v>1528</v>
      </c>
      <c r="F298" s="795" t="s">
        <v>1510</v>
      </c>
      <c r="G298" s="795" t="s">
        <v>1589</v>
      </c>
      <c r="H298" s="795" t="s">
        <v>593</v>
      </c>
      <c r="I298" s="795" t="s">
        <v>1849</v>
      </c>
      <c r="J298" s="795" t="s">
        <v>1850</v>
      </c>
      <c r="K298" s="795" t="s">
        <v>1851</v>
      </c>
      <c r="L298" s="798">
        <v>1000</v>
      </c>
      <c r="M298" s="798">
        <v>1000</v>
      </c>
      <c r="N298" s="795">
        <v>1</v>
      </c>
      <c r="O298" s="799">
        <v>1</v>
      </c>
      <c r="P298" s="798"/>
      <c r="Q298" s="800">
        <v>0</v>
      </c>
      <c r="R298" s="795"/>
      <c r="S298" s="800">
        <v>0</v>
      </c>
      <c r="T298" s="799"/>
      <c r="U298" s="801">
        <v>0</v>
      </c>
    </row>
    <row r="299" spans="1:21" ht="14.4" customHeight="1" x14ac:dyDescent="0.3">
      <c r="A299" s="794">
        <v>31</v>
      </c>
      <c r="B299" s="795" t="s">
        <v>592</v>
      </c>
      <c r="C299" s="795" t="s">
        <v>1513</v>
      </c>
      <c r="D299" s="796" t="s">
        <v>2055</v>
      </c>
      <c r="E299" s="797" t="s">
        <v>1528</v>
      </c>
      <c r="F299" s="795" t="s">
        <v>1510</v>
      </c>
      <c r="G299" s="795" t="s">
        <v>1617</v>
      </c>
      <c r="H299" s="795" t="s">
        <v>593</v>
      </c>
      <c r="I299" s="795" t="s">
        <v>1621</v>
      </c>
      <c r="J299" s="795" t="s">
        <v>1622</v>
      </c>
      <c r="K299" s="795" t="s">
        <v>1623</v>
      </c>
      <c r="L299" s="798">
        <v>200</v>
      </c>
      <c r="M299" s="798">
        <v>400</v>
      </c>
      <c r="N299" s="795">
        <v>2</v>
      </c>
      <c r="O299" s="799">
        <v>1</v>
      </c>
      <c r="P299" s="798">
        <v>400</v>
      </c>
      <c r="Q299" s="800">
        <v>1</v>
      </c>
      <c r="R299" s="795">
        <v>2</v>
      </c>
      <c r="S299" s="800">
        <v>1</v>
      </c>
      <c r="T299" s="799">
        <v>1</v>
      </c>
      <c r="U299" s="801">
        <v>1</v>
      </c>
    </row>
    <row r="300" spans="1:21" ht="14.4" customHeight="1" x14ac:dyDescent="0.3">
      <c r="A300" s="794">
        <v>31</v>
      </c>
      <c r="B300" s="795" t="s">
        <v>592</v>
      </c>
      <c r="C300" s="795" t="s">
        <v>1513</v>
      </c>
      <c r="D300" s="796" t="s">
        <v>2055</v>
      </c>
      <c r="E300" s="797" t="s">
        <v>1529</v>
      </c>
      <c r="F300" s="795" t="s">
        <v>1508</v>
      </c>
      <c r="G300" s="795" t="s">
        <v>1874</v>
      </c>
      <c r="H300" s="795" t="s">
        <v>593</v>
      </c>
      <c r="I300" s="795" t="s">
        <v>1875</v>
      </c>
      <c r="J300" s="795" t="s">
        <v>1178</v>
      </c>
      <c r="K300" s="795" t="s">
        <v>1876</v>
      </c>
      <c r="L300" s="798">
        <v>107.27</v>
      </c>
      <c r="M300" s="798">
        <v>107.27</v>
      </c>
      <c r="N300" s="795">
        <v>1</v>
      </c>
      <c r="O300" s="799">
        <v>1</v>
      </c>
      <c r="P300" s="798">
        <v>107.27</v>
      </c>
      <c r="Q300" s="800">
        <v>1</v>
      </c>
      <c r="R300" s="795">
        <v>1</v>
      </c>
      <c r="S300" s="800">
        <v>1</v>
      </c>
      <c r="T300" s="799">
        <v>1</v>
      </c>
      <c r="U300" s="801">
        <v>1</v>
      </c>
    </row>
    <row r="301" spans="1:21" ht="14.4" customHeight="1" x14ac:dyDescent="0.3">
      <c r="A301" s="794">
        <v>31</v>
      </c>
      <c r="B301" s="795" t="s">
        <v>592</v>
      </c>
      <c r="C301" s="795" t="s">
        <v>1513</v>
      </c>
      <c r="D301" s="796" t="s">
        <v>2055</v>
      </c>
      <c r="E301" s="797" t="s">
        <v>1529</v>
      </c>
      <c r="F301" s="795" t="s">
        <v>1508</v>
      </c>
      <c r="G301" s="795" t="s">
        <v>1638</v>
      </c>
      <c r="H301" s="795" t="s">
        <v>593</v>
      </c>
      <c r="I301" s="795" t="s">
        <v>1639</v>
      </c>
      <c r="J301" s="795" t="s">
        <v>1640</v>
      </c>
      <c r="K301" s="795" t="s">
        <v>1641</v>
      </c>
      <c r="L301" s="798">
        <v>0</v>
      </c>
      <c r="M301" s="798">
        <v>0</v>
      </c>
      <c r="N301" s="795">
        <v>1</v>
      </c>
      <c r="O301" s="799">
        <v>0.5</v>
      </c>
      <c r="P301" s="798">
        <v>0</v>
      </c>
      <c r="Q301" s="800"/>
      <c r="R301" s="795">
        <v>1</v>
      </c>
      <c r="S301" s="800">
        <v>1</v>
      </c>
      <c r="T301" s="799">
        <v>0.5</v>
      </c>
      <c r="U301" s="801">
        <v>1</v>
      </c>
    </row>
    <row r="302" spans="1:21" ht="14.4" customHeight="1" x14ac:dyDescent="0.3">
      <c r="A302" s="794">
        <v>31</v>
      </c>
      <c r="B302" s="795" t="s">
        <v>592</v>
      </c>
      <c r="C302" s="795" t="s">
        <v>1513</v>
      </c>
      <c r="D302" s="796" t="s">
        <v>2055</v>
      </c>
      <c r="E302" s="797" t="s">
        <v>1529</v>
      </c>
      <c r="F302" s="795" t="s">
        <v>1508</v>
      </c>
      <c r="G302" s="795" t="s">
        <v>1561</v>
      </c>
      <c r="H302" s="795" t="s">
        <v>593</v>
      </c>
      <c r="I302" s="795" t="s">
        <v>1877</v>
      </c>
      <c r="J302" s="795" t="s">
        <v>1563</v>
      </c>
      <c r="K302" s="795" t="s">
        <v>1878</v>
      </c>
      <c r="L302" s="798">
        <v>0</v>
      </c>
      <c r="M302" s="798">
        <v>0</v>
      </c>
      <c r="N302" s="795">
        <v>1</v>
      </c>
      <c r="O302" s="799">
        <v>1</v>
      </c>
      <c r="P302" s="798">
        <v>0</v>
      </c>
      <c r="Q302" s="800"/>
      <c r="R302" s="795">
        <v>1</v>
      </c>
      <c r="S302" s="800">
        <v>1</v>
      </c>
      <c r="T302" s="799">
        <v>1</v>
      </c>
      <c r="U302" s="801">
        <v>1</v>
      </c>
    </row>
    <row r="303" spans="1:21" ht="14.4" customHeight="1" x14ac:dyDescent="0.3">
      <c r="A303" s="794">
        <v>31</v>
      </c>
      <c r="B303" s="795" t="s">
        <v>592</v>
      </c>
      <c r="C303" s="795" t="s">
        <v>1513</v>
      </c>
      <c r="D303" s="796" t="s">
        <v>2055</v>
      </c>
      <c r="E303" s="797" t="s">
        <v>1529</v>
      </c>
      <c r="F303" s="795" t="s">
        <v>1508</v>
      </c>
      <c r="G303" s="795" t="s">
        <v>1539</v>
      </c>
      <c r="H303" s="795" t="s">
        <v>912</v>
      </c>
      <c r="I303" s="795" t="s">
        <v>1540</v>
      </c>
      <c r="J303" s="795" t="s">
        <v>977</v>
      </c>
      <c r="K303" s="795" t="s">
        <v>1414</v>
      </c>
      <c r="L303" s="798">
        <v>490.89</v>
      </c>
      <c r="M303" s="798">
        <v>6381.5700000000006</v>
      </c>
      <c r="N303" s="795">
        <v>13</v>
      </c>
      <c r="O303" s="799">
        <v>6</v>
      </c>
      <c r="P303" s="798">
        <v>4908.9000000000005</v>
      </c>
      <c r="Q303" s="800">
        <v>0.76923076923076927</v>
      </c>
      <c r="R303" s="795">
        <v>10</v>
      </c>
      <c r="S303" s="800">
        <v>0.76923076923076927</v>
      </c>
      <c r="T303" s="799">
        <v>4</v>
      </c>
      <c r="U303" s="801">
        <v>0.66666666666666663</v>
      </c>
    </row>
    <row r="304" spans="1:21" ht="14.4" customHeight="1" x14ac:dyDescent="0.3">
      <c r="A304" s="794">
        <v>31</v>
      </c>
      <c r="B304" s="795" t="s">
        <v>592</v>
      </c>
      <c r="C304" s="795" t="s">
        <v>1513</v>
      </c>
      <c r="D304" s="796" t="s">
        <v>2055</v>
      </c>
      <c r="E304" s="797" t="s">
        <v>1529</v>
      </c>
      <c r="F304" s="795" t="s">
        <v>1508</v>
      </c>
      <c r="G304" s="795" t="s">
        <v>1539</v>
      </c>
      <c r="H304" s="795" t="s">
        <v>912</v>
      </c>
      <c r="I304" s="795" t="s">
        <v>1552</v>
      </c>
      <c r="J304" s="795" t="s">
        <v>977</v>
      </c>
      <c r="K304" s="795" t="s">
        <v>1413</v>
      </c>
      <c r="L304" s="798">
        <v>736.33</v>
      </c>
      <c r="M304" s="798">
        <v>2208.9900000000002</v>
      </c>
      <c r="N304" s="795">
        <v>3</v>
      </c>
      <c r="O304" s="799">
        <v>3</v>
      </c>
      <c r="P304" s="798">
        <v>2208.9900000000002</v>
      </c>
      <c r="Q304" s="800">
        <v>1</v>
      </c>
      <c r="R304" s="795">
        <v>3</v>
      </c>
      <c r="S304" s="800">
        <v>1</v>
      </c>
      <c r="T304" s="799">
        <v>3</v>
      </c>
      <c r="U304" s="801">
        <v>1</v>
      </c>
    </row>
    <row r="305" spans="1:21" ht="14.4" customHeight="1" x14ac:dyDescent="0.3">
      <c r="A305" s="794">
        <v>31</v>
      </c>
      <c r="B305" s="795" t="s">
        <v>592</v>
      </c>
      <c r="C305" s="795" t="s">
        <v>1513</v>
      </c>
      <c r="D305" s="796" t="s">
        <v>2055</v>
      </c>
      <c r="E305" s="797" t="s">
        <v>1529</v>
      </c>
      <c r="F305" s="795" t="s">
        <v>1508</v>
      </c>
      <c r="G305" s="795" t="s">
        <v>1539</v>
      </c>
      <c r="H305" s="795" t="s">
        <v>912</v>
      </c>
      <c r="I305" s="795" t="s">
        <v>976</v>
      </c>
      <c r="J305" s="795" t="s">
        <v>977</v>
      </c>
      <c r="K305" s="795" t="s">
        <v>1414</v>
      </c>
      <c r="L305" s="798">
        <v>490.89</v>
      </c>
      <c r="M305" s="798">
        <v>490.89</v>
      </c>
      <c r="N305" s="795">
        <v>1</v>
      </c>
      <c r="O305" s="799">
        <v>1</v>
      </c>
      <c r="P305" s="798">
        <v>490.89</v>
      </c>
      <c r="Q305" s="800">
        <v>1</v>
      </c>
      <c r="R305" s="795">
        <v>1</v>
      </c>
      <c r="S305" s="800">
        <v>1</v>
      </c>
      <c r="T305" s="799">
        <v>1</v>
      </c>
      <c r="U305" s="801">
        <v>1</v>
      </c>
    </row>
    <row r="306" spans="1:21" ht="14.4" customHeight="1" x14ac:dyDescent="0.3">
      <c r="A306" s="794">
        <v>31</v>
      </c>
      <c r="B306" s="795" t="s">
        <v>592</v>
      </c>
      <c r="C306" s="795" t="s">
        <v>1513</v>
      </c>
      <c r="D306" s="796" t="s">
        <v>2055</v>
      </c>
      <c r="E306" s="797" t="s">
        <v>1529</v>
      </c>
      <c r="F306" s="795" t="s">
        <v>1508</v>
      </c>
      <c r="G306" s="795" t="s">
        <v>1573</v>
      </c>
      <c r="H306" s="795" t="s">
        <v>912</v>
      </c>
      <c r="I306" s="795" t="s">
        <v>1574</v>
      </c>
      <c r="J306" s="795" t="s">
        <v>622</v>
      </c>
      <c r="K306" s="795" t="s">
        <v>1448</v>
      </c>
      <c r="L306" s="798">
        <v>48.42</v>
      </c>
      <c r="M306" s="798">
        <v>193.68</v>
      </c>
      <c r="N306" s="795">
        <v>4</v>
      </c>
      <c r="O306" s="799">
        <v>4</v>
      </c>
      <c r="P306" s="798">
        <v>193.68</v>
      </c>
      <c r="Q306" s="800">
        <v>1</v>
      </c>
      <c r="R306" s="795">
        <v>4</v>
      </c>
      <c r="S306" s="800">
        <v>1</v>
      </c>
      <c r="T306" s="799">
        <v>4</v>
      </c>
      <c r="U306" s="801">
        <v>1</v>
      </c>
    </row>
    <row r="307" spans="1:21" ht="14.4" customHeight="1" x14ac:dyDescent="0.3">
      <c r="A307" s="794">
        <v>31</v>
      </c>
      <c r="B307" s="795" t="s">
        <v>592</v>
      </c>
      <c r="C307" s="795" t="s">
        <v>1513</v>
      </c>
      <c r="D307" s="796" t="s">
        <v>2055</v>
      </c>
      <c r="E307" s="797" t="s">
        <v>1529</v>
      </c>
      <c r="F307" s="795" t="s">
        <v>1508</v>
      </c>
      <c r="G307" s="795" t="s">
        <v>1749</v>
      </c>
      <c r="H307" s="795" t="s">
        <v>593</v>
      </c>
      <c r="I307" s="795" t="s">
        <v>874</v>
      </c>
      <c r="J307" s="795" t="s">
        <v>875</v>
      </c>
      <c r="K307" s="795" t="s">
        <v>1750</v>
      </c>
      <c r="L307" s="798">
        <v>108.44</v>
      </c>
      <c r="M307" s="798">
        <v>216.88</v>
      </c>
      <c r="N307" s="795">
        <v>2</v>
      </c>
      <c r="O307" s="799">
        <v>2</v>
      </c>
      <c r="P307" s="798">
        <v>108.44</v>
      </c>
      <c r="Q307" s="800">
        <v>0.5</v>
      </c>
      <c r="R307" s="795">
        <v>1</v>
      </c>
      <c r="S307" s="800">
        <v>0.5</v>
      </c>
      <c r="T307" s="799">
        <v>1</v>
      </c>
      <c r="U307" s="801">
        <v>0.5</v>
      </c>
    </row>
    <row r="308" spans="1:21" ht="14.4" customHeight="1" x14ac:dyDescent="0.3">
      <c r="A308" s="794">
        <v>31</v>
      </c>
      <c r="B308" s="795" t="s">
        <v>592</v>
      </c>
      <c r="C308" s="795" t="s">
        <v>1513</v>
      </c>
      <c r="D308" s="796" t="s">
        <v>2055</v>
      </c>
      <c r="E308" s="797" t="s">
        <v>1529</v>
      </c>
      <c r="F308" s="795" t="s">
        <v>1508</v>
      </c>
      <c r="G308" s="795" t="s">
        <v>1831</v>
      </c>
      <c r="H308" s="795" t="s">
        <v>593</v>
      </c>
      <c r="I308" s="795" t="s">
        <v>1879</v>
      </c>
      <c r="J308" s="795" t="s">
        <v>1833</v>
      </c>
      <c r="K308" s="795" t="s">
        <v>1834</v>
      </c>
      <c r="L308" s="798">
        <v>54.55</v>
      </c>
      <c r="M308" s="798">
        <v>54.55</v>
      </c>
      <c r="N308" s="795">
        <v>1</v>
      </c>
      <c r="O308" s="799">
        <v>0.5</v>
      </c>
      <c r="P308" s="798">
        <v>54.55</v>
      </c>
      <c r="Q308" s="800">
        <v>1</v>
      </c>
      <c r="R308" s="795">
        <v>1</v>
      </c>
      <c r="S308" s="800">
        <v>1</v>
      </c>
      <c r="T308" s="799">
        <v>0.5</v>
      </c>
      <c r="U308" s="801">
        <v>1</v>
      </c>
    </row>
    <row r="309" spans="1:21" ht="14.4" customHeight="1" x14ac:dyDescent="0.3">
      <c r="A309" s="794">
        <v>31</v>
      </c>
      <c r="B309" s="795" t="s">
        <v>592</v>
      </c>
      <c r="C309" s="795" t="s">
        <v>1513</v>
      </c>
      <c r="D309" s="796" t="s">
        <v>2055</v>
      </c>
      <c r="E309" s="797" t="s">
        <v>1529</v>
      </c>
      <c r="F309" s="795" t="s">
        <v>1508</v>
      </c>
      <c r="G309" s="795" t="s">
        <v>1541</v>
      </c>
      <c r="H309" s="795" t="s">
        <v>912</v>
      </c>
      <c r="I309" s="795" t="s">
        <v>929</v>
      </c>
      <c r="J309" s="795" t="s">
        <v>1453</v>
      </c>
      <c r="K309" s="795" t="s">
        <v>1454</v>
      </c>
      <c r="L309" s="798">
        <v>0</v>
      </c>
      <c r="M309" s="798">
        <v>0</v>
      </c>
      <c r="N309" s="795">
        <v>1</v>
      </c>
      <c r="O309" s="799">
        <v>1</v>
      </c>
      <c r="P309" s="798">
        <v>0</v>
      </c>
      <c r="Q309" s="800"/>
      <c r="R309" s="795">
        <v>1</v>
      </c>
      <c r="S309" s="800">
        <v>1</v>
      </c>
      <c r="T309" s="799">
        <v>1</v>
      </c>
      <c r="U309" s="801">
        <v>1</v>
      </c>
    </row>
    <row r="310" spans="1:21" ht="14.4" customHeight="1" x14ac:dyDescent="0.3">
      <c r="A310" s="794">
        <v>31</v>
      </c>
      <c r="B310" s="795" t="s">
        <v>592</v>
      </c>
      <c r="C310" s="795" t="s">
        <v>1513</v>
      </c>
      <c r="D310" s="796" t="s">
        <v>2055</v>
      </c>
      <c r="E310" s="797" t="s">
        <v>1529</v>
      </c>
      <c r="F310" s="795" t="s">
        <v>1508</v>
      </c>
      <c r="G310" s="795" t="s">
        <v>1580</v>
      </c>
      <c r="H310" s="795" t="s">
        <v>593</v>
      </c>
      <c r="I310" s="795" t="s">
        <v>696</v>
      </c>
      <c r="J310" s="795" t="s">
        <v>1581</v>
      </c>
      <c r="K310" s="795" t="s">
        <v>1582</v>
      </c>
      <c r="L310" s="798">
        <v>77.13</v>
      </c>
      <c r="M310" s="798">
        <v>77.13</v>
      </c>
      <c r="N310" s="795">
        <v>1</v>
      </c>
      <c r="O310" s="799">
        <v>1</v>
      </c>
      <c r="P310" s="798">
        <v>77.13</v>
      </c>
      <c r="Q310" s="800">
        <v>1</v>
      </c>
      <c r="R310" s="795">
        <v>1</v>
      </c>
      <c r="S310" s="800">
        <v>1</v>
      </c>
      <c r="T310" s="799">
        <v>1</v>
      </c>
      <c r="U310" s="801">
        <v>1</v>
      </c>
    </row>
    <row r="311" spans="1:21" ht="14.4" customHeight="1" x14ac:dyDescent="0.3">
      <c r="A311" s="794">
        <v>31</v>
      </c>
      <c r="B311" s="795" t="s">
        <v>592</v>
      </c>
      <c r="C311" s="795" t="s">
        <v>1513</v>
      </c>
      <c r="D311" s="796" t="s">
        <v>2055</v>
      </c>
      <c r="E311" s="797" t="s">
        <v>1529</v>
      </c>
      <c r="F311" s="795" t="s">
        <v>1508</v>
      </c>
      <c r="G311" s="795" t="s">
        <v>1544</v>
      </c>
      <c r="H311" s="795" t="s">
        <v>593</v>
      </c>
      <c r="I311" s="795" t="s">
        <v>1692</v>
      </c>
      <c r="J311" s="795" t="s">
        <v>1546</v>
      </c>
      <c r="K311" s="795" t="s">
        <v>1693</v>
      </c>
      <c r="L311" s="798">
        <v>33.549999999999997</v>
      </c>
      <c r="M311" s="798">
        <v>33.549999999999997</v>
      </c>
      <c r="N311" s="795">
        <v>1</v>
      </c>
      <c r="O311" s="799">
        <v>1</v>
      </c>
      <c r="P311" s="798">
        <v>33.549999999999997</v>
      </c>
      <c r="Q311" s="800">
        <v>1</v>
      </c>
      <c r="R311" s="795">
        <v>1</v>
      </c>
      <c r="S311" s="800">
        <v>1</v>
      </c>
      <c r="T311" s="799">
        <v>1</v>
      </c>
      <c r="U311" s="801">
        <v>1</v>
      </c>
    </row>
    <row r="312" spans="1:21" ht="14.4" customHeight="1" x14ac:dyDescent="0.3">
      <c r="A312" s="794">
        <v>31</v>
      </c>
      <c r="B312" s="795" t="s">
        <v>592</v>
      </c>
      <c r="C312" s="795" t="s">
        <v>1513</v>
      </c>
      <c r="D312" s="796" t="s">
        <v>2055</v>
      </c>
      <c r="E312" s="797" t="s">
        <v>1529</v>
      </c>
      <c r="F312" s="795" t="s">
        <v>1508</v>
      </c>
      <c r="G312" s="795" t="s">
        <v>1544</v>
      </c>
      <c r="H312" s="795" t="s">
        <v>593</v>
      </c>
      <c r="I312" s="795" t="s">
        <v>1545</v>
      </c>
      <c r="J312" s="795" t="s">
        <v>1546</v>
      </c>
      <c r="K312" s="795" t="s">
        <v>1547</v>
      </c>
      <c r="L312" s="798">
        <v>50.32</v>
      </c>
      <c r="M312" s="798">
        <v>50.32</v>
      </c>
      <c r="N312" s="795">
        <v>1</v>
      </c>
      <c r="O312" s="799">
        <v>1</v>
      </c>
      <c r="P312" s="798">
        <v>50.32</v>
      </c>
      <c r="Q312" s="800">
        <v>1</v>
      </c>
      <c r="R312" s="795">
        <v>1</v>
      </c>
      <c r="S312" s="800">
        <v>1</v>
      </c>
      <c r="T312" s="799">
        <v>1</v>
      </c>
      <c r="U312" s="801">
        <v>1</v>
      </c>
    </row>
    <row r="313" spans="1:21" ht="14.4" customHeight="1" x14ac:dyDescent="0.3">
      <c r="A313" s="794">
        <v>31</v>
      </c>
      <c r="B313" s="795" t="s">
        <v>592</v>
      </c>
      <c r="C313" s="795" t="s">
        <v>1513</v>
      </c>
      <c r="D313" s="796" t="s">
        <v>2055</v>
      </c>
      <c r="E313" s="797" t="s">
        <v>1529</v>
      </c>
      <c r="F313" s="795" t="s">
        <v>1508</v>
      </c>
      <c r="G313" s="795" t="s">
        <v>1544</v>
      </c>
      <c r="H313" s="795" t="s">
        <v>593</v>
      </c>
      <c r="I313" s="795" t="s">
        <v>1843</v>
      </c>
      <c r="J313" s="795" t="s">
        <v>1274</v>
      </c>
      <c r="K313" s="795" t="s">
        <v>1844</v>
      </c>
      <c r="L313" s="798">
        <v>50.32</v>
      </c>
      <c r="M313" s="798">
        <v>50.32</v>
      </c>
      <c r="N313" s="795">
        <v>1</v>
      </c>
      <c r="O313" s="799">
        <v>1</v>
      </c>
      <c r="P313" s="798">
        <v>50.32</v>
      </c>
      <c r="Q313" s="800">
        <v>1</v>
      </c>
      <c r="R313" s="795">
        <v>1</v>
      </c>
      <c r="S313" s="800">
        <v>1</v>
      </c>
      <c r="T313" s="799">
        <v>1</v>
      </c>
      <c r="U313" s="801">
        <v>1</v>
      </c>
    </row>
    <row r="314" spans="1:21" ht="14.4" customHeight="1" x14ac:dyDescent="0.3">
      <c r="A314" s="794">
        <v>31</v>
      </c>
      <c r="B314" s="795" t="s">
        <v>592</v>
      </c>
      <c r="C314" s="795" t="s">
        <v>1513</v>
      </c>
      <c r="D314" s="796" t="s">
        <v>2055</v>
      </c>
      <c r="E314" s="797" t="s">
        <v>1529</v>
      </c>
      <c r="F314" s="795" t="s">
        <v>1510</v>
      </c>
      <c r="G314" s="795" t="s">
        <v>1548</v>
      </c>
      <c r="H314" s="795" t="s">
        <v>593</v>
      </c>
      <c r="I314" s="795" t="s">
        <v>1549</v>
      </c>
      <c r="J314" s="795" t="s">
        <v>1550</v>
      </c>
      <c r="K314" s="795" t="s">
        <v>1551</v>
      </c>
      <c r="L314" s="798">
        <v>35.130000000000003</v>
      </c>
      <c r="M314" s="798">
        <v>35.130000000000003</v>
      </c>
      <c r="N314" s="795">
        <v>1</v>
      </c>
      <c r="O314" s="799">
        <v>1</v>
      </c>
      <c r="P314" s="798">
        <v>35.130000000000003</v>
      </c>
      <c r="Q314" s="800">
        <v>1</v>
      </c>
      <c r="R314" s="795">
        <v>1</v>
      </c>
      <c r="S314" s="800">
        <v>1</v>
      </c>
      <c r="T314" s="799">
        <v>1</v>
      </c>
      <c r="U314" s="801">
        <v>1</v>
      </c>
    </row>
    <row r="315" spans="1:21" ht="14.4" customHeight="1" x14ac:dyDescent="0.3">
      <c r="A315" s="794">
        <v>31</v>
      </c>
      <c r="B315" s="795" t="s">
        <v>592</v>
      </c>
      <c r="C315" s="795" t="s">
        <v>1513</v>
      </c>
      <c r="D315" s="796" t="s">
        <v>2055</v>
      </c>
      <c r="E315" s="797" t="s">
        <v>1529</v>
      </c>
      <c r="F315" s="795" t="s">
        <v>1510</v>
      </c>
      <c r="G315" s="795" t="s">
        <v>1548</v>
      </c>
      <c r="H315" s="795" t="s">
        <v>593</v>
      </c>
      <c r="I315" s="795" t="s">
        <v>1694</v>
      </c>
      <c r="J315" s="795" t="s">
        <v>1550</v>
      </c>
      <c r="K315" s="795" t="s">
        <v>1695</v>
      </c>
      <c r="L315" s="798">
        <v>24.77</v>
      </c>
      <c r="M315" s="798">
        <v>24.77</v>
      </c>
      <c r="N315" s="795">
        <v>1</v>
      </c>
      <c r="O315" s="799">
        <v>1</v>
      </c>
      <c r="P315" s="798">
        <v>24.77</v>
      </c>
      <c r="Q315" s="800">
        <v>1</v>
      </c>
      <c r="R315" s="795">
        <v>1</v>
      </c>
      <c r="S315" s="800">
        <v>1</v>
      </c>
      <c r="T315" s="799">
        <v>1</v>
      </c>
      <c r="U315" s="801">
        <v>1</v>
      </c>
    </row>
    <row r="316" spans="1:21" ht="14.4" customHeight="1" x14ac:dyDescent="0.3">
      <c r="A316" s="794">
        <v>31</v>
      </c>
      <c r="B316" s="795" t="s">
        <v>592</v>
      </c>
      <c r="C316" s="795" t="s">
        <v>1513</v>
      </c>
      <c r="D316" s="796" t="s">
        <v>2055</v>
      </c>
      <c r="E316" s="797" t="s">
        <v>1529</v>
      </c>
      <c r="F316" s="795" t="s">
        <v>1510</v>
      </c>
      <c r="G316" s="795" t="s">
        <v>1548</v>
      </c>
      <c r="H316" s="795" t="s">
        <v>593</v>
      </c>
      <c r="I316" s="795" t="s">
        <v>1696</v>
      </c>
      <c r="J316" s="795" t="s">
        <v>1550</v>
      </c>
      <c r="K316" s="795" t="s">
        <v>1697</v>
      </c>
      <c r="L316" s="798">
        <v>38.24</v>
      </c>
      <c r="M316" s="798">
        <v>76.48</v>
      </c>
      <c r="N316" s="795">
        <v>2</v>
      </c>
      <c r="O316" s="799">
        <v>2</v>
      </c>
      <c r="P316" s="798">
        <v>38.24</v>
      </c>
      <c r="Q316" s="800">
        <v>0.5</v>
      </c>
      <c r="R316" s="795">
        <v>1</v>
      </c>
      <c r="S316" s="800">
        <v>0.5</v>
      </c>
      <c r="T316" s="799">
        <v>1</v>
      </c>
      <c r="U316" s="801">
        <v>0.5</v>
      </c>
    </row>
    <row r="317" spans="1:21" ht="14.4" customHeight="1" x14ac:dyDescent="0.3">
      <c r="A317" s="794">
        <v>31</v>
      </c>
      <c r="B317" s="795" t="s">
        <v>592</v>
      </c>
      <c r="C317" s="795" t="s">
        <v>1513</v>
      </c>
      <c r="D317" s="796" t="s">
        <v>2055</v>
      </c>
      <c r="E317" s="797" t="s">
        <v>1529</v>
      </c>
      <c r="F317" s="795" t="s">
        <v>1510</v>
      </c>
      <c r="G317" s="795" t="s">
        <v>1548</v>
      </c>
      <c r="H317" s="795" t="s">
        <v>593</v>
      </c>
      <c r="I317" s="795" t="s">
        <v>1880</v>
      </c>
      <c r="J317" s="795" t="s">
        <v>1881</v>
      </c>
      <c r="K317" s="795" t="s">
        <v>1882</v>
      </c>
      <c r="L317" s="798">
        <v>40.42</v>
      </c>
      <c r="M317" s="798">
        <v>80.84</v>
      </c>
      <c r="N317" s="795">
        <v>2</v>
      </c>
      <c r="O317" s="799">
        <v>1</v>
      </c>
      <c r="P317" s="798">
        <v>80.84</v>
      </c>
      <c r="Q317" s="800">
        <v>1</v>
      </c>
      <c r="R317" s="795">
        <v>2</v>
      </c>
      <c r="S317" s="800">
        <v>1</v>
      </c>
      <c r="T317" s="799">
        <v>1</v>
      </c>
      <c r="U317" s="801">
        <v>1</v>
      </c>
    </row>
    <row r="318" spans="1:21" ht="14.4" customHeight="1" x14ac:dyDescent="0.3">
      <c r="A318" s="794">
        <v>31</v>
      </c>
      <c r="B318" s="795" t="s">
        <v>592</v>
      </c>
      <c r="C318" s="795" t="s">
        <v>1513</v>
      </c>
      <c r="D318" s="796" t="s">
        <v>2055</v>
      </c>
      <c r="E318" s="797" t="s">
        <v>1529</v>
      </c>
      <c r="F318" s="795" t="s">
        <v>1510</v>
      </c>
      <c r="G318" s="795" t="s">
        <v>1589</v>
      </c>
      <c r="H318" s="795" t="s">
        <v>593</v>
      </c>
      <c r="I318" s="795" t="s">
        <v>1676</v>
      </c>
      <c r="J318" s="795" t="s">
        <v>1677</v>
      </c>
      <c r="K318" s="795" t="s">
        <v>1678</v>
      </c>
      <c r="L318" s="798">
        <v>2296.87</v>
      </c>
      <c r="M318" s="798">
        <v>2296.87</v>
      </c>
      <c r="N318" s="795">
        <v>1</v>
      </c>
      <c r="O318" s="799">
        <v>1</v>
      </c>
      <c r="P318" s="798">
        <v>2296.87</v>
      </c>
      <c r="Q318" s="800">
        <v>1</v>
      </c>
      <c r="R318" s="795">
        <v>1</v>
      </c>
      <c r="S318" s="800">
        <v>1</v>
      </c>
      <c r="T318" s="799">
        <v>1</v>
      </c>
      <c r="U318" s="801">
        <v>1</v>
      </c>
    </row>
    <row r="319" spans="1:21" ht="14.4" customHeight="1" x14ac:dyDescent="0.3">
      <c r="A319" s="794">
        <v>31</v>
      </c>
      <c r="B319" s="795" t="s">
        <v>592</v>
      </c>
      <c r="C319" s="795" t="s">
        <v>1513</v>
      </c>
      <c r="D319" s="796" t="s">
        <v>2055</v>
      </c>
      <c r="E319" s="797" t="s">
        <v>1529</v>
      </c>
      <c r="F319" s="795" t="s">
        <v>1510</v>
      </c>
      <c r="G319" s="795" t="s">
        <v>1589</v>
      </c>
      <c r="H319" s="795" t="s">
        <v>593</v>
      </c>
      <c r="I319" s="795" t="s">
        <v>1883</v>
      </c>
      <c r="J319" s="795" t="s">
        <v>1884</v>
      </c>
      <c r="K319" s="795" t="s">
        <v>1885</v>
      </c>
      <c r="L319" s="798">
        <v>320.25</v>
      </c>
      <c r="M319" s="798">
        <v>320.25</v>
      </c>
      <c r="N319" s="795">
        <v>1</v>
      </c>
      <c r="O319" s="799">
        <v>1</v>
      </c>
      <c r="P319" s="798">
        <v>320.25</v>
      </c>
      <c r="Q319" s="800">
        <v>1</v>
      </c>
      <c r="R319" s="795">
        <v>1</v>
      </c>
      <c r="S319" s="800">
        <v>1</v>
      </c>
      <c r="T319" s="799">
        <v>1</v>
      </c>
      <c r="U319" s="801">
        <v>1</v>
      </c>
    </row>
    <row r="320" spans="1:21" ht="14.4" customHeight="1" x14ac:dyDescent="0.3">
      <c r="A320" s="794">
        <v>31</v>
      </c>
      <c r="B320" s="795" t="s">
        <v>592</v>
      </c>
      <c r="C320" s="795" t="s">
        <v>1513</v>
      </c>
      <c r="D320" s="796" t="s">
        <v>2055</v>
      </c>
      <c r="E320" s="797" t="s">
        <v>1529</v>
      </c>
      <c r="F320" s="795" t="s">
        <v>1510</v>
      </c>
      <c r="G320" s="795" t="s">
        <v>1589</v>
      </c>
      <c r="H320" s="795" t="s">
        <v>593</v>
      </c>
      <c r="I320" s="795" t="s">
        <v>1886</v>
      </c>
      <c r="J320" s="795" t="s">
        <v>1887</v>
      </c>
      <c r="K320" s="795" t="s">
        <v>1888</v>
      </c>
      <c r="L320" s="798">
        <v>250</v>
      </c>
      <c r="M320" s="798">
        <v>250</v>
      </c>
      <c r="N320" s="795">
        <v>1</v>
      </c>
      <c r="O320" s="799">
        <v>1</v>
      </c>
      <c r="P320" s="798"/>
      <c r="Q320" s="800">
        <v>0</v>
      </c>
      <c r="R320" s="795"/>
      <c r="S320" s="800">
        <v>0</v>
      </c>
      <c r="T320" s="799"/>
      <c r="U320" s="801">
        <v>0</v>
      </c>
    </row>
    <row r="321" spans="1:21" ht="14.4" customHeight="1" x14ac:dyDescent="0.3">
      <c r="A321" s="794">
        <v>31</v>
      </c>
      <c r="B321" s="795" t="s">
        <v>592</v>
      </c>
      <c r="C321" s="795" t="s">
        <v>1513</v>
      </c>
      <c r="D321" s="796" t="s">
        <v>2055</v>
      </c>
      <c r="E321" s="797" t="s">
        <v>1529</v>
      </c>
      <c r="F321" s="795" t="s">
        <v>1510</v>
      </c>
      <c r="G321" s="795" t="s">
        <v>1589</v>
      </c>
      <c r="H321" s="795" t="s">
        <v>593</v>
      </c>
      <c r="I321" s="795" t="s">
        <v>1751</v>
      </c>
      <c r="J321" s="795" t="s">
        <v>1752</v>
      </c>
      <c r="K321" s="795" t="s">
        <v>1753</v>
      </c>
      <c r="L321" s="798">
        <v>349.12</v>
      </c>
      <c r="M321" s="798">
        <v>349.12</v>
      </c>
      <c r="N321" s="795">
        <v>1</v>
      </c>
      <c r="O321" s="799">
        <v>1</v>
      </c>
      <c r="P321" s="798">
        <v>349.12</v>
      </c>
      <c r="Q321" s="800">
        <v>1</v>
      </c>
      <c r="R321" s="795">
        <v>1</v>
      </c>
      <c r="S321" s="800">
        <v>1</v>
      </c>
      <c r="T321" s="799">
        <v>1</v>
      </c>
      <c r="U321" s="801">
        <v>1</v>
      </c>
    </row>
    <row r="322" spans="1:21" ht="14.4" customHeight="1" x14ac:dyDescent="0.3">
      <c r="A322" s="794">
        <v>31</v>
      </c>
      <c r="B322" s="795" t="s">
        <v>592</v>
      </c>
      <c r="C322" s="795" t="s">
        <v>1513</v>
      </c>
      <c r="D322" s="796" t="s">
        <v>2055</v>
      </c>
      <c r="E322" s="797" t="s">
        <v>1529</v>
      </c>
      <c r="F322" s="795" t="s">
        <v>1510</v>
      </c>
      <c r="G322" s="795" t="s">
        <v>1589</v>
      </c>
      <c r="H322" s="795" t="s">
        <v>593</v>
      </c>
      <c r="I322" s="795" t="s">
        <v>1605</v>
      </c>
      <c r="J322" s="795" t="s">
        <v>1606</v>
      </c>
      <c r="K322" s="795" t="s">
        <v>1607</v>
      </c>
      <c r="L322" s="798">
        <v>350</v>
      </c>
      <c r="M322" s="798">
        <v>2450</v>
      </c>
      <c r="N322" s="795">
        <v>7</v>
      </c>
      <c r="O322" s="799">
        <v>7</v>
      </c>
      <c r="P322" s="798">
        <v>2450</v>
      </c>
      <c r="Q322" s="800">
        <v>1</v>
      </c>
      <c r="R322" s="795">
        <v>7</v>
      </c>
      <c r="S322" s="800">
        <v>1</v>
      </c>
      <c r="T322" s="799">
        <v>7</v>
      </c>
      <c r="U322" s="801">
        <v>1</v>
      </c>
    </row>
    <row r="323" spans="1:21" ht="14.4" customHeight="1" x14ac:dyDescent="0.3">
      <c r="A323" s="794">
        <v>31</v>
      </c>
      <c r="B323" s="795" t="s">
        <v>592</v>
      </c>
      <c r="C323" s="795" t="s">
        <v>1513</v>
      </c>
      <c r="D323" s="796" t="s">
        <v>2055</v>
      </c>
      <c r="E323" s="797" t="s">
        <v>1529</v>
      </c>
      <c r="F323" s="795" t="s">
        <v>1510</v>
      </c>
      <c r="G323" s="795" t="s">
        <v>1589</v>
      </c>
      <c r="H323" s="795" t="s">
        <v>593</v>
      </c>
      <c r="I323" s="795" t="s">
        <v>1661</v>
      </c>
      <c r="J323" s="795" t="s">
        <v>1656</v>
      </c>
      <c r="K323" s="795" t="s">
        <v>1662</v>
      </c>
      <c r="L323" s="798">
        <v>58.5</v>
      </c>
      <c r="M323" s="798">
        <v>58.5</v>
      </c>
      <c r="N323" s="795">
        <v>1</v>
      </c>
      <c r="O323" s="799">
        <v>1</v>
      </c>
      <c r="P323" s="798">
        <v>58.5</v>
      </c>
      <c r="Q323" s="800">
        <v>1</v>
      </c>
      <c r="R323" s="795">
        <v>1</v>
      </c>
      <c r="S323" s="800">
        <v>1</v>
      </c>
      <c r="T323" s="799">
        <v>1</v>
      </c>
      <c r="U323" s="801">
        <v>1</v>
      </c>
    </row>
    <row r="324" spans="1:21" ht="14.4" customHeight="1" x14ac:dyDescent="0.3">
      <c r="A324" s="794">
        <v>31</v>
      </c>
      <c r="B324" s="795" t="s">
        <v>592</v>
      </c>
      <c r="C324" s="795" t="s">
        <v>1513</v>
      </c>
      <c r="D324" s="796" t="s">
        <v>2055</v>
      </c>
      <c r="E324" s="797" t="s">
        <v>1529</v>
      </c>
      <c r="F324" s="795" t="s">
        <v>1510</v>
      </c>
      <c r="G324" s="795" t="s">
        <v>1589</v>
      </c>
      <c r="H324" s="795" t="s">
        <v>593</v>
      </c>
      <c r="I324" s="795" t="s">
        <v>1889</v>
      </c>
      <c r="J324" s="795" t="s">
        <v>1890</v>
      </c>
      <c r="K324" s="795" t="s">
        <v>1891</v>
      </c>
      <c r="L324" s="798">
        <v>1000</v>
      </c>
      <c r="M324" s="798">
        <v>1000</v>
      </c>
      <c r="N324" s="795">
        <v>1</v>
      </c>
      <c r="O324" s="799">
        <v>1</v>
      </c>
      <c r="P324" s="798">
        <v>1000</v>
      </c>
      <c r="Q324" s="800">
        <v>1</v>
      </c>
      <c r="R324" s="795">
        <v>1</v>
      </c>
      <c r="S324" s="800">
        <v>1</v>
      </c>
      <c r="T324" s="799">
        <v>1</v>
      </c>
      <c r="U324" s="801">
        <v>1</v>
      </c>
    </row>
    <row r="325" spans="1:21" ht="14.4" customHeight="1" x14ac:dyDescent="0.3">
      <c r="A325" s="794">
        <v>31</v>
      </c>
      <c r="B325" s="795" t="s">
        <v>592</v>
      </c>
      <c r="C325" s="795" t="s">
        <v>1513</v>
      </c>
      <c r="D325" s="796" t="s">
        <v>2055</v>
      </c>
      <c r="E325" s="797" t="s">
        <v>1529</v>
      </c>
      <c r="F325" s="795" t="s">
        <v>1510</v>
      </c>
      <c r="G325" s="795" t="s">
        <v>1589</v>
      </c>
      <c r="H325" s="795" t="s">
        <v>593</v>
      </c>
      <c r="I325" s="795" t="s">
        <v>1892</v>
      </c>
      <c r="J325" s="795" t="s">
        <v>1893</v>
      </c>
      <c r="K325" s="795" t="s">
        <v>1894</v>
      </c>
      <c r="L325" s="798">
        <v>350</v>
      </c>
      <c r="M325" s="798">
        <v>350</v>
      </c>
      <c r="N325" s="795">
        <v>1</v>
      </c>
      <c r="O325" s="799">
        <v>1</v>
      </c>
      <c r="P325" s="798">
        <v>350</v>
      </c>
      <c r="Q325" s="800">
        <v>1</v>
      </c>
      <c r="R325" s="795">
        <v>1</v>
      </c>
      <c r="S325" s="800">
        <v>1</v>
      </c>
      <c r="T325" s="799">
        <v>1</v>
      </c>
      <c r="U325" s="801">
        <v>1</v>
      </c>
    </row>
    <row r="326" spans="1:21" ht="14.4" customHeight="1" x14ac:dyDescent="0.3">
      <c r="A326" s="794">
        <v>31</v>
      </c>
      <c r="B326" s="795" t="s">
        <v>592</v>
      </c>
      <c r="C326" s="795" t="s">
        <v>1513</v>
      </c>
      <c r="D326" s="796" t="s">
        <v>2055</v>
      </c>
      <c r="E326" s="797" t="s">
        <v>1529</v>
      </c>
      <c r="F326" s="795" t="s">
        <v>1510</v>
      </c>
      <c r="G326" s="795" t="s">
        <v>1589</v>
      </c>
      <c r="H326" s="795" t="s">
        <v>593</v>
      </c>
      <c r="I326" s="795" t="s">
        <v>1895</v>
      </c>
      <c r="J326" s="795" t="s">
        <v>1896</v>
      </c>
      <c r="K326" s="795" t="s">
        <v>1897</v>
      </c>
      <c r="L326" s="798">
        <v>509.64</v>
      </c>
      <c r="M326" s="798">
        <v>509.64</v>
      </c>
      <c r="N326" s="795">
        <v>1</v>
      </c>
      <c r="O326" s="799">
        <v>1</v>
      </c>
      <c r="P326" s="798">
        <v>509.64</v>
      </c>
      <c r="Q326" s="800">
        <v>1</v>
      </c>
      <c r="R326" s="795">
        <v>1</v>
      </c>
      <c r="S326" s="800">
        <v>1</v>
      </c>
      <c r="T326" s="799">
        <v>1</v>
      </c>
      <c r="U326" s="801">
        <v>1</v>
      </c>
    </row>
    <row r="327" spans="1:21" ht="14.4" customHeight="1" x14ac:dyDescent="0.3">
      <c r="A327" s="794">
        <v>31</v>
      </c>
      <c r="B327" s="795" t="s">
        <v>592</v>
      </c>
      <c r="C327" s="795" t="s">
        <v>1513</v>
      </c>
      <c r="D327" s="796" t="s">
        <v>2055</v>
      </c>
      <c r="E327" s="797" t="s">
        <v>1529</v>
      </c>
      <c r="F327" s="795" t="s">
        <v>1510</v>
      </c>
      <c r="G327" s="795" t="s">
        <v>1589</v>
      </c>
      <c r="H327" s="795" t="s">
        <v>593</v>
      </c>
      <c r="I327" s="795" t="s">
        <v>1898</v>
      </c>
      <c r="J327" s="795" t="s">
        <v>1899</v>
      </c>
      <c r="K327" s="795" t="s">
        <v>1900</v>
      </c>
      <c r="L327" s="798">
        <v>750</v>
      </c>
      <c r="M327" s="798">
        <v>750</v>
      </c>
      <c r="N327" s="795">
        <v>1</v>
      </c>
      <c r="O327" s="799">
        <v>1</v>
      </c>
      <c r="P327" s="798"/>
      <c r="Q327" s="800">
        <v>0</v>
      </c>
      <c r="R327" s="795"/>
      <c r="S327" s="800">
        <v>0</v>
      </c>
      <c r="T327" s="799"/>
      <c r="U327" s="801">
        <v>0</v>
      </c>
    </row>
    <row r="328" spans="1:21" ht="14.4" customHeight="1" x14ac:dyDescent="0.3">
      <c r="A328" s="794">
        <v>31</v>
      </c>
      <c r="B328" s="795" t="s">
        <v>592</v>
      </c>
      <c r="C328" s="795" t="s">
        <v>1513</v>
      </c>
      <c r="D328" s="796" t="s">
        <v>2055</v>
      </c>
      <c r="E328" s="797" t="s">
        <v>1530</v>
      </c>
      <c r="F328" s="795" t="s">
        <v>1508</v>
      </c>
      <c r="G328" s="795" t="s">
        <v>1553</v>
      </c>
      <c r="H328" s="795" t="s">
        <v>912</v>
      </c>
      <c r="I328" s="795" t="s">
        <v>1901</v>
      </c>
      <c r="J328" s="795" t="s">
        <v>1902</v>
      </c>
      <c r="K328" s="795" t="s">
        <v>1903</v>
      </c>
      <c r="L328" s="798">
        <v>111.22</v>
      </c>
      <c r="M328" s="798">
        <v>111.22</v>
      </c>
      <c r="N328" s="795">
        <v>1</v>
      </c>
      <c r="O328" s="799">
        <v>0.5</v>
      </c>
      <c r="P328" s="798">
        <v>111.22</v>
      </c>
      <c r="Q328" s="800">
        <v>1</v>
      </c>
      <c r="R328" s="795">
        <v>1</v>
      </c>
      <c r="S328" s="800">
        <v>1</v>
      </c>
      <c r="T328" s="799">
        <v>0.5</v>
      </c>
      <c r="U328" s="801">
        <v>1</v>
      </c>
    </row>
    <row r="329" spans="1:21" ht="14.4" customHeight="1" x14ac:dyDescent="0.3">
      <c r="A329" s="794">
        <v>31</v>
      </c>
      <c r="B329" s="795" t="s">
        <v>592</v>
      </c>
      <c r="C329" s="795" t="s">
        <v>1513</v>
      </c>
      <c r="D329" s="796" t="s">
        <v>2055</v>
      </c>
      <c r="E329" s="797" t="s">
        <v>1530</v>
      </c>
      <c r="F329" s="795" t="s">
        <v>1508</v>
      </c>
      <c r="G329" s="795" t="s">
        <v>1631</v>
      </c>
      <c r="H329" s="795" t="s">
        <v>593</v>
      </c>
      <c r="I329" s="795" t="s">
        <v>1756</v>
      </c>
      <c r="J329" s="795" t="s">
        <v>1757</v>
      </c>
      <c r="K329" s="795" t="s">
        <v>1758</v>
      </c>
      <c r="L329" s="798">
        <v>238.72</v>
      </c>
      <c r="M329" s="798">
        <v>238.72</v>
      </c>
      <c r="N329" s="795">
        <v>1</v>
      </c>
      <c r="O329" s="799">
        <v>0.5</v>
      </c>
      <c r="P329" s="798"/>
      <c r="Q329" s="800">
        <v>0</v>
      </c>
      <c r="R329" s="795"/>
      <c r="S329" s="800">
        <v>0</v>
      </c>
      <c r="T329" s="799"/>
      <c r="U329" s="801">
        <v>0</v>
      </c>
    </row>
    <row r="330" spans="1:21" ht="14.4" customHeight="1" x14ac:dyDescent="0.3">
      <c r="A330" s="794">
        <v>31</v>
      </c>
      <c r="B330" s="795" t="s">
        <v>592</v>
      </c>
      <c r="C330" s="795" t="s">
        <v>1513</v>
      </c>
      <c r="D330" s="796" t="s">
        <v>2055</v>
      </c>
      <c r="E330" s="797" t="s">
        <v>1530</v>
      </c>
      <c r="F330" s="795" t="s">
        <v>1508</v>
      </c>
      <c r="G330" s="795" t="s">
        <v>1557</v>
      </c>
      <c r="H330" s="795" t="s">
        <v>593</v>
      </c>
      <c r="I330" s="795" t="s">
        <v>1682</v>
      </c>
      <c r="J330" s="795" t="s">
        <v>1062</v>
      </c>
      <c r="K330" s="795" t="s">
        <v>1683</v>
      </c>
      <c r="L330" s="798">
        <v>391.67</v>
      </c>
      <c r="M330" s="798">
        <v>391.67</v>
      </c>
      <c r="N330" s="795">
        <v>1</v>
      </c>
      <c r="O330" s="799">
        <v>1</v>
      </c>
      <c r="P330" s="798">
        <v>391.67</v>
      </c>
      <c r="Q330" s="800">
        <v>1</v>
      </c>
      <c r="R330" s="795">
        <v>1</v>
      </c>
      <c r="S330" s="800">
        <v>1</v>
      </c>
      <c r="T330" s="799">
        <v>1</v>
      </c>
      <c r="U330" s="801">
        <v>1</v>
      </c>
    </row>
    <row r="331" spans="1:21" ht="14.4" customHeight="1" x14ac:dyDescent="0.3">
      <c r="A331" s="794">
        <v>31</v>
      </c>
      <c r="B331" s="795" t="s">
        <v>592</v>
      </c>
      <c r="C331" s="795" t="s">
        <v>1513</v>
      </c>
      <c r="D331" s="796" t="s">
        <v>2055</v>
      </c>
      <c r="E331" s="797" t="s">
        <v>1530</v>
      </c>
      <c r="F331" s="795" t="s">
        <v>1508</v>
      </c>
      <c r="G331" s="795" t="s">
        <v>1634</v>
      </c>
      <c r="H331" s="795" t="s">
        <v>593</v>
      </c>
      <c r="I331" s="795" t="s">
        <v>1904</v>
      </c>
      <c r="J331" s="795" t="s">
        <v>1905</v>
      </c>
      <c r="K331" s="795" t="s">
        <v>1906</v>
      </c>
      <c r="L331" s="798">
        <v>322.8</v>
      </c>
      <c r="M331" s="798">
        <v>322.8</v>
      </c>
      <c r="N331" s="795">
        <v>1</v>
      </c>
      <c r="O331" s="799">
        <v>0.5</v>
      </c>
      <c r="P331" s="798"/>
      <c r="Q331" s="800">
        <v>0</v>
      </c>
      <c r="R331" s="795"/>
      <c r="S331" s="800">
        <v>0</v>
      </c>
      <c r="T331" s="799"/>
      <c r="U331" s="801">
        <v>0</v>
      </c>
    </row>
    <row r="332" spans="1:21" ht="14.4" customHeight="1" x14ac:dyDescent="0.3">
      <c r="A332" s="794">
        <v>31</v>
      </c>
      <c r="B332" s="795" t="s">
        <v>592</v>
      </c>
      <c r="C332" s="795" t="s">
        <v>1513</v>
      </c>
      <c r="D332" s="796" t="s">
        <v>2055</v>
      </c>
      <c r="E332" s="797" t="s">
        <v>1530</v>
      </c>
      <c r="F332" s="795" t="s">
        <v>1508</v>
      </c>
      <c r="G332" s="795" t="s">
        <v>1704</v>
      </c>
      <c r="H332" s="795" t="s">
        <v>593</v>
      </c>
      <c r="I332" s="795" t="s">
        <v>1907</v>
      </c>
      <c r="J332" s="795" t="s">
        <v>1706</v>
      </c>
      <c r="K332" s="795" t="s">
        <v>1908</v>
      </c>
      <c r="L332" s="798">
        <v>182.22</v>
      </c>
      <c r="M332" s="798">
        <v>182.22</v>
      </c>
      <c r="N332" s="795">
        <v>1</v>
      </c>
      <c r="O332" s="799">
        <v>1</v>
      </c>
      <c r="P332" s="798"/>
      <c r="Q332" s="800">
        <v>0</v>
      </c>
      <c r="R332" s="795"/>
      <c r="S332" s="800">
        <v>0</v>
      </c>
      <c r="T332" s="799"/>
      <c r="U332" s="801">
        <v>0</v>
      </c>
    </row>
    <row r="333" spans="1:21" ht="14.4" customHeight="1" x14ac:dyDescent="0.3">
      <c r="A333" s="794">
        <v>31</v>
      </c>
      <c r="B333" s="795" t="s">
        <v>592</v>
      </c>
      <c r="C333" s="795" t="s">
        <v>1513</v>
      </c>
      <c r="D333" s="796" t="s">
        <v>2055</v>
      </c>
      <c r="E333" s="797" t="s">
        <v>1530</v>
      </c>
      <c r="F333" s="795" t="s">
        <v>1508</v>
      </c>
      <c r="G333" s="795" t="s">
        <v>1638</v>
      </c>
      <c r="H333" s="795" t="s">
        <v>593</v>
      </c>
      <c r="I333" s="795" t="s">
        <v>1639</v>
      </c>
      <c r="J333" s="795" t="s">
        <v>1640</v>
      </c>
      <c r="K333" s="795" t="s">
        <v>1641</v>
      </c>
      <c r="L333" s="798">
        <v>0</v>
      </c>
      <c r="M333" s="798">
        <v>0</v>
      </c>
      <c r="N333" s="795">
        <v>1</v>
      </c>
      <c r="O333" s="799">
        <v>0.5</v>
      </c>
      <c r="P333" s="798"/>
      <c r="Q333" s="800"/>
      <c r="R333" s="795"/>
      <c r="S333" s="800">
        <v>0</v>
      </c>
      <c r="T333" s="799"/>
      <c r="U333" s="801">
        <v>0</v>
      </c>
    </row>
    <row r="334" spans="1:21" ht="14.4" customHeight="1" x14ac:dyDescent="0.3">
      <c r="A334" s="794">
        <v>31</v>
      </c>
      <c r="B334" s="795" t="s">
        <v>592</v>
      </c>
      <c r="C334" s="795" t="s">
        <v>1513</v>
      </c>
      <c r="D334" s="796" t="s">
        <v>2055</v>
      </c>
      <c r="E334" s="797" t="s">
        <v>1530</v>
      </c>
      <c r="F334" s="795" t="s">
        <v>1508</v>
      </c>
      <c r="G334" s="795" t="s">
        <v>1537</v>
      </c>
      <c r="H334" s="795" t="s">
        <v>593</v>
      </c>
      <c r="I334" s="795" t="s">
        <v>1686</v>
      </c>
      <c r="J334" s="795" t="s">
        <v>748</v>
      </c>
      <c r="K334" s="795" t="s">
        <v>1687</v>
      </c>
      <c r="L334" s="798">
        <v>0</v>
      </c>
      <c r="M334" s="798">
        <v>0</v>
      </c>
      <c r="N334" s="795">
        <v>1</v>
      </c>
      <c r="O334" s="799">
        <v>0.5</v>
      </c>
      <c r="P334" s="798">
        <v>0</v>
      </c>
      <c r="Q334" s="800"/>
      <c r="R334" s="795">
        <v>1</v>
      </c>
      <c r="S334" s="800">
        <v>1</v>
      </c>
      <c r="T334" s="799">
        <v>0.5</v>
      </c>
      <c r="U334" s="801">
        <v>1</v>
      </c>
    </row>
    <row r="335" spans="1:21" ht="14.4" customHeight="1" x14ac:dyDescent="0.3">
      <c r="A335" s="794">
        <v>31</v>
      </c>
      <c r="B335" s="795" t="s">
        <v>592</v>
      </c>
      <c r="C335" s="795" t="s">
        <v>1513</v>
      </c>
      <c r="D335" s="796" t="s">
        <v>2055</v>
      </c>
      <c r="E335" s="797" t="s">
        <v>1530</v>
      </c>
      <c r="F335" s="795" t="s">
        <v>1508</v>
      </c>
      <c r="G335" s="795" t="s">
        <v>1718</v>
      </c>
      <c r="H335" s="795" t="s">
        <v>593</v>
      </c>
      <c r="I335" s="795" t="s">
        <v>1909</v>
      </c>
      <c r="J335" s="795" t="s">
        <v>904</v>
      </c>
      <c r="K335" s="795" t="s">
        <v>1454</v>
      </c>
      <c r="L335" s="798">
        <v>0</v>
      </c>
      <c r="M335" s="798">
        <v>0</v>
      </c>
      <c r="N335" s="795">
        <v>1</v>
      </c>
      <c r="O335" s="799">
        <v>0.5</v>
      </c>
      <c r="P335" s="798">
        <v>0</v>
      </c>
      <c r="Q335" s="800"/>
      <c r="R335" s="795">
        <v>1</v>
      </c>
      <c r="S335" s="800">
        <v>1</v>
      </c>
      <c r="T335" s="799">
        <v>0.5</v>
      </c>
      <c r="U335" s="801">
        <v>1</v>
      </c>
    </row>
    <row r="336" spans="1:21" ht="14.4" customHeight="1" x14ac:dyDescent="0.3">
      <c r="A336" s="794">
        <v>31</v>
      </c>
      <c r="B336" s="795" t="s">
        <v>592</v>
      </c>
      <c r="C336" s="795" t="s">
        <v>1513</v>
      </c>
      <c r="D336" s="796" t="s">
        <v>2055</v>
      </c>
      <c r="E336" s="797" t="s">
        <v>1530</v>
      </c>
      <c r="F336" s="795" t="s">
        <v>1508</v>
      </c>
      <c r="G336" s="795" t="s">
        <v>1539</v>
      </c>
      <c r="H336" s="795" t="s">
        <v>912</v>
      </c>
      <c r="I336" s="795" t="s">
        <v>1540</v>
      </c>
      <c r="J336" s="795" t="s">
        <v>977</v>
      </c>
      <c r="K336" s="795" t="s">
        <v>1414</v>
      </c>
      <c r="L336" s="798">
        <v>490.89</v>
      </c>
      <c r="M336" s="798">
        <v>4908.8999999999996</v>
      </c>
      <c r="N336" s="795">
        <v>10</v>
      </c>
      <c r="O336" s="799">
        <v>6</v>
      </c>
      <c r="P336" s="798">
        <v>3436.2299999999996</v>
      </c>
      <c r="Q336" s="800">
        <v>0.7</v>
      </c>
      <c r="R336" s="795">
        <v>7</v>
      </c>
      <c r="S336" s="800">
        <v>0.7</v>
      </c>
      <c r="T336" s="799">
        <v>4</v>
      </c>
      <c r="U336" s="801">
        <v>0.66666666666666663</v>
      </c>
    </row>
    <row r="337" spans="1:21" ht="14.4" customHeight="1" x14ac:dyDescent="0.3">
      <c r="A337" s="794">
        <v>31</v>
      </c>
      <c r="B337" s="795" t="s">
        <v>592</v>
      </c>
      <c r="C337" s="795" t="s">
        <v>1513</v>
      </c>
      <c r="D337" s="796" t="s">
        <v>2055</v>
      </c>
      <c r="E337" s="797" t="s">
        <v>1530</v>
      </c>
      <c r="F337" s="795" t="s">
        <v>1508</v>
      </c>
      <c r="G337" s="795" t="s">
        <v>1539</v>
      </c>
      <c r="H337" s="795" t="s">
        <v>912</v>
      </c>
      <c r="I337" s="795" t="s">
        <v>1552</v>
      </c>
      <c r="J337" s="795" t="s">
        <v>977</v>
      </c>
      <c r="K337" s="795" t="s">
        <v>1413</v>
      </c>
      <c r="L337" s="798">
        <v>736.33</v>
      </c>
      <c r="M337" s="798">
        <v>5154.3100000000004</v>
      </c>
      <c r="N337" s="795">
        <v>7</v>
      </c>
      <c r="O337" s="799">
        <v>3</v>
      </c>
      <c r="P337" s="798">
        <v>2208.9900000000002</v>
      </c>
      <c r="Q337" s="800">
        <v>0.4285714285714286</v>
      </c>
      <c r="R337" s="795">
        <v>3</v>
      </c>
      <c r="S337" s="800">
        <v>0.42857142857142855</v>
      </c>
      <c r="T337" s="799">
        <v>2</v>
      </c>
      <c r="U337" s="801">
        <v>0.66666666666666663</v>
      </c>
    </row>
    <row r="338" spans="1:21" ht="14.4" customHeight="1" x14ac:dyDescent="0.3">
      <c r="A338" s="794">
        <v>31</v>
      </c>
      <c r="B338" s="795" t="s">
        <v>592</v>
      </c>
      <c r="C338" s="795" t="s">
        <v>1513</v>
      </c>
      <c r="D338" s="796" t="s">
        <v>2055</v>
      </c>
      <c r="E338" s="797" t="s">
        <v>1530</v>
      </c>
      <c r="F338" s="795" t="s">
        <v>1508</v>
      </c>
      <c r="G338" s="795" t="s">
        <v>1828</v>
      </c>
      <c r="H338" s="795" t="s">
        <v>593</v>
      </c>
      <c r="I338" s="795" t="s">
        <v>1910</v>
      </c>
      <c r="J338" s="795" t="s">
        <v>907</v>
      </c>
      <c r="K338" s="795" t="s">
        <v>1830</v>
      </c>
      <c r="L338" s="798">
        <v>301.2</v>
      </c>
      <c r="M338" s="798">
        <v>301.2</v>
      </c>
      <c r="N338" s="795">
        <v>1</v>
      </c>
      <c r="O338" s="799">
        <v>0.5</v>
      </c>
      <c r="P338" s="798"/>
      <c r="Q338" s="800">
        <v>0</v>
      </c>
      <c r="R338" s="795"/>
      <c r="S338" s="800">
        <v>0</v>
      </c>
      <c r="T338" s="799"/>
      <c r="U338" s="801">
        <v>0</v>
      </c>
    </row>
    <row r="339" spans="1:21" ht="14.4" customHeight="1" x14ac:dyDescent="0.3">
      <c r="A339" s="794">
        <v>31</v>
      </c>
      <c r="B339" s="795" t="s">
        <v>592</v>
      </c>
      <c r="C339" s="795" t="s">
        <v>1513</v>
      </c>
      <c r="D339" s="796" t="s">
        <v>2055</v>
      </c>
      <c r="E339" s="797" t="s">
        <v>1530</v>
      </c>
      <c r="F339" s="795" t="s">
        <v>1508</v>
      </c>
      <c r="G339" s="795" t="s">
        <v>1749</v>
      </c>
      <c r="H339" s="795" t="s">
        <v>593</v>
      </c>
      <c r="I339" s="795" t="s">
        <v>874</v>
      </c>
      <c r="J339" s="795" t="s">
        <v>875</v>
      </c>
      <c r="K339" s="795" t="s">
        <v>1750</v>
      </c>
      <c r="L339" s="798">
        <v>108.44</v>
      </c>
      <c r="M339" s="798">
        <v>108.44</v>
      </c>
      <c r="N339" s="795">
        <v>1</v>
      </c>
      <c r="O339" s="799">
        <v>1</v>
      </c>
      <c r="P339" s="798">
        <v>108.44</v>
      </c>
      <c r="Q339" s="800">
        <v>1</v>
      </c>
      <c r="R339" s="795">
        <v>1</v>
      </c>
      <c r="S339" s="800">
        <v>1</v>
      </c>
      <c r="T339" s="799">
        <v>1</v>
      </c>
      <c r="U339" s="801">
        <v>1</v>
      </c>
    </row>
    <row r="340" spans="1:21" ht="14.4" customHeight="1" x14ac:dyDescent="0.3">
      <c r="A340" s="794">
        <v>31</v>
      </c>
      <c r="B340" s="795" t="s">
        <v>592</v>
      </c>
      <c r="C340" s="795" t="s">
        <v>1513</v>
      </c>
      <c r="D340" s="796" t="s">
        <v>2055</v>
      </c>
      <c r="E340" s="797" t="s">
        <v>1530</v>
      </c>
      <c r="F340" s="795" t="s">
        <v>1508</v>
      </c>
      <c r="G340" s="795" t="s">
        <v>1541</v>
      </c>
      <c r="H340" s="795" t="s">
        <v>912</v>
      </c>
      <c r="I340" s="795" t="s">
        <v>929</v>
      </c>
      <c r="J340" s="795" t="s">
        <v>1453</v>
      </c>
      <c r="K340" s="795" t="s">
        <v>1454</v>
      </c>
      <c r="L340" s="798">
        <v>0</v>
      </c>
      <c r="M340" s="798">
        <v>0</v>
      </c>
      <c r="N340" s="795">
        <v>2</v>
      </c>
      <c r="O340" s="799">
        <v>1</v>
      </c>
      <c r="P340" s="798">
        <v>0</v>
      </c>
      <c r="Q340" s="800"/>
      <c r="R340" s="795">
        <v>2</v>
      </c>
      <c r="S340" s="800">
        <v>1</v>
      </c>
      <c r="T340" s="799">
        <v>1</v>
      </c>
      <c r="U340" s="801">
        <v>1</v>
      </c>
    </row>
    <row r="341" spans="1:21" ht="14.4" customHeight="1" x14ac:dyDescent="0.3">
      <c r="A341" s="794">
        <v>31</v>
      </c>
      <c r="B341" s="795" t="s">
        <v>592</v>
      </c>
      <c r="C341" s="795" t="s">
        <v>1513</v>
      </c>
      <c r="D341" s="796" t="s">
        <v>2055</v>
      </c>
      <c r="E341" s="797" t="s">
        <v>1530</v>
      </c>
      <c r="F341" s="795" t="s">
        <v>1508</v>
      </c>
      <c r="G341" s="795" t="s">
        <v>1542</v>
      </c>
      <c r="H341" s="795" t="s">
        <v>593</v>
      </c>
      <c r="I341" s="795" t="s">
        <v>1020</v>
      </c>
      <c r="J341" s="795" t="s">
        <v>1017</v>
      </c>
      <c r="K341" s="795" t="s">
        <v>1543</v>
      </c>
      <c r="L341" s="798">
        <v>186.27</v>
      </c>
      <c r="M341" s="798">
        <v>186.27</v>
      </c>
      <c r="N341" s="795">
        <v>1</v>
      </c>
      <c r="O341" s="799">
        <v>1</v>
      </c>
      <c r="P341" s="798">
        <v>186.27</v>
      </c>
      <c r="Q341" s="800">
        <v>1</v>
      </c>
      <c r="R341" s="795">
        <v>1</v>
      </c>
      <c r="S341" s="800">
        <v>1</v>
      </c>
      <c r="T341" s="799">
        <v>1</v>
      </c>
      <c r="U341" s="801">
        <v>1</v>
      </c>
    </row>
    <row r="342" spans="1:21" ht="14.4" customHeight="1" x14ac:dyDescent="0.3">
      <c r="A342" s="794">
        <v>31</v>
      </c>
      <c r="B342" s="795" t="s">
        <v>592</v>
      </c>
      <c r="C342" s="795" t="s">
        <v>1513</v>
      </c>
      <c r="D342" s="796" t="s">
        <v>2055</v>
      </c>
      <c r="E342" s="797" t="s">
        <v>1530</v>
      </c>
      <c r="F342" s="795" t="s">
        <v>1508</v>
      </c>
      <c r="G342" s="795" t="s">
        <v>1865</v>
      </c>
      <c r="H342" s="795" t="s">
        <v>593</v>
      </c>
      <c r="I342" s="795" t="s">
        <v>1911</v>
      </c>
      <c r="J342" s="795" t="s">
        <v>1912</v>
      </c>
      <c r="K342" s="795" t="s">
        <v>1913</v>
      </c>
      <c r="L342" s="798">
        <v>93.96</v>
      </c>
      <c r="M342" s="798">
        <v>93.96</v>
      </c>
      <c r="N342" s="795">
        <v>1</v>
      </c>
      <c r="O342" s="799">
        <v>1</v>
      </c>
      <c r="P342" s="798">
        <v>93.96</v>
      </c>
      <c r="Q342" s="800">
        <v>1</v>
      </c>
      <c r="R342" s="795">
        <v>1</v>
      </c>
      <c r="S342" s="800">
        <v>1</v>
      </c>
      <c r="T342" s="799">
        <v>1</v>
      </c>
      <c r="U342" s="801">
        <v>1</v>
      </c>
    </row>
    <row r="343" spans="1:21" ht="14.4" customHeight="1" x14ac:dyDescent="0.3">
      <c r="A343" s="794">
        <v>31</v>
      </c>
      <c r="B343" s="795" t="s">
        <v>592</v>
      </c>
      <c r="C343" s="795" t="s">
        <v>1513</v>
      </c>
      <c r="D343" s="796" t="s">
        <v>2055</v>
      </c>
      <c r="E343" s="797" t="s">
        <v>1530</v>
      </c>
      <c r="F343" s="795" t="s">
        <v>1508</v>
      </c>
      <c r="G343" s="795" t="s">
        <v>1865</v>
      </c>
      <c r="H343" s="795" t="s">
        <v>593</v>
      </c>
      <c r="I343" s="795" t="s">
        <v>1914</v>
      </c>
      <c r="J343" s="795" t="s">
        <v>1912</v>
      </c>
      <c r="K343" s="795" t="s">
        <v>1915</v>
      </c>
      <c r="L343" s="798">
        <v>156.61000000000001</v>
      </c>
      <c r="M343" s="798">
        <v>156.61000000000001</v>
      </c>
      <c r="N343" s="795">
        <v>1</v>
      </c>
      <c r="O343" s="799">
        <v>1</v>
      </c>
      <c r="P343" s="798">
        <v>156.61000000000001</v>
      </c>
      <c r="Q343" s="800">
        <v>1</v>
      </c>
      <c r="R343" s="795">
        <v>1</v>
      </c>
      <c r="S343" s="800">
        <v>1</v>
      </c>
      <c r="T343" s="799">
        <v>1</v>
      </c>
      <c r="U343" s="801">
        <v>1</v>
      </c>
    </row>
    <row r="344" spans="1:21" ht="14.4" customHeight="1" x14ac:dyDescent="0.3">
      <c r="A344" s="794">
        <v>31</v>
      </c>
      <c r="B344" s="795" t="s">
        <v>592</v>
      </c>
      <c r="C344" s="795" t="s">
        <v>1513</v>
      </c>
      <c r="D344" s="796" t="s">
        <v>2055</v>
      </c>
      <c r="E344" s="797" t="s">
        <v>1530</v>
      </c>
      <c r="F344" s="795" t="s">
        <v>1508</v>
      </c>
      <c r="G344" s="795" t="s">
        <v>1865</v>
      </c>
      <c r="H344" s="795" t="s">
        <v>593</v>
      </c>
      <c r="I344" s="795" t="s">
        <v>1916</v>
      </c>
      <c r="J344" s="795" t="s">
        <v>1917</v>
      </c>
      <c r="K344" s="795" t="s">
        <v>1918</v>
      </c>
      <c r="L344" s="798">
        <v>0</v>
      </c>
      <c r="M344" s="798">
        <v>0</v>
      </c>
      <c r="N344" s="795">
        <v>1</v>
      </c>
      <c r="O344" s="799">
        <v>0.5</v>
      </c>
      <c r="P344" s="798">
        <v>0</v>
      </c>
      <c r="Q344" s="800"/>
      <c r="R344" s="795">
        <v>1</v>
      </c>
      <c r="S344" s="800">
        <v>1</v>
      </c>
      <c r="T344" s="799">
        <v>0.5</v>
      </c>
      <c r="U344" s="801">
        <v>1</v>
      </c>
    </row>
    <row r="345" spans="1:21" ht="14.4" customHeight="1" x14ac:dyDescent="0.3">
      <c r="A345" s="794">
        <v>31</v>
      </c>
      <c r="B345" s="795" t="s">
        <v>592</v>
      </c>
      <c r="C345" s="795" t="s">
        <v>1513</v>
      </c>
      <c r="D345" s="796" t="s">
        <v>2055</v>
      </c>
      <c r="E345" s="797" t="s">
        <v>1530</v>
      </c>
      <c r="F345" s="795" t="s">
        <v>1508</v>
      </c>
      <c r="G345" s="795" t="s">
        <v>1774</v>
      </c>
      <c r="H345" s="795" t="s">
        <v>593</v>
      </c>
      <c r="I345" s="795" t="s">
        <v>1777</v>
      </c>
      <c r="J345" s="795" t="s">
        <v>1776</v>
      </c>
      <c r="K345" s="795" t="s">
        <v>1462</v>
      </c>
      <c r="L345" s="798">
        <v>0</v>
      </c>
      <c r="M345" s="798">
        <v>0</v>
      </c>
      <c r="N345" s="795">
        <v>2</v>
      </c>
      <c r="O345" s="799">
        <v>1</v>
      </c>
      <c r="P345" s="798">
        <v>0</v>
      </c>
      <c r="Q345" s="800"/>
      <c r="R345" s="795">
        <v>2</v>
      </c>
      <c r="S345" s="800">
        <v>1</v>
      </c>
      <c r="T345" s="799">
        <v>1</v>
      </c>
      <c r="U345" s="801">
        <v>1</v>
      </c>
    </row>
    <row r="346" spans="1:21" ht="14.4" customHeight="1" x14ac:dyDescent="0.3">
      <c r="A346" s="794">
        <v>31</v>
      </c>
      <c r="B346" s="795" t="s">
        <v>592</v>
      </c>
      <c r="C346" s="795" t="s">
        <v>1513</v>
      </c>
      <c r="D346" s="796" t="s">
        <v>2055</v>
      </c>
      <c r="E346" s="797" t="s">
        <v>1530</v>
      </c>
      <c r="F346" s="795" t="s">
        <v>1508</v>
      </c>
      <c r="G346" s="795" t="s">
        <v>1544</v>
      </c>
      <c r="H346" s="795" t="s">
        <v>593</v>
      </c>
      <c r="I346" s="795" t="s">
        <v>1545</v>
      </c>
      <c r="J346" s="795" t="s">
        <v>1546</v>
      </c>
      <c r="K346" s="795" t="s">
        <v>1547</v>
      </c>
      <c r="L346" s="798">
        <v>50.32</v>
      </c>
      <c r="M346" s="798">
        <v>100.64</v>
      </c>
      <c r="N346" s="795">
        <v>2</v>
      </c>
      <c r="O346" s="799">
        <v>2</v>
      </c>
      <c r="P346" s="798">
        <v>50.32</v>
      </c>
      <c r="Q346" s="800">
        <v>0.5</v>
      </c>
      <c r="R346" s="795">
        <v>1</v>
      </c>
      <c r="S346" s="800">
        <v>0.5</v>
      </c>
      <c r="T346" s="799">
        <v>1</v>
      </c>
      <c r="U346" s="801">
        <v>0.5</v>
      </c>
    </row>
    <row r="347" spans="1:21" ht="14.4" customHeight="1" x14ac:dyDescent="0.3">
      <c r="A347" s="794">
        <v>31</v>
      </c>
      <c r="B347" s="795" t="s">
        <v>592</v>
      </c>
      <c r="C347" s="795" t="s">
        <v>1513</v>
      </c>
      <c r="D347" s="796" t="s">
        <v>2055</v>
      </c>
      <c r="E347" s="797" t="s">
        <v>1530</v>
      </c>
      <c r="F347" s="795" t="s">
        <v>1508</v>
      </c>
      <c r="G347" s="795" t="s">
        <v>1544</v>
      </c>
      <c r="H347" s="795" t="s">
        <v>593</v>
      </c>
      <c r="I347" s="795" t="s">
        <v>881</v>
      </c>
      <c r="J347" s="795" t="s">
        <v>1546</v>
      </c>
      <c r="K347" s="795" t="s">
        <v>1669</v>
      </c>
      <c r="L347" s="798">
        <v>99.94</v>
      </c>
      <c r="M347" s="798">
        <v>99.94</v>
      </c>
      <c r="N347" s="795">
        <v>1</v>
      </c>
      <c r="O347" s="799">
        <v>1</v>
      </c>
      <c r="P347" s="798">
        <v>99.94</v>
      </c>
      <c r="Q347" s="800">
        <v>1</v>
      </c>
      <c r="R347" s="795">
        <v>1</v>
      </c>
      <c r="S347" s="800">
        <v>1</v>
      </c>
      <c r="T347" s="799">
        <v>1</v>
      </c>
      <c r="U347" s="801">
        <v>1</v>
      </c>
    </row>
    <row r="348" spans="1:21" ht="14.4" customHeight="1" x14ac:dyDescent="0.3">
      <c r="A348" s="794">
        <v>31</v>
      </c>
      <c r="B348" s="795" t="s">
        <v>592</v>
      </c>
      <c r="C348" s="795" t="s">
        <v>1513</v>
      </c>
      <c r="D348" s="796" t="s">
        <v>2055</v>
      </c>
      <c r="E348" s="797" t="s">
        <v>1530</v>
      </c>
      <c r="F348" s="795" t="s">
        <v>1508</v>
      </c>
      <c r="G348" s="795" t="s">
        <v>1544</v>
      </c>
      <c r="H348" s="795" t="s">
        <v>593</v>
      </c>
      <c r="I348" s="795" t="s">
        <v>1919</v>
      </c>
      <c r="J348" s="795" t="s">
        <v>1546</v>
      </c>
      <c r="K348" s="795" t="s">
        <v>1920</v>
      </c>
      <c r="L348" s="798">
        <v>299.83999999999997</v>
      </c>
      <c r="M348" s="798">
        <v>299.83999999999997</v>
      </c>
      <c r="N348" s="795">
        <v>1</v>
      </c>
      <c r="O348" s="799">
        <v>1</v>
      </c>
      <c r="P348" s="798">
        <v>299.83999999999997</v>
      </c>
      <c r="Q348" s="800">
        <v>1</v>
      </c>
      <c r="R348" s="795">
        <v>1</v>
      </c>
      <c r="S348" s="800">
        <v>1</v>
      </c>
      <c r="T348" s="799">
        <v>1</v>
      </c>
      <c r="U348" s="801">
        <v>1</v>
      </c>
    </row>
    <row r="349" spans="1:21" ht="14.4" customHeight="1" x14ac:dyDescent="0.3">
      <c r="A349" s="794">
        <v>31</v>
      </c>
      <c r="B349" s="795" t="s">
        <v>592</v>
      </c>
      <c r="C349" s="795" t="s">
        <v>1513</v>
      </c>
      <c r="D349" s="796" t="s">
        <v>2055</v>
      </c>
      <c r="E349" s="797" t="s">
        <v>1530</v>
      </c>
      <c r="F349" s="795" t="s">
        <v>1510</v>
      </c>
      <c r="G349" s="795" t="s">
        <v>1589</v>
      </c>
      <c r="H349" s="795" t="s">
        <v>593</v>
      </c>
      <c r="I349" s="795" t="s">
        <v>1590</v>
      </c>
      <c r="J349" s="795" t="s">
        <v>1591</v>
      </c>
      <c r="K349" s="795" t="s">
        <v>1592</v>
      </c>
      <c r="L349" s="798">
        <v>3000</v>
      </c>
      <c r="M349" s="798">
        <v>3000</v>
      </c>
      <c r="N349" s="795">
        <v>1</v>
      </c>
      <c r="O349" s="799">
        <v>1</v>
      </c>
      <c r="P349" s="798">
        <v>3000</v>
      </c>
      <c r="Q349" s="800">
        <v>1</v>
      </c>
      <c r="R349" s="795">
        <v>1</v>
      </c>
      <c r="S349" s="800">
        <v>1</v>
      </c>
      <c r="T349" s="799">
        <v>1</v>
      </c>
      <c r="U349" s="801">
        <v>1</v>
      </c>
    </row>
    <row r="350" spans="1:21" ht="14.4" customHeight="1" x14ac:dyDescent="0.3">
      <c r="A350" s="794">
        <v>31</v>
      </c>
      <c r="B350" s="795" t="s">
        <v>592</v>
      </c>
      <c r="C350" s="795" t="s">
        <v>1513</v>
      </c>
      <c r="D350" s="796" t="s">
        <v>2055</v>
      </c>
      <c r="E350" s="797" t="s">
        <v>1530</v>
      </c>
      <c r="F350" s="795" t="s">
        <v>1510</v>
      </c>
      <c r="G350" s="795" t="s">
        <v>1589</v>
      </c>
      <c r="H350" s="795" t="s">
        <v>593</v>
      </c>
      <c r="I350" s="795" t="s">
        <v>1599</v>
      </c>
      <c r="J350" s="795" t="s">
        <v>1600</v>
      </c>
      <c r="K350" s="795" t="s">
        <v>1601</v>
      </c>
      <c r="L350" s="798">
        <v>347.81</v>
      </c>
      <c r="M350" s="798">
        <v>347.81</v>
      </c>
      <c r="N350" s="795">
        <v>1</v>
      </c>
      <c r="O350" s="799">
        <v>1</v>
      </c>
      <c r="P350" s="798">
        <v>347.81</v>
      </c>
      <c r="Q350" s="800">
        <v>1</v>
      </c>
      <c r="R350" s="795">
        <v>1</v>
      </c>
      <c r="S350" s="800">
        <v>1</v>
      </c>
      <c r="T350" s="799">
        <v>1</v>
      </c>
      <c r="U350" s="801">
        <v>1</v>
      </c>
    </row>
    <row r="351" spans="1:21" ht="14.4" customHeight="1" x14ac:dyDescent="0.3">
      <c r="A351" s="794">
        <v>31</v>
      </c>
      <c r="B351" s="795" t="s">
        <v>592</v>
      </c>
      <c r="C351" s="795" t="s">
        <v>1513</v>
      </c>
      <c r="D351" s="796" t="s">
        <v>2055</v>
      </c>
      <c r="E351" s="797" t="s">
        <v>1530</v>
      </c>
      <c r="F351" s="795" t="s">
        <v>1510</v>
      </c>
      <c r="G351" s="795" t="s">
        <v>1589</v>
      </c>
      <c r="H351" s="795" t="s">
        <v>593</v>
      </c>
      <c r="I351" s="795" t="s">
        <v>1921</v>
      </c>
      <c r="J351" s="795" t="s">
        <v>1922</v>
      </c>
      <c r="K351" s="795"/>
      <c r="L351" s="798">
        <v>80.349999999999994</v>
      </c>
      <c r="M351" s="798">
        <v>80.349999999999994</v>
      </c>
      <c r="N351" s="795">
        <v>1</v>
      </c>
      <c r="O351" s="799">
        <v>1</v>
      </c>
      <c r="P351" s="798">
        <v>80.349999999999994</v>
      </c>
      <c r="Q351" s="800">
        <v>1</v>
      </c>
      <c r="R351" s="795">
        <v>1</v>
      </c>
      <c r="S351" s="800">
        <v>1</v>
      </c>
      <c r="T351" s="799">
        <v>1</v>
      </c>
      <c r="U351" s="801">
        <v>1</v>
      </c>
    </row>
    <row r="352" spans="1:21" ht="14.4" customHeight="1" x14ac:dyDescent="0.3">
      <c r="A352" s="794">
        <v>31</v>
      </c>
      <c r="B352" s="795" t="s">
        <v>592</v>
      </c>
      <c r="C352" s="795" t="s">
        <v>1513</v>
      </c>
      <c r="D352" s="796" t="s">
        <v>2055</v>
      </c>
      <c r="E352" s="797" t="s">
        <v>1530</v>
      </c>
      <c r="F352" s="795" t="s">
        <v>1510</v>
      </c>
      <c r="G352" s="795" t="s">
        <v>1589</v>
      </c>
      <c r="H352" s="795" t="s">
        <v>593</v>
      </c>
      <c r="I352" s="795" t="s">
        <v>1605</v>
      </c>
      <c r="J352" s="795" t="s">
        <v>1606</v>
      </c>
      <c r="K352" s="795" t="s">
        <v>1607</v>
      </c>
      <c r="L352" s="798">
        <v>350</v>
      </c>
      <c r="M352" s="798">
        <v>700</v>
      </c>
      <c r="N352" s="795">
        <v>2</v>
      </c>
      <c r="O352" s="799">
        <v>2</v>
      </c>
      <c r="P352" s="798">
        <v>700</v>
      </c>
      <c r="Q352" s="800">
        <v>1</v>
      </c>
      <c r="R352" s="795">
        <v>2</v>
      </c>
      <c r="S352" s="800">
        <v>1</v>
      </c>
      <c r="T352" s="799">
        <v>2</v>
      </c>
      <c r="U352" s="801">
        <v>1</v>
      </c>
    </row>
    <row r="353" spans="1:21" ht="14.4" customHeight="1" x14ac:dyDescent="0.3">
      <c r="A353" s="794">
        <v>31</v>
      </c>
      <c r="B353" s="795" t="s">
        <v>592</v>
      </c>
      <c r="C353" s="795" t="s">
        <v>1513</v>
      </c>
      <c r="D353" s="796" t="s">
        <v>2055</v>
      </c>
      <c r="E353" s="797" t="s">
        <v>1530</v>
      </c>
      <c r="F353" s="795" t="s">
        <v>1510</v>
      </c>
      <c r="G353" s="795" t="s">
        <v>1589</v>
      </c>
      <c r="H353" s="795" t="s">
        <v>593</v>
      </c>
      <c r="I353" s="795" t="s">
        <v>1661</v>
      </c>
      <c r="J353" s="795" t="s">
        <v>1656</v>
      </c>
      <c r="K353" s="795" t="s">
        <v>1662</v>
      </c>
      <c r="L353" s="798">
        <v>58.5</v>
      </c>
      <c r="M353" s="798">
        <v>58.5</v>
      </c>
      <c r="N353" s="795">
        <v>1</v>
      </c>
      <c r="O353" s="799">
        <v>1</v>
      </c>
      <c r="P353" s="798">
        <v>58.5</v>
      </c>
      <c r="Q353" s="800">
        <v>1</v>
      </c>
      <c r="R353" s="795">
        <v>1</v>
      </c>
      <c r="S353" s="800">
        <v>1</v>
      </c>
      <c r="T353" s="799">
        <v>1</v>
      </c>
      <c r="U353" s="801">
        <v>1</v>
      </c>
    </row>
    <row r="354" spans="1:21" ht="14.4" customHeight="1" x14ac:dyDescent="0.3">
      <c r="A354" s="794">
        <v>31</v>
      </c>
      <c r="B354" s="795" t="s">
        <v>592</v>
      </c>
      <c r="C354" s="795" t="s">
        <v>1513</v>
      </c>
      <c r="D354" s="796" t="s">
        <v>2055</v>
      </c>
      <c r="E354" s="797" t="s">
        <v>1530</v>
      </c>
      <c r="F354" s="795" t="s">
        <v>1510</v>
      </c>
      <c r="G354" s="795" t="s">
        <v>1589</v>
      </c>
      <c r="H354" s="795" t="s">
        <v>593</v>
      </c>
      <c r="I354" s="795" t="s">
        <v>1923</v>
      </c>
      <c r="J354" s="795" t="s">
        <v>1924</v>
      </c>
      <c r="K354" s="795" t="s">
        <v>1925</v>
      </c>
      <c r="L354" s="798">
        <v>750</v>
      </c>
      <c r="M354" s="798">
        <v>750</v>
      </c>
      <c r="N354" s="795">
        <v>1</v>
      </c>
      <c r="O354" s="799">
        <v>1</v>
      </c>
      <c r="P354" s="798"/>
      <c r="Q354" s="800">
        <v>0</v>
      </c>
      <c r="R354" s="795"/>
      <c r="S354" s="800">
        <v>0</v>
      </c>
      <c r="T354" s="799"/>
      <c r="U354" s="801">
        <v>0</v>
      </c>
    </row>
    <row r="355" spans="1:21" ht="14.4" customHeight="1" x14ac:dyDescent="0.3">
      <c r="A355" s="794">
        <v>31</v>
      </c>
      <c r="B355" s="795" t="s">
        <v>592</v>
      </c>
      <c r="C355" s="795" t="s">
        <v>1513</v>
      </c>
      <c r="D355" s="796" t="s">
        <v>2055</v>
      </c>
      <c r="E355" s="797" t="s">
        <v>1530</v>
      </c>
      <c r="F355" s="795" t="s">
        <v>1510</v>
      </c>
      <c r="G355" s="795" t="s">
        <v>1617</v>
      </c>
      <c r="H355" s="795" t="s">
        <v>593</v>
      </c>
      <c r="I355" s="795" t="s">
        <v>1618</v>
      </c>
      <c r="J355" s="795" t="s">
        <v>1619</v>
      </c>
      <c r="K355" s="795" t="s">
        <v>1620</v>
      </c>
      <c r="L355" s="798">
        <v>260</v>
      </c>
      <c r="M355" s="798">
        <v>1040</v>
      </c>
      <c r="N355" s="795">
        <v>4</v>
      </c>
      <c r="O355" s="799">
        <v>2</v>
      </c>
      <c r="P355" s="798">
        <v>1040</v>
      </c>
      <c r="Q355" s="800">
        <v>1</v>
      </c>
      <c r="R355" s="795">
        <v>4</v>
      </c>
      <c r="S355" s="800">
        <v>1</v>
      </c>
      <c r="T355" s="799">
        <v>2</v>
      </c>
      <c r="U355" s="801">
        <v>1</v>
      </c>
    </row>
    <row r="356" spans="1:21" ht="14.4" customHeight="1" x14ac:dyDescent="0.3">
      <c r="A356" s="794">
        <v>31</v>
      </c>
      <c r="B356" s="795" t="s">
        <v>592</v>
      </c>
      <c r="C356" s="795" t="s">
        <v>1513</v>
      </c>
      <c r="D356" s="796" t="s">
        <v>2055</v>
      </c>
      <c r="E356" s="797" t="s">
        <v>1531</v>
      </c>
      <c r="F356" s="795" t="s">
        <v>1508</v>
      </c>
      <c r="G356" s="795" t="s">
        <v>1926</v>
      </c>
      <c r="H356" s="795" t="s">
        <v>593</v>
      </c>
      <c r="I356" s="795" t="s">
        <v>1927</v>
      </c>
      <c r="J356" s="795" t="s">
        <v>1928</v>
      </c>
      <c r="K356" s="795" t="s">
        <v>1929</v>
      </c>
      <c r="L356" s="798">
        <v>0</v>
      </c>
      <c r="M356" s="798">
        <v>0</v>
      </c>
      <c r="N356" s="795">
        <v>2</v>
      </c>
      <c r="O356" s="799">
        <v>1.5</v>
      </c>
      <c r="P356" s="798">
        <v>0</v>
      </c>
      <c r="Q356" s="800"/>
      <c r="R356" s="795">
        <v>2</v>
      </c>
      <c r="S356" s="800">
        <v>1</v>
      </c>
      <c r="T356" s="799">
        <v>1.5</v>
      </c>
      <c r="U356" s="801">
        <v>1</v>
      </c>
    </row>
    <row r="357" spans="1:21" ht="14.4" customHeight="1" x14ac:dyDescent="0.3">
      <c r="A357" s="794">
        <v>31</v>
      </c>
      <c r="B357" s="795" t="s">
        <v>592</v>
      </c>
      <c r="C357" s="795" t="s">
        <v>1513</v>
      </c>
      <c r="D357" s="796" t="s">
        <v>2055</v>
      </c>
      <c r="E357" s="797" t="s">
        <v>1531</v>
      </c>
      <c r="F357" s="795" t="s">
        <v>1508</v>
      </c>
      <c r="G357" s="795" t="s">
        <v>1930</v>
      </c>
      <c r="H357" s="795" t="s">
        <v>593</v>
      </c>
      <c r="I357" s="795" t="s">
        <v>1931</v>
      </c>
      <c r="J357" s="795" t="s">
        <v>1094</v>
      </c>
      <c r="K357" s="795" t="s">
        <v>1932</v>
      </c>
      <c r="L357" s="798">
        <v>0</v>
      </c>
      <c r="M357" s="798">
        <v>0</v>
      </c>
      <c r="N357" s="795">
        <v>1</v>
      </c>
      <c r="O357" s="799">
        <v>0.5</v>
      </c>
      <c r="P357" s="798">
        <v>0</v>
      </c>
      <c r="Q357" s="800"/>
      <c r="R357" s="795">
        <v>1</v>
      </c>
      <c r="S357" s="800">
        <v>1</v>
      </c>
      <c r="T357" s="799">
        <v>0.5</v>
      </c>
      <c r="U357" s="801">
        <v>1</v>
      </c>
    </row>
    <row r="358" spans="1:21" ht="14.4" customHeight="1" x14ac:dyDescent="0.3">
      <c r="A358" s="794">
        <v>31</v>
      </c>
      <c r="B358" s="795" t="s">
        <v>592</v>
      </c>
      <c r="C358" s="795" t="s">
        <v>1513</v>
      </c>
      <c r="D358" s="796" t="s">
        <v>2055</v>
      </c>
      <c r="E358" s="797" t="s">
        <v>1531</v>
      </c>
      <c r="F358" s="795" t="s">
        <v>1508</v>
      </c>
      <c r="G358" s="795" t="s">
        <v>1553</v>
      </c>
      <c r="H358" s="795" t="s">
        <v>912</v>
      </c>
      <c r="I358" s="795" t="s">
        <v>1064</v>
      </c>
      <c r="J358" s="795" t="s">
        <v>971</v>
      </c>
      <c r="K358" s="795" t="s">
        <v>1437</v>
      </c>
      <c r="L358" s="798">
        <v>154.36000000000001</v>
      </c>
      <c r="M358" s="798">
        <v>154.36000000000001</v>
      </c>
      <c r="N358" s="795">
        <v>1</v>
      </c>
      <c r="O358" s="799">
        <v>1</v>
      </c>
      <c r="P358" s="798"/>
      <c r="Q358" s="800">
        <v>0</v>
      </c>
      <c r="R358" s="795"/>
      <c r="S358" s="800">
        <v>0</v>
      </c>
      <c r="T358" s="799"/>
      <c r="U358" s="801">
        <v>0</v>
      </c>
    </row>
    <row r="359" spans="1:21" ht="14.4" customHeight="1" x14ac:dyDescent="0.3">
      <c r="A359" s="794">
        <v>31</v>
      </c>
      <c r="B359" s="795" t="s">
        <v>592</v>
      </c>
      <c r="C359" s="795" t="s">
        <v>1513</v>
      </c>
      <c r="D359" s="796" t="s">
        <v>2055</v>
      </c>
      <c r="E359" s="797" t="s">
        <v>1531</v>
      </c>
      <c r="F359" s="795" t="s">
        <v>1508</v>
      </c>
      <c r="G359" s="795" t="s">
        <v>1933</v>
      </c>
      <c r="H359" s="795" t="s">
        <v>593</v>
      </c>
      <c r="I359" s="795" t="s">
        <v>1934</v>
      </c>
      <c r="J359" s="795" t="s">
        <v>1935</v>
      </c>
      <c r="K359" s="795" t="s">
        <v>1936</v>
      </c>
      <c r="L359" s="798">
        <v>0</v>
      </c>
      <c r="M359" s="798">
        <v>0</v>
      </c>
      <c r="N359" s="795">
        <v>1</v>
      </c>
      <c r="O359" s="799">
        <v>0.5</v>
      </c>
      <c r="P359" s="798">
        <v>0</v>
      </c>
      <c r="Q359" s="800"/>
      <c r="R359" s="795">
        <v>1</v>
      </c>
      <c r="S359" s="800">
        <v>1</v>
      </c>
      <c r="T359" s="799">
        <v>0.5</v>
      </c>
      <c r="U359" s="801">
        <v>1</v>
      </c>
    </row>
    <row r="360" spans="1:21" ht="14.4" customHeight="1" x14ac:dyDescent="0.3">
      <c r="A360" s="794">
        <v>31</v>
      </c>
      <c r="B360" s="795" t="s">
        <v>592</v>
      </c>
      <c r="C360" s="795" t="s">
        <v>1513</v>
      </c>
      <c r="D360" s="796" t="s">
        <v>2055</v>
      </c>
      <c r="E360" s="797" t="s">
        <v>1531</v>
      </c>
      <c r="F360" s="795" t="s">
        <v>1508</v>
      </c>
      <c r="G360" s="795" t="s">
        <v>1784</v>
      </c>
      <c r="H360" s="795" t="s">
        <v>593</v>
      </c>
      <c r="I360" s="795" t="s">
        <v>1937</v>
      </c>
      <c r="J360" s="795" t="s">
        <v>1786</v>
      </c>
      <c r="K360" s="795" t="s">
        <v>1938</v>
      </c>
      <c r="L360" s="798">
        <v>0</v>
      </c>
      <c r="M360" s="798">
        <v>0</v>
      </c>
      <c r="N360" s="795">
        <v>1</v>
      </c>
      <c r="O360" s="799">
        <v>0.5</v>
      </c>
      <c r="P360" s="798">
        <v>0</v>
      </c>
      <c r="Q360" s="800"/>
      <c r="R360" s="795">
        <v>1</v>
      </c>
      <c r="S360" s="800">
        <v>1</v>
      </c>
      <c r="T360" s="799">
        <v>0.5</v>
      </c>
      <c r="U360" s="801">
        <v>1</v>
      </c>
    </row>
    <row r="361" spans="1:21" ht="14.4" customHeight="1" x14ac:dyDescent="0.3">
      <c r="A361" s="794">
        <v>31</v>
      </c>
      <c r="B361" s="795" t="s">
        <v>592</v>
      </c>
      <c r="C361" s="795" t="s">
        <v>1513</v>
      </c>
      <c r="D361" s="796" t="s">
        <v>2055</v>
      </c>
      <c r="E361" s="797" t="s">
        <v>1531</v>
      </c>
      <c r="F361" s="795" t="s">
        <v>1508</v>
      </c>
      <c r="G361" s="795" t="s">
        <v>1638</v>
      </c>
      <c r="H361" s="795" t="s">
        <v>593</v>
      </c>
      <c r="I361" s="795" t="s">
        <v>1639</v>
      </c>
      <c r="J361" s="795" t="s">
        <v>1640</v>
      </c>
      <c r="K361" s="795" t="s">
        <v>1641</v>
      </c>
      <c r="L361" s="798">
        <v>0</v>
      </c>
      <c r="M361" s="798">
        <v>0</v>
      </c>
      <c r="N361" s="795">
        <v>3</v>
      </c>
      <c r="O361" s="799">
        <v>1</v>
      </c>
      <c r="P361" s="798">
        <v>0</v>
      </c>
      <c r="Q361" s="800"/>
      <c r="R361" s="795">
        <v>2</v>
      </c>
      <c r="S361" s="800">
        <v>0.66666666666666663</v>
      </c>
      <c r="T361" s="799">
        <v>0.5</v>
      </c>
      <c r="U361" s="801">
        <v>0.5</v>
      </c>
    </row>
    <row r="362" spans="1:21" ht="14.4" customHeight="1" x14ac:dyDescent="0.3">
      <c r="A362" s="794">
        <v>31</v>
      </c>
      <c r="B362" s="795" t="s">
        <v>592</v>
      </c>
      <c r="C362" s="795" t="s">
        <v>1513</v>
      </c>
      <c r="D362" s="796" t="s">
        <v>2055</v>
      </c>
      <c r="E362" s="797" t="s">
        <v>1531</v>
      </c>
      <c r="F362" s="795" t="s">
        <v>1508</v>
      </c>
      <c r="G362" s="795" t="s">
        <v>1939</v>
      </c>
      <c r="H362" s="795" t="s">
        <v>593</v>
      </c>
      <c r="I362" s="795" t="s">
        <v>785</v>
      </c>
      <c r="J362" s="795" t="s">
        <v>786</v>
      </c>
      <c r="K362" s="795" t="s">
        <v>1940</v>
      </c>
      <c r="L362" s="798">
        <v>60.9</v>
      </c>
      <c r="M362" s="798">
        <v>182.7</v>
      </c>
      <c r="N362" s="795">
        <v>3</v>
      </c>
      <c r="O362" s="799">
        <v>1</v>
      </c>
      <c r="P362" s="798">
        <v>182.7</v>
      </c>
      <c r="Q362" s="800">
        <v>1</v>
      </c>
      <c r="R362" s="795">
        <v>3</v>
      </c>
      <c r="S362" s="800">
        <v>1</v>
      </c>
      <c r="T362" s="799">
        <v>1</v>
      </c>
      <c r="U362" s="801">
        <v>1</v>
      </c>
    </row>
    <row r="363" spans="1:21" ht="14.4" customHeight="1" x14ac:dyDescent="0.3">
      <c r="A363" s="794">
        <v>31</v>
      </c>
      <c r="B363" s="795" t="s">
        <v>592</v>
      </c>
      <c r="C363" s="795" t="s">
        <v>1513</v>
      </c>
      <c r="D363" s="796" t="s">
        <v>2055</v>
      </c>
      <c r="E363" s="797" t="s">
        <v>1531</v>
      </c>
      <c r="F363" s="795" t="s">
        <v>1508</v>
      </c>
      <c r="G363" s="795" t="s">
        <v>1684</v>
      </c>
      <c r="H363" s="795" t="s">
        <v>593</v>
      </c>
      <c r="I363" s="795" t="s">
        <v>1941</v>
      </c>
      <c r="J363" s="795" t="s">
        <v>1942</v>
      </c>
      <c r="K363" s="795" t="s">
        <v>1943</v>
      </c>
      <c r="L363" s="798">
        <v>89.91</v>
      </c>
      <c r="M363" s="798">
        <v>89.91</v>
      </c>
      <c r="N363" s="795">
        <v>1</v>
      </c>
      <c r="O363" s="799">
        <v>0.5</v>
      </c>
      <c r="P363" s="798">
        <v>89.91</v>
      </c>
      <c r="Q363" s="800">
        <v>1</v>
      </c>
      <c r="R363" s="795">
        <v>1</v>
      </c>
      <c r="S363" s="800">
        <v>1</v>
      </c>
      <c r="T363" s="799">
        <v>0.5</v>
      </c>
      <c r="U363" s="801">
        <v>1</v>
      </c>
    </row>
    <row r="364" spans="1:21" ht="14.4" customHeight="1" x14ac:dyDescent="0.3">
      <c r="A364" s="794">
        <v>31</v>
      </c>
      <c r="B364" s="795" t="s">
        <v>592</v>
      </c>
      <c r="C364" s="795" t="s">
        <v>1513</v>
      </c>
      <c r="D364" s="796" t="s">
        <v>2055</v>
      </c>
      <c r="E364" s="797" t="s">
        <v>1531</v>
      </c>
      <c r="F364" s="795" t="s">
        <v>1508</v>
      </c>
      <c r="G364" s="795" t="s">
        <v>1537</v>
      </c>
      <c r="H364" s="795" t="s">
        <v>593</v>
      </c>
      <c r="I364" s="795" t="s">
        <v>1271</v>
      </c>
      <c r="J364" s="795" t="s">
        <v>748</v>
      </c>
      <c r="K364" s="795" t="s">
        <v>1790</v>
      </c>
      <c r="L364" s="798">
        <v>0</v>
      </c>
      <c r="M364" s="798">
        <v>0</v>
      </c>
      <c r="N364" s="795">
        <v>5</v>
      </c>
      <c r="O364" s="799">
        <v>2.5</v>
      </c>
      <c r="P364" s="798">
        <v>0</v>
      </c>
      <c r="Q364" s="800"/>
      <c r="R364" s="795">
        <v>4</v>
      </c>
      <c r="S364" s="800">
        <v>0.8</v>
      </c>
      <c r="T364" s="799">
        <v>2</v>
      </c>
      <c r="U364" s="801">
        <v>0.8</v>
      </c>
    </row>
    <row r="365" spans="1:21" ht="14.4" customHeight="1" x14ac:dyDescent="0.3">
      <c r="A365" s="794">
        <v>31</v>
      </c>
      <c r="B365" s="795" t="s">
        <v>592</v>
      </c>
      <c r="C365" s="795" t="s">
        <v>1513</v>
      </c>
      <c r="D365" s="796" t="s">
        <v>2055</v>
      </c>
      <c r="E365" s="797" t="s">
        <v>1531</v>
      </c>
      <c r="F365" s="795" t="s">
        <v>1508</v>
      </c>
      <c r="G365" s="795" t="s">
        <v>1944</v>
      </c>
      <c r="H365" s="795" t="s">
        <v>593</v>
      </c>
      <c r="I365" s="795" t="s">
        <v>1945</v>
      </c>
      <c r="J365" s="795" t="s">
        <v>1946</v>
      </c>
      <c r="K365" s="795" t="s">
        <v>1947</v>
      </c>
      <c r="L365" s="798">
        <v>0</v>
      </c>
      <c r="M365" s="798">
        <v>0</v>
      </c>
      <c r="N365" s="795">
        <v>4</v>
      </c>
      <c r="O365" s="799">
        <v>1.5</v>
      </c>
      <c r="P365" s="798">
        <v>0</v>
      </c>
      <c r="Q365" s="800"/>
      <c r="R365" s="795">
        <v>2</v>
      </c>
      <c r="S365" s="800">
        <v>0.5</v>
      </c>
      <c r="T365" s="799">
        <v>0.5</v>
      </c>
      <c r="U365" s="801">
        <v>0.33333333333333331</v>
      </c>
    </row>
    <row r="366" spans="1:21" ht="14.4" customHeight="1" x14ac:dyDescent="0.3">
      <c r="A366" s="794">
        <v>31</v>
      </c>
      <c r="B366" s="795" t="s">
        <v>592</v>
      </c>
      <c r="C366" s="795" t="s">
        <v>1513</v>
      </c>
      <c r="D366" s="796" t="s">
        <v>2055</v>
      </c>
      <c r="E366" s="797" t="s">
        <v>1531</v>
      </c>
      <c r="F366" s="795" t="s">
        <v>1508</v>
      </c>
      <c r="G366" s="795" t="s">
        <v>1539</v>
      </c>
      <c r="H366" s="795" t="s">
        <v>912</v>
      </c>
      <c r="I366" s="795" t="s">
        <v>1540</v>
      </c>
      <c r="J366" s="795" t="s">
        <v>977</v>
      </c>
      <c r="K366" s="795" t="s">
        <v>1414</v>
      </c>
      <c r="L366" s="798">
        <v>490.89</v>
      </c>
      <c r="M366" s="798">
        <v>1963.56</v>
      </c>
      <c r="N366" s="795">
        <v>4</v>
      </c>
      <c r="O366" s="799">
        <v>3</v>
      </c>
      <c r="P366" s="798">
        <v>1963.56</v>
      </c>
      <c r="Q366" s="800">
        <v>1</v>
      </c>
      <c r="R366" s="795">
        <v>4</v>
      </c>
      <c r="S366" s="800">
        <v>1</v>
      </c>
      <c r="T366" s="799">
        <v>3</v>
      </c>
      <c r="U366" s="801">
        <v>1</v>
      </c>
    </row>
    <row r="367" spans="1:21" ht="14.4" customHeight="1" x14ac:dyDescent="0.3">
      <c r="A367" s="794">
        <v>31</v>
      </c>
      <c r="B367" s="795" t="s">
        <v>592</v>
      </c>
      <c r="C367" s="795" t="s">
        <v>1513</v>
      </c>
      <c r="D367" s="796" t="s">
        <v>2055</v>
      </c>
      <c r="E367" s="797" t="s">
        <v>1531</v>
      </c>
      <c r="F367" s="795" t="s">
        <v>1508</v>
      </c>
      <c r="G367" s="795" t="s">
        <v>1539</v>
      </c>
      <c r="H367" s="795" t="s">
        <v>912</v>
      </c>
      <c r="I367" s="795" t="s">
        <v>1552</v>
      </c>
      <c r="J367" s="795" t="s">
        <v>977</v>
      </c>
      <c r="K367" s="795" t="s">
        <v>1413</v>
      </c>
      <c r="L367" s="798">
        <v>736.33</v>
      </c>
      <c r="M367" s="798">
        <v>2208.9900000000002</v>
      </c>
      <c r="N367" s="795">
        <v>3</v>
      </c>
      <c r="O367" s="799">
        <v>1.5</v>
      </c>
      <c r="P367" s="798">
        <v>2208.9900000000002</v>
      </c>
      <c r="Q367" s="800">
        <v>1</v>
      </c>
      <c r="R367" s="795">
        <v>3</v>
      </c>
      <c r="S367" s="800">
        <v>1</v>
      </c>
      <c r="T367" s="799">
        <v>1.5</v>
      </c>
      <c r="U367" s="801">
        <v>1</v>
      </c>
    </row>
    <row r="368" spans="1:21" ht="14.4" customHeight="1" x14ac:dyDescent="0.3">
      <c r="A368" s="794">
        <v>31</v>
      </c>
      <c r="B368" s="795" t="s">
        <v>592</v>
      </c>
      <c r="C368" s="795" t="s">
        <v>1513</v>
      </c>
      <c r="D368" s="796" t="s">
        <v>2055</v>
      </c>
      <c r="E368" s="797" t="s">
        <v>1531</v>
      </c>
      <c r="F368" s="795" t="s">
        <v>1508</v>
      </c>
      <c r="G368" s="795" t="s">
        <v>1539</v>
      </c>
      <c r="H368" s="795" t="s">
        <v>912</v>
      </c>
      <c r="I368" s="795" t="s">
        <v>1571</v>
      </c>
      <c r="J368" s="795" t="s">
        <v>977</v>
      </c>
      <c r="K368" s="795" t="s">
        <v>1572</v>
      </c>
      <c r="L368" s="798">
        <v>923.74</v>
      </c>
      <c r="M368" s="798">
        <v>923.74</v>
      </c>
      <c r="N368" s="795">
        <v>1</v>
      </c>
      <c r="O368" s="799">
        <v>1</v>
      </c>
      <c r="P368" s="798">
        <v>923.74</v>
      </c>
      <c r="Q368" s="800">
        <v>1</v>
      </c>
      <c r="R368" s="795">
        <v>1</v>
      </c>
      <c r="S368" s="800">
        <v>1</v>
      </c>
      <c r="T368" s="799">
        <v>1</v>
      </c>
      <c r="U368" s="801">
        <v>1</v>
      </c>
    </row>
    <row r="369" spans="1:21" ht="14.4" customHeight="1" x14ac:dyDescent="0.3">
      <c r="A369" s="794">
        <v>31</v>
      </c>
      <c r="B369" s="795" t="s">
        <v>592</v>
      </c>
      <c r="C369" s="795" t="s">
        <v>1513</v>
      </c>
      <c r="D369" s="796" t="s">
        <v>2055</v>
      </c>
      <c r="E369" s="797" t="s">
        <v>1531</v>
      </c>
      <c r="F369" s="795" t="s">
        <v>1508</v>
      </c>
      <c r="G369" s="795" t="s">
        <v>1539</v>
      </c>
      <c r="H369" s="795" t="s">
        <v>912</v>
      </c>
      <c r="I369" s="795" t="s">
        <v>982</v>
      </c>
      <c r="J369" s="795" t="s">
        <v>977</v>
      </c>
      <c r="K369" s="795" t="s">
        <v>1413</v>
      </c>
      <c r="L369" s="798">
        <v>736.33</v>
      </c>
      <c r="M369" s="798">
        <v>4417.9800000000005</v>
      </c>
      <c r="N369" s="795">
        <v>6</v>
      </c>
      <c r="O369" s="799">
        <v>2</v>
      </c>
      <c r="P369" s="798">
        <v>3681.6500000000005</v>
      </c>
      <c r="Q369" s="800">
        <v>0.83333333333333337</v>
      </c>
      <c r="R369" s="795">
        <v>5</v>
      </c>
      <c r="S369" s="800">
        <v>0.83333333333333337</v>
      </c>
      <c r="T369" s="799">
        <v>1</v>
      </c>
      <c r="U369" s="801">
        <v>0.5</v>
      </c>
    </row>
    <row r="370" spans="1:21" ht="14.4" customHeight="1" x14ac:dyDescent="0.3">
      <c r="A370" s="794">
        <v>31</v>
      </c>
      <c r="B370" s="795" t="s">
        <v>592</v>
      </c>
      <c r="C370" s="795" t="s">
        <v>1513</v>
      </c>
      <c r="D370" s="796" t="s">
        <v>2055</v>
      </c>
      <c r="E370" s="797" t="s">
        <v>1531</v>
      </c>
      <c r="F370" s="795" t="s">
        <v>1508</v>
      </c>
      <c r="G370" s="795" t="s">
        <v>1948</v>
      </c>
      <c r="H370" s="795" t="s">
        <v>593</v>
      </c>
      <c r="I370" s="795" t="s">
        <v>1949</v>
      </c>
      <c r="J370" s="795" t="s">
        <v>1950</v>
      </c>
      <c r="K370" s="795" t="s">
        <v>1951</v>
      </c>
      <c r="L370" s="798">
        <v>0</v>
      </c>
      <c r="M370" s="798">
        <v>0</v>
      </c>
      <c r="N370" s="795">
        <v>1</v>
      </c>
      <c r="O370" s="799">
        <v>0.5</v>
      </c>
      <c r="P370" s="798">
        <v>0</v>
      </c>
      <c r="Q370" s="800"/>
      <c r="R370" s="795">
        <v>1</v>
      </c>
      <c r="S370" s="800">
        <v>1</v>
      </c>
      <c r="T370" s="799">
        <v>0.5</v>
      </c>
      <c r="U370" s="801">
        <v>1</v>
      </c>
    </row>
    <row r="371" spans="1:21" ht="14.4" customHeight="1" x14ac:dyDescent="0.3">
      <c r="A371" s="794">
        <v>31</v>
      </c>
      <c r="B371" s="795" t="s">
        <v>592</v>
      </c>
      <c r="C371" s="795" t="s">
        <v>1513</v>
      </c>
      <c r="D371" s="796" t="s">
        <v>2055</v>
      </c>
      <c r="E371" s="797" t="s">
        <v>1531</v>
      </c>
      <c r="F371" s="795" t="s">
        <v>1508</v>
      </c>
      <c r="G371" s="795" t="s">
        <v>1948</v>
      </c>
      <c r="H371" s="795" t="s">
        <v>593</v>
      </c>
      <c r="I371" s="795" t="s">
        <v>1952</v>
      </c>
      <c r="J371" s="795" t="s">
        <v>1953</v>
      </c>
      <c r="K371" s="795" t="s">
        <v>1954</v>
      </c>
      <c r="L371" s="798">
        <v>0</v>
      </c>
      <c r="M371" s="798">
        <v>0</v>
      </c>
      <c r="N371" s="795">
        <v>1</v>
      </c>
      <c r="O371" s="799">
        <v>0.5</v>
      </c>
      <c r="P371" s="798">
        <v>0</v>
      </c>
      <c r="Q371" s="800"/>
      <c r="R371" s="795">
        <v>1</v>
      </c>
      <c r="S371" s="800">
        <v>1</v>
      </c>
      <c r="T371" s="799">
        <v>0.5</v>
      </c>
      <c r="U371" s="801">
        <v>1</v>
      </c>
    </row>
    <row r="372" spans="1:21" ht="14.4" customHeight="1" x14ac:dyDescent="0.3">
      <c r="A372" s="794">
        <v>31</v>
      </c>
      <c r="B372" s="795" t="s">
        <v>592</v>
      </c>
      <c r="C372" s="795" t="s">
        <v>1513</v>
      </c>
      <c r="D372" s="796" t="s">
        <v>2055</v>
      </c>
      <c r="E372" s="797" t="s">
        <v>1531</v>
      </c>
      <c r="F372" s="795" t="s">
        <v>1508</v>
      </c>
      <c r="G372" s="795" t="s">
        <v>1831</v>
      </c>
      <c r="H372" s="795" t="s">
        <v>593</v>
      </c>
      <c r="I372" s="795" t="s">
        <v>1832</v>
      </c>
      <c r="J372" s="795" t="s">
        <v>1833</v>
      </c>
      <c r="K372" s="795" t="s">
        <v>1834</v>
      </c>
      <c r="L372" s="798">
        <v>54.55</v>
      </c>
      <c r="M372" s="798">
        <v>109.1</v>
      </c>
      <c r="N372" s="795">
        <v>2</v>
      </c>
      <c r="O372" s="799">
        <v>0.5</v>
      </c>
      <c r="P372" s="798">
        <v>109.1</v>
      </c>
      <c r="Q372" s="800">
        <v>1</v>
      </c>
      <c r="R372" s="795">
        <v>2</v>
      </c>
      <c r="S372" s="800">
        <v>1</v>
      </c>
      <c r="T372" s="799">
        <v>0.5</v>
      </c>
      <c r="U372" s="801">
        <v>1</v>
      </c>
    </row>
    <row r="373" spans="1:21" ht="14.4" customHeight="1" x14ac:dyDescent="0.3">
      <c r="A373" s="794">
        <v>31</v>
      </c>
      <c r="B373" s="795" t="s">
        <v>592</v>
      </c>
      <c r="C373" s="795" t="s">
        <v>1513</v>
      </c>
      <c r="D373" s="796" t="s">
        <v>2055</v>
      </c>
      <c r="E373" s="797" t="s">
        <v>1531</v>
      </c>
      <c r="F373" s="795" t="s">
        <v>1508</v>
      </c>
      <c r="G373" s="795" t="s">
        <v>1541</v>
      </c>
      <c r="H373" s="795" t="s">
        <v>912</v>
      </c>
      <c r="I373" s="795" t="s">
        <v>929</v>
      </c>
      <c r="J373" s="795" t="s">
        <v>1453</v>
      </c>
      <c r="K373" s="795" t="s">
        <v>1454</v>
      </c>
      <c r="L373" s="798">
        <v>0</v>
      </c>
      <c r="M373" s="798">
        <v>0</v>
      </c>
      <c r="N373" s="795">
        <v>13</v>
      </c>
      <c r="O373" s="799">
        <v>6</v>
      </c>
      <c r="P373" s="798">
        <v>0</v>
      </c>
      <c r="Q373" s="800"/>
      <c r="R373" s="795">
        <v>13</v>
      </c>
      <c r="S373" s="800">
        <v>1</v>
      </c>
      <c r="T373" s="799">
        <v>6</v>
      </c>
      <c r="U373" s="801">
        <v>1</v>
      </c>
    </row>
    <row r="374" spans="1:21" ht="14.4" customHeight="1" x14ac:dyDescent="0.3">
      <c r="A374" s="794">
        <v>31</v>
      </c>
      <c r="B374" s="795" t="s">
        <v>592</v>
      </c>
      <c r="C374" s="795" t="s">
        <v>1513</v>
      </c>
      <c r="D374" s="796" t="s">
        <v>2055</v>
      </c>
      <c r="E374" s="797" t="s">
        <v>1531</v>
      </c>
      <c r="F374" s="795" t="s">
        <v>1508</v>
      </c>
      <c r="G374" s="795" t="s">
        <v>1865</v>
      </c>
      <c r="H374" s="795" t="s">
        <v>593</v>
      </c>
      <c r="I374" s="795" t="s">
        <v>1955</v>
      </c>
      <c r="J374" s="795" t="s">
        <v>1956</v>
      </c>
      <c r="K374" s="795" t="s">
        <v>1957</v>
      </c>
      <c r="L374" s="798">
        <v>0</v>
      </c>
      <c r="M374" s="798">
        <v>0</v>
      </c>
      <c r="N374" s="795">
        <v>2</v>
      </c>
      <c r="O374" s="799">
        <v>0.5</v>
      </c>
      <c r="P374" s="798">
        <v>0</v>
      </c>
      <c r="Q374" s="800"/>
      <c r="R374" s="795">
        <v>2</v>
      </c>
      <c r="S374" s="800">
        <v>1</v>
      </c>
      <c r="T374" s="799">
        <v>0.5</v>
      </c>
      <c r="U374" s="801">
        <v>1</v>
      </c>
    </row>
    <row r="375" spans="1:21" ht="14.4" customHeight="1" x14ac:dyDescent="0.3">
      <c r="A375" s="794">
        <v>31</v>
      </c>
      <c r="B375" s="795" t="s">
        <v>592</v>
      </c>
      <c r="C375" s="795" t="s">
        <v>1513</v>
      </c>
      <c r="D375" s="796" t="s">
        <v>2055</v>
      </c>
      <c r="E375" s="797" t="s">
        <v>1531</v>
      </c>
      <c r="F375" s="795" t="s">
        <v>1508</v>
      </c>
      <c r="G375" s="795" t="s">
        <v>1544</v>
      </c>
      <c r="H375" s="795" t="s">
        <v>593</v>
      </c>
      <c r="I375" s="795" t="s">
        <v>1958</v>
      </c>
      <c r="J375" s="795" t="s">
        <v>1274</v>
      </c>
      <c r="K375" s="795" t="s">
        <v>1959</v>
      </c>
      <c r="L375" s="798">
        <v>83.86</v>
      </c>
      <c r="M375" s="798">
        <v>83.86</v>
      </c>
      <c r="N375" s="795">
        <v>1</v>
      </c>
      <c r="O375" s="799">
        <v>1</v>
      </c>
      <c r="P375" s="798">
        <v>83.86</v>
      </c>
      <c r="Q375" s="800">
        <v>1</v>
      </c>
      <c r="R375" s="795">
        <v>1</v>
      </c>
      <c r="S375" s="800">
        <v>1</v>
      </c>
      <c r="T375" s="799">
        <v>1</v>
      </c>
      <c r="U375" s="801">
        <v>1</v>
      </c>
    </row>
    <row r="376" spans="1:21" ht="14.4" customHeight="1" x14ac:dyDescent="0.3">
      <c r="A376" s="794">
        <v>31</v>
      </c>
      <c r="B376" s="795" t="s">
        <v>592</v>
      </c>
      <c r="C376" s="795" t="s">
        <v>1513</v>
      </c>
      <c r="D376" s="796" t="s">
        <v>2055</v>
      </c>
      <c r="E376" s="797" t="s">
        <v>1531</v>
      </c>
      <c r="F376" s="795" t="s">
        <v>1510</v>
      </c>
      <c r="G376" s="795" t="s">
        <v>1548</v>
      </c>
      <c r="H376" s="795" t="s">
        <v>593</v>
      </c>
      <c r="I376" s="795" t="s">
        <v>1805</v>
      </c>
      <c r="J376" s="795" t="s">
        <v>1550</v>
      </c>
      <c r="K376" s="795" t="s">
        <v>1806</v>
      </c>
      <c r="L376" s="798">
        <v>30.99</v>
      </c>
      <c r="M376" s="798">
        <v>30.99</v>
      </c>
      <c r="N376" s="795">
        <v>1</v>
      </c>
      <c r="O376" s="799">
        <v>1</v>
      </c>
      <c r="P376" s="798">
        <v>30.99</v>
      </c>
      <c r="Q376" s="800">
        <v>1</v>
      </c>
      <c r="R376" s="795">
        <v>1</v>
      </c>
      <c r="S376" s="800">
        <v>1</v>
      </c>
      <c r="T376" s="799">
        <v>1</v>
      </c>
      <c r="U376" s="801">
        <v>1</v>
      </c>
    </row>
    <row r="377" spans="1:21" ht="14.4" customHeight="1" x14ac:dyDescent="0.3">
      <c r="A377" s="794">
        <v>31</v>
      </c>
      <c r="B377" s="795" t="s">
        <v>592</v>
      </c>
      <c r="C377" s="795" t="s">
        <v>1513</v>
      </c>
      <c r="D377" s="796" t="s">
        <v>2055</v>
      </c>
      <c r="E377" s="797" t="s">
        <v>1531</v>
      </c>
      <c r="F377" s="795" t="s">
        <v>1510</v>
      </c>
      <c r="G377" s="795" t="s">
        <v>1589</v>
      </c>
      <c r="H377" s="795" t="s">
        <v>593</v>
      </c>
      <c r="I377" s="795" t="s">
        <v>1655</v>
      </c>
      <c r="J377" s="795" t="s">
        <v>1656</v>
      </c>
      <c r="K377" s="795" t="s">
        <v>1657</v>
      </c>
      <c r="L377" s="798">
        <v>58.5</v>
      </c>
      <c r="M377" s="798">
        <v>175.5</v>
      </c>
      <c r="N377" s="795">
        <v>3</v>
      </c>
      <c r="O377" s="799">
        <v>3</v>
      </c>
      <c r="P377" s="798">
        <v>175.5</v>
      </c>
      <c r="Q377" s="800">
        <v>1</v>
      </c>
      <c r="R377" s="795">
        <v>3</v>
      </c>
      <c r="S377" s="800">
        <v>1</v>
      </c>
      <c r="T377" s="799">
        <v>3</v>
      </c>
      <c r="U377" s="801">
        <v>1</v>
      </c>
    </row>
    <row r="378" spans="1:21" ht="14.4" customHeight="1" x14ac:dyDescent="0.3">
      <c r="A378" s="794">
        <v>31</v>
      </c>
      <c r="B378" s="795" t="s">
        <v>592</v>
      </c>
      <c r="C378" s="795" t="s">
        <v>1513</v>
      </c>
      <c r="D378" s="796" t="s">
        <v>2055</v>
      </c>
      <c r="E378" s="797" t="s">
        <v>1531</v>
      </c>
      <c r="F378" s="795" t="s">
        <v>1510</v>
      </c>
      <c r="G378" s="795" t="s">
        <v>1589</v>
      </c>
      <c r="H378" s="795" t="s">
        <v>593</v>
      </c>
      <c r="I378" s="795" t="s">
        <v>1605</v>
      </c>
      <c r="J378" s="795" t="s">
        <v>1606</v>
      </c>
      <c r="K378" s="795" t="s">
        <v>1607</v>
      </c>
      <c r="L378" s="798">
        <v>350</v>
      </c>
      <c r="M378" s="798">
        <v>1400</v>
      </c>
      <c r="N378" s="795">
        <v>4</v>
      </c>
      <c r="O378" s="799">
        <v>4</v>
      </c>
      <c r="P378" s="798">
        <v>1400</v>
      </c>
      <c r="Q378" s="800">
        <v>1</v>
      </c>
      <c r="R378" s="795">
        <v>4</v>
      </c>
      <c r="S378" s="800">
        <v>1</v>
      </c>
      <c r="T378" s="799">
        <v>4</v>
      </c>
      <c r="U378" s="801">
        <v>1</v>
      </c>
    </row>
    <row r="379" spans="1:21" ht="14.4" customHeight="1" x14ac:dyDescent="0.3">
      <c r="A379" s="794">
        <v>31</v>
      </c>
      <c r="B379" s="795" t="s">
        <v>592</v>
      </c>
      <c r="C379" s="795" t="s">
        <v>1513</v>
      </c>
      <c r="D379" s="796" t="s">
        <v>2055</v>
      </c>
      <c r="E379" s="797" t="s">
        <v>1531</v>
      </c>
      <c r="F379" s="795" t="s">
        <v>1510</v>
      </c>
      <c r="G379" s="795" t="s">
        <v>1589</v>
      </c>
      <c r="H379" s="795" t="s">
        <v>593</v>
      </c>
      <c r="I379" s="795" t="s">
        <v>1608</v>
      </c>
      <c r="J379" s="795" t="s">
        <v>1609</v>
      </c>
      <c r="K379" s="795" t="s">
        <v>1610</v>
      </c>
      <c r="L379" s="798">
        <v>1000</v>
      </c>
      <c r="M379" s="798">
        <v>3000</v>
      </c>
      <c r="N379" s="795">
        <v>3</v>
      </c>
      <c r="O379" s="799">
        <v>3</v>
      </c>
      <c r="P379" s="798">
        <v>3000</v>
      </c>
      <c r="Q379" s="800">
        <v>1</v>
      </c>
      <c r="R379" s="795">
        <v>3</v>
      </c>
      <c r="S379" s="800">
        <v>1</v>
      </c>
      <c r="T379" s="799">
        <v>3</v>
      </c>
      <c r="U379" s="801">
        <v>1</v>
      </c>
    </row>
    <row r="380" spans="1:21" ht="14.4" customHeight="1" x14ac:dyDescent="0.3">
      <c r="A380" s="794">
        <v>31</v>
      </c>
      <c r="B380" s="795" t="s">
        <v>592</v>
      </c>
      <c r="C380" s="795" t="s">
        <v>1513</v>
      </c>
      <c r="D380" s="796" t="s">
        <v>2055</v>
      </c>
      <c r="E380" s="797" t="s">
        <v>1531</v>
      </c>
      <c r="F380" s="795" t="s">
        <v>1510</v>
      </c>
      <c r="G380" s="795" t="s">
        <v>1589</v>
      </c>
      <c r="H380" s="795" t="s">
        <v>593</v>
      </c>
      <c r="I380" s="795" t="s">
        <v>1730</v>
      </c>
      <c r="J380" s="795" t="s">
        <v>1731</v>
      </c>
      <c r="K380" s="795" t="s">
        <v>1732</v>
      </c>
      <c r="L380" s="798">
        <v>600</v>
      </c>
      <c r="M380" s="798">
        <v>600</v>
      </c>
      <c r="N380" s="795">
        <v>1</v>
      </c>
      <c r="O380" s="799">
        <v>1</v>
      </c>
      <c r="P380" s="798">
        <v>600</v>
      </c>
      <c r="Q380" s="800">
        <v>1</v>
      </c>
      <c r="R380" s="795">
        <v>1</v>
      </c>
      <c r="S380" s="800">
        <v>1</v>
      </c>
      <c r="T380" s="799">
        <v>1</v>
      </c>
      <c r="U380" s="801">
        <v>1</v>
      </c>
    </row>
    <row r="381" spans="1:21" ht="14.4" customHeight="1" x14ac:dyDescent="0.3">
      <c r="A381" s="794">
        <v>31</v>
      </c>
      <c r="B381" s="795" t="s">
        <v>592</v>
      </c>
      <c r="C381" s="795" t="s">
        <v>1513</v>
      </c>
      <c r="D381" s="796" t="s">
        <v>2055</v>
      </c>
      <c r="E381" s="797" t="s">
        <v>1531</v>
      </c>
      <c r="F381" s="795" t="s">
        <v>1510</v>
      </c>
      <c r="G381" s="795" t="s">
        <v>1617</v>
      </c>
      <c r="H381" s="795" t="s">
        <v>593</v>
      </c>
      <c r="I381" s="795" t="s">
        <v>1621</v>
      </c>
      <c r="J381" s="795" t="s">
        <v>1622</v>
      </c>
      <c r="K381" s="795" t="s">
        <v>1623</v>
      </c>
      <c r="L381" s="798">
        <v>200</v>
      </c>
      <c r="M381" s="798">
        <v>600</v>
      </c>
      <c r="N381" s="795">
        <v>3</v>
      </c>
      <c r="O381" s="799">
        <v>2</v>
      </c>
      <c r="P381" s="798">
        <v>600</v>
      </c>
      <c r="Q381" s="800">
        <v>1</v>
      </c>
      <c r="R381" s="795">
        <v>3</v>
      </c>
      <c r="S381" s="800">
        <v>1</v>
      </c>
      <c r="T381" s="799">
        <v>2</v>
      </c>
      <c r="U381" s="801">
        <v>1</v>
      </c>
    </row>
    <row r="382" spans="1:21" ht="14.4" customHeight="1" x14ac:dyDescent="0.3">
      <c r="A382" s="794">
        <v>31</v>
      </c>
      <c r="B382" s="795" t="s">
        <v>592</v>
      </c>
      <c r="C382" s="795" t="s">
        <v>1513</v>
      </c>
      <c r="D382" s="796" t="s">
        <v>2055</v>
      </c>
      <c r="E382" s="797" t="s">
        <v>1532</v>
      </c>
      <c r="F382" s="795" t="s">
        <v>1508</v>
      </c>
      <c r="G382" s="795" t="s">
        <v>1960</v>
      </c>
      <c r="H382" s="795" t="s">
        <v>593</v>
      </c>
      <c r="I382" s="795" t="s">
        <v>1961</v>
      </c>
      <c r="J382" s="795" t="s">
        <v>1962</v>
      </c>
      <c r="K382" s="795" t="s">
        <v>1963</v>
      </c>
      <c r="L382" s="798">
        <v>0</v>
      </c>
      <c r="M382" s="798">
        <v>0</v>
      </c>
      <c r="N382" s="795">
        <v>1</v>
      </c>
      <c r="O382" s="799">
        <v>1</v>
      </c>
      <c r="P382" s="798">
        <v>0</v>
      </c>
      <c r="Q382" s="800"/>
      <c r="R382" s="795">
        <v>1</v>
      </c>
      <c r="S382" s="800">
        <v>1</v>
      </c>
      <c r="T382" s="799">
        <v>1</v>
      </c>
      <c r="U382" s="801">
        <v>1</v>
      </c>
    </row>
    <row r="383" spans="1:21" ht="14.4" customHeight="1" x14ac:dyDescent="0.3">
      <c r="A383" s="794">
        <v>31</v>
      </c>
      <c r="B383" s="795" t="s">
        <v>592</v>
      </c>
      <c r="C383" s="795" t="s">
        <v>1513</v>
      </c>
      <c r="D383" s="796" t="s">
        <v>2055</v>
      </c>
      <c r="E383" s="797" t="s">
        <v>1532</v>
      </c>
      <c r="F383" s="795" t="s">
        <v>1508</v>
      </c>
      <c r="G383" s="795" t="s">
        <v>1874</v>
      </c>
      <c r="H383" s="795" t="s">
        <v>593</v>
      </c>
      <c r="I383" s="795" t="s">
        <v>1875</v>
      </c>
      <c r="J383" s="795" t="s">
        <v>1178</v>
      </c>
      <c r="K383" s="795" t="s">
        <v>1876</v>
      </c>
      <c r="L383" s="798">
        <v>107.27</v>
      </c>
      <c r="M383" s="798">
        <v>321.81</v>
      </c>
      <c r="N383" s="795">
        <v>3</v>
      </c>
      <c r="O383" s="799">
        <v>1</v>
      </c>
      <c r="P383" s="798">
        <v>321.81</v>
      </c>
      <c r="Q383" s="800">
        <v>1</v>
      </c>
      <c r="R383" s="795">
        <v>3</v>
      </c>
      <c r="S383" s="800">
        <v>1</v>
      </c>
      <c r="T383" s="799">
        <v>1</v>
      </c>
      <c r="U383" s="801">
        <v>1</v>
      </c>
    </row>
    <row r="384" spans="1:21" ht="14.4" customHeight="1" x14ac:dyDescent="0.3">
      <c r="A384" s="794">
        <v>31</v>
      </c>
      <c r="B384" s="795" t="s">
        <v>592</v>
      </c>
      <c r="C384" s="795" t="s">
        <v>1513</v>
      </c>
      <c r="D384" s="796" t="s">
        <v>2055</v>
      </c>
      <c r="E384" s="797" t="s">
        <v>1532</v>
      </c>
      <c r="F384" s="795" t="s">
        <v>1508</v>
      </c>
      <c r="G384" s="795" t="s">
        <v>1561</v>
      </c>
      <c r="H384" s="795" t="s">
        <v>593</v>
      </c>
      <c r="I384" s="795" t="s">
        <v>1721</v>
      </c>
      <c r="J384" s="795" t="s">
        <v>1563</v>
      </c>
      <c r="K384" s="795" t="s">
        <v>1566</v>
      </c>
      <c r="L384" s="798">
        <v>132.97999999999999</v>
      </c>
      <c r="M384" s="798">
        <v>265.95999999999998</v>
      </c>
      <c r="N384" s="795">
        <v>2</v>
      </c>
      <c r="O384" s="799">
        <v>1</v>
      </c>
      <c r="P384" s="798">
        <v>265.95999999999998</v>
      </c>
      <c r="Q384" s="800">
        <v>1</v>
      </c>
      <c r="R384" s="795">
        <v>2</v>
      </c>
      <c r="S384" s="800">
        <v>1</v>
      </c>
      <c r="T384" s="799">
        <v>1</v>
      </c>
      <c r="U384" s="801">
        <v>1</v>
      </c>
    </row>
    <row r="385" spans="1:21" ht="14.4" customHeight="1" x14ac:dyDescent="0.3">
      <c r="A385" s="794">
        <v>31</v>
      </c>
      <c r="B385" s="795" t="s">
        <v>592</v>
      </c>
      <c r="C385" s="795" t="s">
        <v>1513</v>
      </c>
      <c r="D385" s="796" t="s">
        <v>2055</v>
      </c>
      <c r="E385" s="797" t="s">
        <v>1532</v>
      </c>
      <c r="F385" s="795" t="s">
        <v>1508</v>
      </c>
      <c r="G385" s="795" t="s">
        <v>1539</v>
      </c>
      <c r="H385" s="795" t="s">
        <v>912</v>
      </c>
      <c r="I385" s="795" t="s">
        <v>1670</v>
      </c>
      <c r="J385" s="795" t="s">
        <v>977</v>
      </c>
      <c r="K385" s="795" t="s">
        <v>1671</v>
      </c>
      <c r="L385" s="798">
        <v>368.16</v>
      </c>
      <c r="M385" s="798">
        <v>1840.8000000000002</v>
      </c>
      <c r="N385" s="795">
        <v>5</v>
      </c>
      <c r="O385" s="799">
        <v>2</v>
      </c>
      <c r="P385" s="798">
        <v>1840.8000000000002</v>
      </c>
      <c r="Q385" s="800">
        <v>1</v>
      </c>
      <c r="R385" s="795">
        <v>5</v>
      </c>
      <c r="S385" s="800">
        <v>1</v>
      </c>
      <c r="T385" s="799">
        <v>2</v>
      </c>
      <c r="U385" s="801">
        <v>1</v>
      </c>
    </row>
    <row r="386" spans="1:21" ht="14.4" customHeight="1" x14ac:dyDescent="0.3">
      <c r="A386" s="794">
        <v>31</v>
      </c>
      <c r="B386" s="795" t="s">
        <v>592</v>
      </c>
      <c r="C386" s="795" t="s">
        <v>1513</v>
      </c>
      <c r="D386" s="796" t="s">
        <v>2055</v>
      </c>
      <c r="E386" s="797" t="s">
        <v>1532</v>
      </c>
      <c r="F386" s="795" t="s">
        <v>1508</v>
      </c>
      <c r="G386" s="795" t="s">
        <v>1539</v>
      </c>
      <c r="H386" s="795" t="s">
        <v>912</v>
      </c>
      <c r="I386" s="795" t="s">
        <v>1540</v>
      </c>
      <c r="J386" s="795" t="s">
        <v>977</v>
      </c>
      <c r="K386" s="795" t="s">
        <v>1414</v>
      </c>
      <c r="L386" s="798">
        <v>490.89</v>
      </c>
      <c r="M386" s="798">
        <v>4908.8999999999996</v>
      </c>
      <c r="N386" s="795">
        <v>10</v>
      </c>
      <c r="O386" s="799">
        <v>4</v>
      </c>
      <c r="P386" s="798">
        <v>4908.8999999999996</v>
      </c>
      <c r="Q386" s="800">
        <v>1</v>
      </c>
      <c r="R386" s="795">
        <v>10</v>
      </c>
      <c r="S386" s="800">
        <v>1</v>
      </c>
      <c r="T386" s="799">
        <v>4</v>
      </c>
      <c r="U386" s="801">
        <v>1</v>
      </c>
    </row>
    <row r="387" spans="1:21" ht="14.4" customHeight="1" x14ac:dyDescent="0.3">
      <c r="A387" s="794">
        <v>31</v>
      </c>
      <c r="B387" s="795" t="s">
        <v>592</v>
      </c>
      <c r="C387" s="795" t="s">
        <v>1513</v>
      </c>
      <c r="D387" s="796" t="s">
        <v>2055</v>
      </c>
      <c r="E387" s="797" t="s">
        <v>1532</v>
      </c>
      <c r="F387" s="795" t="s">
        <v>1508</v>
      </c>
      <c r="G387" s="795" t="s">
        <v>1539</v>
      </c>
      <c r="H387" s="795" t="s">
        <v>912</v>
      </c>
      <c r="I387" s="795" t="s">
        <v>1964</v>
      </c>
      <c r="J387" s="795" t="s">
        <v>977</v>
      </c>
      <c r="K387" s="795" t="s">
        <v>1965</v>
      </c>
      <c r="L387" s="798">
        <v>147.26</v>
      </c>
      <c r="M387" s="798">
        <v>294.52</v>
      </c>
      <c r="N387" s="795">
        <v>2</v>
      </c>
      <c r="O387" s="799">
        <v>1</v>
      </c>
      <c r="P387" s="798">
        <v>294.52</v>
      </c>
      <c r="Q387" s="800">
        <v>1</v>
      </c>
      <c r="R387" s="795">
        <v>2</v>
      </c>
      <c r="S387" s="800">
        <v>1</v>
      </c>
      <c r="T387" s="799">
        <v>1</v>
      </c>
      <c r="U387" s="801">
        <v>1</v>
      </c>
    </row>
    <row r="388" spans="1:21" ht="14.4" customHeight="1" x14ac:dyDescent="0.3">
      <c r="A388" s="794">
        <v>31</v>
      </c>
      <c r="B388" s="795" t="s">
        <v>592</v>
      </c>
      <c r="C388" s="795" t="s">
        <v>1513</v>
      </c>
      <c r="D388" s="796" t="s">
        <v>2055</v>
      </c>
      <c r="E388" s="797" t="s">
        <v>1532</v>
      </c>
      <c r="F388" s="795" t="s">
        <v>1508</v>
      </c>
      <c r="G388" s="795" t="s">
        <v>1539</v>
      </c>
      <c r="H388" s="795" t="s">
        <v>912</v>
      </c>
      <c r="I388" s="795" t="s">
        <v>1552</v>
      </c>
      <c r="J388" s="795" t="s">
        <v>977</v>
      </c>
      <c r="K388" s="795" t="s">
        <v>1413</v>
      </c>
      <c r="L388" s="798">
        <v>736.33</v>
      </c>
      <c r="M388" s="798">
        <v>4417.9800000000005</v>
      </c>
      <c r="N388" s="795">
        <v>6</v>
      </c>
      <c r="O388" s="799">
        <v>2</v>
      </c>
      <c r="P388" s="798">
        <v>4417.9800000000005</v>
      </c>
      <c r="Q388" s="800">
        <v>1</v>
      </c>
      <c r="R388" s="795">
        <v>6</v>
      </c>
      <c r="S388" s="800">
        <v>1</v>
      </c>
      <c r="T388" s="799">
        <v>2</v>
      </c>
      <c r="U388" s="801">
        <v>1</v>
      </c>
    </row>
    <row r="389" spans="1:21" ht="14.4" customHeight="1" x14ac:dyDescent="0.3">
      <c r="A389" s="794">
        <v>31</v>
      </c>
      <c r="B389" s="795" t="s">
        <v>592</v>
      </c>
      <c r="C389" s="795" t="s">
        <v>1513</v>
      </c>
      <c r="D389" s="796" t="s">
        <v>2055</v>
      </c>
      <c r="E389" s="797" t="s">
        <v>1532</v>
      </c>
      <c r="F389" s="795" t="s">
        <v>1508</v>
      </c>
      <c r="G389" s="795" t="s">
        <v>1539</v>
      </c>
      <c r="H389" s="795" t="s">
        <v>912</v>
      </c>
      <c r="I389" s="795" t="s">
        <v>1571</v>
      </c>
      <c r="J389" s="795" t="s">
        <v>977</v>
      </c>
      <c r="K389" s="795" t="s">
        <v>1572</v>
      </c>
      <c r="L389" s="798">
        <v>923.74</v>
      </c>
      <c r="M389" s="798">
        <v>923.74</v>
      </c>
      <c r="N389" s="795">
        <v>1</v>
      </c>
      <c r="O389" s="799">
        <v>1</v>
      </c>
      <c r="P389" s="798">
        <v>923.74</v>
      </c>
      <c r="Q389" s="800">
        <v>1</v>
      </c>
      <c r="R389" s="795">
        <v>1</v>
      </c>
      <c r="S389" s="800">
        <v>1</v>
      </c>
      <c r="T389" s="799">
        <v>1</v>
      </c>
      <c r="U389" s="801">
        <v>1</v>
      </c>
    </row>
    <row r="390" spans="1:21" ht="14.4" customHeight="1" x14ac:dyDescent="0.3">
      <c r="A390" s="794">
        <v>31</v>
      </c>
      <c r="B390" s="795" t="s">
        <v>592</v>
      </c>
      <c r="C390" s="795" t="s">
        <v>1513</v>
      </c>
      <c r="D390" s="796" t="s">
        <v>2055</v>
      </c>
      <c r="E390" s="797" t="s">
        <v>1532</v>
      </c>
      <c r="F390" s="795" t="s">
        <v>1508</v>
      </c>
      <c r="G390" s="795" t="s">
        <v>1745</v>
      </c>
      <c r="H390" s="795" t="s">
        <v>593</v>
      </c>
      <c r="I390" s="795" t="s">
        <v>759</v>
      </c>
      <c r="J390" s="795" t="s">
        <v>760</v>
      </c>
      <c r="K390" s="795" t="s">
        <v>1966</v>
      </c>
      <c r="L390" s="798">
        <v>0</v>
      </c>
      <c r="M390" s="798">
        <v>0</v>
      </c>
      <c r="N390" s="795">
        <v>2</v>
      </c>
      <c r="O390" s="799">
        <v>0.5</v>
      </c>
      <c r="P390" s="798">
        <v>0</v>
      </c>
      <c r="Q390" s="800"/>
      <c r="R390" s="795">
        <v>2</v>
      </c>
      <c r="S390" s="800">
        <v>1</v>
      </c>
      <c r="T390" s="799">
        <v>0.5</v>
      </c>
      <c r="U390" s="801">
        <v>1</v>
      </c>
    </row>
    <row r="391" spans="1:21" ht="14.4" customHeight="1" x14ac:dyDescent="0.3">
      <c r="A391" s="794">
        <v>31</v>
      </c>
      <c r="B391" s="795" t="s">
        <v>592</v>
      </c>
      <c r="C391" s="795" t="s">
        <v>1513</v>
      </c>
      <c r="D391" s="796" t="s">
        <v>2055</v>
      </c>
      <c r="E391" s="797" t="s">
        <v>1532</v>
      </c>
      <c r="F391" s="795" t="s">
        <v>1508</v>
      </c>
      <c r="G391" s="795" t="s">
        <v>1541</v>
      </c>
      <c r="H391" s="795" t="s">
        <v>912</v>
      </c>
      <c r="I391" s="795" t="s">
        <v>929</v>
      </c>
      <c r="J391" s="795" t="s">
        <v>1453</v>
      </c>
      <c r="K391" s="795" t="s">
        <v>1454</v>
      </c>
      <c r="L391" s="798">
        <v>0</v>
      </c>
      <c r="M391" s="798">
        <v>0</v>
      </c>
      <c r="N391" s="795">
        <v>1</v>
      </c>
      <c r="O391" s="799">
        <v>0.5</v>
      </c>
      <c r="P391" s="798">
        <v>0</v>
      </c>
      <c r="Q391" s="800"/>
      <c r="R391" s="795">
        <v>1</v>
      </c>
      <c r="S391" s="800">
        <v>1</v>
      </c>
      <c r="T391" s="799">
        <v>0.5</v>
      </c>
      <c r="U391" s="801">
        <v>1</v>
      </c>
    </row>
    <row r="392" spans="1:21" ht="14.4" customHeight="1" x14ac:dyDescent="0.3">
      <c r="A392" s="794">
        <v>31</v>
      </c>
      <c r="B392" s="795" t="s">
        <v>592</v>
      </c>
      <c r="C392" s="795" t="s">
        <v>1513</v>
      </c>
      <c r="D392" s="796" t="s">
        <v>2055</v>
      </c>
      <c r="E392" s="797" t="s">
        <v>1532</v>
      </c>
      <c r="F392" s="795" t="s">
        <v>1508</v>
      </c>
      <c r="G392" s="795" t="s">
        <v>1865</v>
      </c>
      <c r="H392" s="795" t="s">
        <v>593</v>
      </c>
      <c r="I392" s="795" t="s">
        <v>1967</v>
      </c>
      <c r="J392" s="795" t="s">
        <v>1968</v>
      </c>
      <c r="K392" s="795" t="s">
        <v>1969</v>
      </c>
      <c r="L392" s="798">
        <v>119.1</v>
      </c>
      <c r="M392" s="798">
        <v>238.2</v>
      </c>
      <c r="N392" s="795">
        <v>2</v>
      </c>
      <c r="O392" s="799">
        <v>1</v>
      </c>
      <c r="P392" s="798"/>
      <c r="Q392" s="800">
        <v>0</v>
      </c>
      <c r="R392" s="795"/>
      <c r="S392" s="800">
        <v>0</v>
      </c>
      <c r="T392" s="799"/>
      <c r="U392" s="801">
        <v>0</v>
      </c>
    </row>
    <row r="393" spans="1:21" ht="14.4" customHeight="1" x14ac:dyDescent="0.3">
      <c r="A393" s="794">
        <v>31</v>
      </c>
      <c r="B393" s="795" t="s">
        <v>592</v>
      </c>
      <c r="C393" s="795" t="s">
        <v>1513</v>
      </c>
      <c r="D393" s="796" t="s">
        <v>2055</v>
      </c>
      <c r="E393" s="797" t="s">
        <v>1532</v>
      </c>
      <c r="F393" s="795" t="s">
        <v>1508</v>
      </c>
      <c r="G393" s="795" t="s">
        <v>1865</v>
      </c>
      <c r="H393" s="795" t="s">
        <v>593</v>
      </c>
      <c r="I393" s="795" t="s">
        <v>1970</v>
      </c>
      <c r="J393" s="795" t="s">
        <v>1971</v>
      </c>
      <c r="K393" s="795" t="s">
        <v>1972</v>
      </c>
      <c r="L393" s="798">
        <v>0</v>
      </c>
      <c r="M393" s="798">
        <v>0</v>
      </c>
      <c r="N393" s="795">
        <v>1</v>
      </c>
      <c r="O393" s="799">
        <v>1</v>
      </c>
      <c r="P393" s="798">
        <v>0</v>
      </c>
      <c r="Q393" s="800"/>
      <c r="R393" s="795">
        <v>1</v>
      </c>
      <c r="S393" s="800">
        <v>1</v>
      </c>
      <c r="T393" s="799">
        <v>1</v>
      </c>
      <c r="U393" s="801">
        <v>1</v>
      </c>
    </row>
    <row r="394" spans="1:21" ht="14.4" customHeight="1" x14ac:dyDescent="0.3">
      <c r="A394" s="794">
        <v>31</v>
      </c>
      <c r="B394" s="795" t="s">
        <v>592</v>
      </c>
      <c r="C394" s="795" t="s">
        <v>1513</v>
      </c>
      <c r="D394" s="796" t="s">
        <v>2055</v>
      </c>
      <c r="E394" s="797" t="s">
        <v>1532</v>
      </c>
      <c r="F394" s="795" t="s">
        <v>1508</v>
      </c>
      <c r="G394" s="795" t="s">
        <v>1798</v>
      </c>
      <c r="H394" s="795" t="s">
        <v>593</v>
      </c>
      <c r="I394" s="795" t="s">
        <v>1973</v>
      </c>
      <c r="J394" s="795" t="s">
        <v>1974</v>
      </c>
      <c r="K394" s="795" t="s">
        <v>1975</v>
      </c>
      <c r="L394" s="798">
        <v>0</v>
      </c>
      <c r="M394" s="798">
        <v>0</v>
      </c>
      <c r="N394" s="795">
        <v>2</v>
      </c>
      <c r="O394" s="799">
        <v>0.5</v>
      </c>
      <c r="P394" s="798">
        <v>0</v>
      </c>
      <c r="Q394" s="800"/>
      <c r="R394" s="795">
        <v>2</v>
      </c>
      <c r="S394" s="800">
        <v>1</v>
      </c>
      <c r="T394" s="799">
        <v>0.5</v>
      </c>
      <c r="U394" s="801">
        <v>1</v>
      </c>
    </row>
    <row r="395" spans="1:21" ht="14.4" customHeight="1" x14ac:dyDescent="0.3">
      <c r="A395" s="794">
        <v>31</v>
      </c>
      <c r="B395" s="795" t="s">
        <v>592</v>
      </c>
      <c r="C395" s="795" t="s">
        <v>1513</v>
      </c>
      <c r="D395" s="796" t="s">
        <v>2055</v>
      </c>
      <c r="E395" s="797" t="s">
        <v>1532</v>
      </c>
      <c r="F395" s="795" t="s">
        <v>1508</v>
      </c>
      <c r="G395" s="795" t="s">
        <v>1774</v>
      </c>
      <c r="H395" s="795" t="s">
        <v>593</v>
      </c>
      <c r="I395" s="795" t="s">
        <v>1976</v>
      </c>
      <c r="J395" s="795" t="s">
        <v>1977</v>
      </c>
      <c r="K395" s="795" t="s">
        <v>1462</v>
      </c>
      <c r="L395" s="798">
        <v>0</v>
      </c>
      <c r="M395" s="798">
        <v>0</v>
      </c>
      <c r="N395" s="795">
        <v>1</v>
      </c>
      <c r="O395" s="799">
        <v>0.5</v>
      </c>
      <c r="P395" s="798">
        <v>0</v>
      </c>
      <c r="Q395" s="800"/>
      <c r="R395" s="795">
        <v>1</v>
      </c>
      <c r="S395" s="800">
        <v>1</v>
      </c>
      <c r="T395" s="799">
        <v>0.5</v>
      </c>
      <c r="U395" s="801">
        <v>1</v>
      </c>
    </row>
    <row r="396" spans="1:21" ht="14.4" customHeight="1" x14ac:dyDescent="0.3">
      <c r="A396" s="794">
        <v>31</v>
      </c>
      <c r="B396" s="795" t="s">
        <v>592</v>
      </c>
      <c r="C396" s="795" t="s">
        <v>1513</v>
      </c>
      <c r="D396" s="796" t="s">
        <v>2055</v>
      </c>
      <c r="E396" s="797" t="s">
        <v>1532</v>
      </c>
      <c r="F396" s="795" t="s">
        <v>1510</v>
      </c>
      <c r="G396" s="795" t="s">
        <v>1589</v>
      </c>
      <c r="H396" s="795" t="s">
        <v>593</v>
      </c>
      <c r="I396" s="795" t="s">
        <v>1676</v>
      </c>
      <c r="J396" s="795" t="s">
        <v>1677</v>
      </c>
      <c r="K396" s="795" t="s">
        <v>1678</v>
      </c>
      <c r="L396" s="798">
        <v>2296.87</v>
      </c>
      <c r="M396" s="798">
        <v>2296.87</v>
      </c>
      <c r="N396" s="795">
        <v>1</v>
      </c>
      <c r="O396" s="799">
        <v>1</v>
      </c>
      <c r="P396" s="798">
        <v>2296.87</v>
      </c>
      <c r="Q396" s="800">
        <v>1</v>
      </c>
      <c r="R396" s="795">
        <v>1</v>
      </c>
      <c r="S396" s="800">
        <v>1</v>
      </c>
      <c r="T396" s="799">
        <v>1</v>
      </c>
      <c r="U396" s="801">
        <v>1</v>
      </c>
    </row>
    <row r="397" spans="1:21" ht="14.4" customHeight="1" x14ac:dyDescent="0.3">
      <c r="A397" s="794">
        <v>31</v>
      </c>
      <c r="B397" s="795" t="s">
        <v>592</v>
      </c>
      <c r="C397" s="795" t="s">
        <v>1513</v>
      </c>
      <c r="D397" s="796" t="s">
        <v>2055</v>
      </c>
      <c r="E397" s="797" t="s">
        <v>1532</v>
      </c>
      <c r="F397" s="795" t="s">
        <v>1510</v>
      </c>
      <c r="G397" s="795" t="s">
        <v>1589</v>
      </c>
      <c r="H397" s="795" t="s">
        <v>593</v>
      </c>
      <c r="I397" s="795" t="s">
        <v>1883</v>
      </c>
      <c r="J397" s="795" t="s">
        <v>1884</v>
      </c>
      <c r="K397" s="795" t="s">
        <v>1885</v>
      </c>
      <c r="L397" s="798">
        <v>320.25</v>
      </c>
      <c r="M397" s="798">
        <v>320.25</v>
      </c>
      <c r="N397" s="795">
        <v>1</v>
      </c>
      <c r="O397" s="799">
        <v>1</v>
      </c>
      <c r="P397" s="798">
        <v>320.25</v>
      </c>
      <c r="Q397" s="800">
        <v>1</v>
      </c>
      <c r="R397" s="795">
        <v>1</v>
      </c>
      <c r="S397" s="800">
        <v>1</v>
      </c>
      <c r="T397" s="799">
        <v>1</v>
      </c>
      <c r="U397" s="801">
        <v>1</v>
      </c>
    </row>
    <row r="398" spans="1:21" ht="14.4" customHeight="1" x14ac:dyDescent="0.3">
      <c r="A398" s="794">
        <v>31</v>
      </c>
      <c r="B398" s="795" t="s">
        <v>592</v>
      </c>
      <c r="C398" s="795" t="s">
        <v>1513</v>
      </c>
      <c r="D398" s="796" t="s">
        <v>2055</v>
      </c>
      <c r="E398" s="797" t="s">
        <v>1532</v>
      </c>
      <c r="F398" s="795" t="s">
        <v>1510</v>
      </c>
      <c r="G398" s="795" t="s">
        <v>1589</v>
      </c>
      <c r="H398" s="795" t="s">
        <v>593</v>
      </c>
      <c r="I398" s="795" t="s">
        <v>1725</v>
      </c>
      <c r="J398" s="795" t="s">
        <v>1726</v>
      </c>
      <c r="K398" s="795" t="s">
        <v>1727</v>
      </c>
      <c r="L398" s="798">
        <v>1575</v>
      </c>
      <c r="M398" s="798">
        <v>6300</v>
      </c>
      <c r="N398" s="795">
        <v>4</v>
      </c>
      <c r="O398" s="799">
        <v>4</v>
      </c>
      <c r="P398" s="798">
        <v>6300</v>
      </c>
      <c r="Q398" s="800">
        <v>1</v>
      </c>
      <c r="R398" s="795">
        <v>4</v>
      </c>
      <c r="S398" s="800">
        <v>1</v>
      </c>
      <c r="T398" s="799">
        <v>4</v>
      </c>
      <c r="U398" s="801">
        <v>1</v>
      </c>
    </row>
    <row r="399" spans="1:21" ht="14.4" customHeight="1" x14ac:dyDescent="0.3">
      <c r="A399" s="794">
        <v>31</v>
      </c>
      <c r="B399" s="795" t="s">
        <v>592</v>
      </c>
      <c r="C399" s="795" t="s">
        <v>1513</v>
      </c>
      <c r="D399" s="796" t="s">
        <v>2055</v>
      </c>
      <c r="E399" s="797" t="s">
        <v>1532</v>
      </c>
      <c r="F399" s="795" t="s">
        <v>1510</v>
      </c>
      <c r="G399" s="795" t="s">
        <v>1589</v>
      </c>
      <c r="H399" s="795" t="s">
        <v>593</v>
      </c>
      <c r="I399" s="795" t="s">
        <v>1886</v>
      </c>
      <c r="J399" s="795" t="s">
        <v>1887</v>
      </c>
      <c r="K399" s="795" t="s">
        <v>1888</v>
      </c>
      <c r="L399" s="798">
        <v>250</v>
      </c>
      <c r="M399" s="798">
        <v>750</v>
      </c>
      <c r="N399" s="795">
        <v>3</v>
      </c>
      <c r="O399" s="799">
        <v>1</v>
      </c>
      <c r="P399" s="798"/>
      <c r="Q399" s="800">
        <v>0</v>
      </c>
      <c r="R399" s="795"/>
      <c r="S399" s="800">
        <v>0</v>
      </c>
      <c r="T399" s="799"/>
      <c r="U399" s="801">
        <v>0</v>
      </c>
    </row>
    <row r="400" spans="1:21" ht="14.4" customHeight="1" x14ac:dyDescent="0.3">
      <c r="A400" s="794">
        <v>31</v>
      </c>
      <c r="B400" s="795" t="s">
        <v>592</v>
      </c>
      <c r="C400" s="795" t="s">
        <v>1513</v>
      </c>
      <c r="D400" s="796" t="s">
        <v>2055</v>
      </c>
      <c r="E400" s="797" t="s">
        <v>1532</v>
      </c>
      <c r="F400" s="795" t="s">
        <v>1510</v>
      </c>
      <c r="G400" s="795" t="s">
        <v>1589</v>
      </c>
      <c r="H400" s="795" t="s">
        <v>593</v>
      </c>
      <c r="I400" s="795" t="s">
        <v>1869</v>
      </c>
      <c r="J400" s="795" t="s">
        <v>1656</v>
      </c>
      <c r="K400" s="795" t="s">
        <v>1870</v>
      </c>
      <c r="L400" s="798">
        <v>50.5</v>
      </c>
      <c r="M400" s="798">
        <v>50.5</v>
      </c>
      <c r="N400" s="795">
        <v>1</v>
      </c>
      <c r="O400" s="799">
        <v>1</v>
      </c>
      <c r="P400" s="798">
        <v>50.5</v>
      </c>
      <c r="Q400" s="800">
        <v>1</v>
      </c>
      <c r="R400" s="795">
        <v>1</v>
      </c>
      <c r="S400" s="800">
        <v>1</v>
      </c>
      <c r="T400" s="799">
        <v>1</v>
      </c>
      <c r="U400" s="801">
        <v>1</v>
      </c>
    </row>
    <row r="401" spans="1:21" ht="14.4" customHeight="1" x14ac:dyDescent="0.3">
      <c r="A401" s="794">
        <v>31</v>
      </c>
      <c r="B401" s="795" t="s">
        <v>592</v>
      </c>
      <c r="C401" s="795" t="s">
        <v>1513</v>
      </c>
      <c r="D401" s="796" t="s">
        <v>2055</v>
      </c>
      <c r="E401" s="797" t="s">
        <v>1532</v>
      </c>
      <c r="F401" s="795" t="s">
        <v>1510</v>
      </c>
      <c r="G401" s="795" t="s">
        <v>1589</v>
      </c>
      <c r="H401" s="795" t="s">
        <v>593</v>
      </c>
      <c r="I401" s="795" t="s">
        <v>1602</v>
      </c>
      <c r="J401" s="795" t="s">
        <v>1603</v>
      </c>
      <c r="K401" s="795" t="s">
        <v>1604</v>
      </c>
      <c r="L401" s="798">
        <v>971.25</v>
      </c>
      <c r="M401" s="798">
        <v>2913.75</v>
      </c>
      <c r="N401" s="795">
        <v>3</v>
      </c>
      <c r="O401" s="799">
        <v>3</v>
      </c>
      <c r="P401" s="798">
        <v>2913.75</v>
      </c>
      <c r="Q401" s="800">
        <v>1</v>
      </c>
      <c r="R401" s="795">
        <v>3</v>
      </c>
      <c r="S401" s="800">
        <v>1</v>
      </c>
      <c r="T401" s="799">
        <v>3</v>
      </c>
      <c r="U401" s="801">
        <v>1</v>
      </c>
    </row>
    <row r="402" spans="1:21" ht="14.4" customHeight="1" x14ac:dyDescent="0.3">
      <c r="A402" s="794">
        <v>31</v>
      </c>
      <c r="B402" s="795" t="s">
        <v>592</v>
      </c>
      <c r="C402" s="795" t="s">
        <v>1513</v>
      </c>
      <c r="D402" s="796" t="s">
        <v>2055</v>
      </c>
      <c r="E402" s="797" t="s">
        <v>1532</v>
      </c>
      <c r="F402" s="795" t="s">
        <v>1510</v>
      </c>
      <c r="G402" s="795" t="s">
        <v>1589</v>
      </c>
      <c r="H402" s="795" t="s">
        <v>593</v>
      </c>
      <c r="I402" s="795" t="s">
        <v>1605</v>
      </c>
      <c r="J402" s="795" t="s">
        <v>1606</v>
      </c>
      <c r="K402" s="795" t="s">
        <v>1607</v>
      </c>
      <c r="L402" s="798">
        <v>350</v>
      </c>
      <c r="M402" s="798">
        <v>350</v>
      </c>
      <c r="N402" s="795">
        <v>1</v>
      </c>
      <c r="O402" s="799">
        <v>1</v>
      </c>
      <c r="P402" s="798">
        <v>350</v>
      </c>
      <c r="Q402" s="800">
        <v>1</v>
      </c>
      <c r="R402" s="795">
        <v>1</v>
      </c>
      <c r="S402" s="800">
        <v>1</v>
      </c>
      <c r="T402" s="799">
        <v>1</v>
      </c>
      <c r="U402" s="801">
        <v>1</v>
      </c>
    </row>
    <row r="403" spans="1:21" ht="14.4" customHeight="1" x14ac:dyDescent="0.3">
      <c r="A403" s="794">
        <v>31</v>
      </c>
      <c r="B403" s="795" t="s">
        <v>592</v>
      </c>
      <c r="C403" s="795" t="s">
        <v>1513</v>
      </c>
      <c r="D403" s="796" t="s">
        <v>2055</v>
      </c>
      <c r="E403" s="797" t="s">
        <v>1532</v>
      </c>
      <c r="F403" s="795" t="s">
        <v>1510</v>
      </c>
      <c r="G403" s="795" t="s">
        <v>1589</v>
      </c>
      <c r="H403" s="795" t="s">
        <v>593</v>
      </c>
      <c r="I403" s="795" t="s">
        <v>1978</v>
      </c>
      <c r="J403" s="795" t="s">
        <v>1979</v>
      </c>
      <c r="K403" s="795" t="s">
        <v>1980</v>
      </c>
      <c r="L403" s="798">
        <v>400</v>
      </c>
      <c r="M403" s="798">
        <v>400</v>
      </c>
      <c r="N403" s="795">
        <v>1</v>
      </c>
      <c r="O403" s="799">
        <v>1</v>
      </c>
      <c r="P403" s="798">
        <v>400</v>
      </c>
      <c r="Q403" s="800">
        <v>1</v>
      </c>
      <c r="R403" s="795">
        <v>1</v>
      </c>
      <c r="S403" s="800">
        <v>1</v>
      </c>
      <c r="T403" s="799">
        <v>1</v>
      </c>
      <c r="U403" s="801">
        <v>1</v>
      </c>
    </row>
    <row r="404" spans="1:21" ht="14.4" customHeight="1" x14ac:dyDescent="0.3">
      <c r="A404" s="794">
        <v>31</v>
      </c>
      <c r="B404" s="795" t="s">
        <v>592</v>
      </c>
      <c r="C404" s="795" t="s">
        <v>1513</v>
      </c>
      <c r="D404" s="796" t="s">
        <v>2055</v>
      </c>
      <c r="E404" s="797" t="s">
        <v>1532</v>
      </c>
      <c r="F404" s="795" t="s">
        <v>1510</v>
      </c>
      <c r="G404" s="795" t="s">
        <v>1589</v>
      </c>
      <c r="H404" s="795" t="s">
        <v>593</v>
      </c>
      <c r="I404" s="795" t="s">
        <v>1981</v>
      </c>
      <c r="J404" s="795" t="s">
        <v>1982</v>
      </c>
      <c r="K404" s="795" t="s">
        <v>1983</v>
      </c>
      <c r="L404" s="798">
        <v>628</v>
      </c>
      <c r="M404" s="798">
        <v>628</v>
      </c>
      <c r="N404" s="795">
        <v>1</v>
      </c>
      <c r="O404" s="799">
        <v>1</v>
      </c>
      <c r="P404" s="798"/>
      <c r="Q404" s="800">
        <v>0</v>
      </c>
      <c r="R404" s="795"/>
      <c r="S404" s="800">
        <v>0</v>
      </c>
      <c r="T404" s="799"/>
      <c r="U404" s="801">
        <v>0</v>
      </c>
    </row>
    <row r="405" spans="1:21" ht="14.4" customHeight="1" x14ac:dyDescent="0.3">
      <c r="A405" s="794">
        <v>31</v>
      </c>
      <c r="B405" s="795" t="s">
        <v>592</v>
      </c>
      <c r="C405" s="795" t="s">
        <v>1513</v>
      </c>
      <c r="D405" s="796" t="s">
        <v>2055</v>
      </c>
      <c r="E405" s="797" t="s">
        <v>1532</v>
      </c>
      <c r="F405" s="795" t="s">
        <v>1510</v>
      </c>
      <c r="G405" s="795" t="s">
        <v>1589</v>
      </c>
      <c r="H405" s="795" t="s">
        <v>593</v>
      </c>
      <c r="I405" s="795" t="s">
        <v>1984</v>
      </c>
      <c r="J405" s="795" t="s">
        <v>1985</v>
      </c>
      <c r="K405" s="795" t="s">
        <v>1986</v>
      </c>
      <c r="L405" s="798">
        <v>3200</v>
      </c>
      <c r="M405" s="798">
        <v>6400</v>
      </c>
      <c r="N405" s="795">
        <v>2</v>
      </c>
      <c r="O405" s="799">
        <v>2</v>
      </c>
      <c r="P405" s="798">
        <v>6400</v>
      </c>
      <c r="Q405" s="800">
        <v>1</v>
      </c>
      <c r="R405" s="795">
        <v>2</v>
      </c>
      <c r="S405" s="800">
        <v>1</v>
      </c>
      <c r="T405" s="799">
        <v>2</v>
      </c>
      <c r="U405" s="801">
        <v>1</v>
      </c>
    </row>
    <row r="406" spans="1:21" ht="14.4" customHeight="1" x14ac:dyDescent="0.3">
      <c r="A406" s="794">
        <v>31</v>
      </c>
      <c r="B406" s="795" t="s">
        <v>592</v>
      </c>
      <c r="C406" s="795" t="s">
        <v>1513</v>
      </c>
      <c r="D406" s="796" t="s">
        <v>2055</v>
      </c>
      <c r="E406" s="797" t="s">
        <v>1532</v>
      </c>
      <c r="F406" s="795" t="s">
        <v>1510</v>
      </c>
      <c r="G406" s="795" t="s">
        <v>1987</v>
      </c>
      <c r="H406" s="795" t="s">
        <v>593</v>
      </c>
      <c r="I406" s="795" t="s">
        <v>1988</v>
      </c>
      <c r="J406" s="795" t="s">
        <v>1989</v>
      </c>
      <c r="K406" s="795" t="s">
        <v>1990</v>
      </c>
      <c r="L406" s="798">
        <v>1659.44</v>
      </c>
      <c r="M406" s="798">
        <v>23232.16</v>
      </c>
      <c r="N406" s="795">
        <v>14</v>
      </c>
      <c r="O406" s="799">
        <v>14</v>
      </c>
      <c r="P406" s="798">
        <v>19913.28</v>
      </c>
      <c r="Q406" s="800">
        <v>0.8571428571428571</v>
      </c>
      <c r="R406" s="795">
        <v>12</v>
      </c>
      <c r="S406" s="800">
        <v>0.8571428571428571</v>
      </c>
      <c r="T406" s="799">
        <v>12</v>
      </c>
      <c r="U406" s="801">
        <v>0.8571428571428571</v>
      </c>
    </row>
    <row r="407" spans="1:21" ht="14.4" customHeight="1" x14ac:dyDescent="0.3">
      <c r="A407" s="794">
        <v>31</v>
      </c>
      <c r="B407" s="795" t="s">
        <v>592</v>
      </c>
      <c r="C407" s="795" t="s">
        <v>1513</v>
      </c>
      <c r="D407" s="796" t="s">
        <v>2055</v>
      </c>
      <c r="E407" s="797" t="s">
        <v>1533</v>
      </c>
      <c r="F407" s="795" t="s">
        <v>1508</v>
      </c>
      <c r="G407" s="795" t="s">
        <v>1553</v>
      </c>
      <c r="H407" s="795" t="s">
        <v>912</v>
      </c>
      <c r="I407" s="795" t="s">
        <v>1068</v>
      </c>
      <c r="J407" s="795" t="s">
        <v>1438</v>
      </c>
      <c r="K407" s="795" t="s">
        <v>1439</v>
      </c>
      <c r="L407" s="798">
        <v>149.52000000000001</v>
      </c>
      <c r="M407" s="798">
        <v>149.52000000000001</v>
      </c>
      <c r="N407" s="795">
        <v>1</v>
      </c>
      <c r="O407" s="799">
        <v>1</v>
      </c>
      <c r="P407" s="798">
        <v>149.52000000000001</v>
      </c>
      <c r="Q407" s="800">
        <v>1</v>
      </c>
      <c r="R407" s="795">
        <v>1</v>
      </c>
      <c r="S407" s="800">
        <v>1</v>
      </c>
      <c r="T407" s="799">
        <v>1</v>
      </c>
      <c r="U407" s="801">
        <v>1</v>
      </c>
    </row>
    <row r="408" spans="1:21" ht="14.4" customHeight="1" x14ac:dyDescent="0.3">
      <c r="A408" s="794">
        <v>31</v>
      </c>
      <c r="B408" s="795" t="s">
        <v>592</v>
      </c>
      <c r="C408" s="795" t="s">
        <v>1513</v>
      </c>
      <c r="D408" s="796" t="s">
        <v>2055</v>
      </c>
      <c r="E408" s="797" t="s">
        <v>1533</v>
      </c>
      <c r="F408" s="795" t="s">
        <v>1508</v>
      </c>
      <c r="G408" s="795" t="s">
        <v>1810</v>
      </c>
      <c r="H408" s="795" t="s">
        <v>912</v>
      </c>
      <c r="I408" s="795" t="s">
        <v>1991</v>
      </c>
      <c r="J408" s="795" t="s">
        <v>1812</v>
      </c>
      <c r="K408" s="795" t="s">
        <v>1992</v>
      </c>
      <c r="L408" s="798">
        <v>141.09</v>
      </c>
      <c r="M408" s="798">
        <v>141.09</v>
      </c>
      <c r="N408" s="795">
        <v>1</v>
      </c>
      <c r="O408" s="799">
        <v>0.5</v>
      </c>
      <c r="P408" s="798">
        <v>141.09</v>
      </c>
      <c r="Q408" s="800">
        <v>1</v>
      </c>
      <c r="R408" s="795">
        <v>1</v>
      </c>
      <c r="S408" s="800">
        <v>1</v>
      </c>
      <c r="T408" s="799">
        <v>0.5</v>
      </c>
      <c r="U408" s="801">
        <v>1</v>
      </c>
    </row>
    <row r="409" spans="1:21" ht="14.4" customHeight="1" x14ac:dyDescent="0.3">
      <c r="A409" s="794">
        <v>31</v>
      </c>
      <c r="B409" s="795" t="s">
        <v>592</v>
      </c>
      <c r="C409" s="795" t="s">
        <v>1513</v>
      </c>
      <c r="D409" s="796" t="s">
        <v>2055</v>
      </c>
      <c r="E409" s="797" t="s">
        <v>1533</v>
      </c>
      <c r="F409" s="795" t="s">
        <v>1508</v>
      </c>
      <c r="G409" s="795" t="s">
        <v>1634</v>
      </c>
      <c r="H409" s="795" t="s">
        <v>593</v>
      </c>
      <c r="I409" s="795" t="s">
        <v>1993</v>
      </c>
      <c r="J409" s="795" t="s">
        <v>1856</v>
      </c>
      <c r="K409" s="795" t="s">
        <v>1994</v>
      </c>
      <c r="L409" s="798">
        <v>32.28</v>
      </c>
      <c r="M409" s="798">
        <v>32.28</v>
      </c>
      <c r="N409" s="795">
        <v>1</v>
      </c>
      <c r="O409" s="799">
        <v>1</v>
      </c>
      <c r="P409" s="798">
        <v>32.28</v>
      </c>
      <c r="Q409" s="800">
        <v>1</v>
      </c>
      <c r="R409" s="795">
        <v>1</v>
      </c>
      <c r="S409" s="800">
        <v>1</v>
      </c>
      <c r="T409" s="799">
        <v>1</v>
      </c>
      <c r="U409" s="801">
        <v>1</v>
      </c>
    </row>
    <row r="410" spans="1:21" ht="14.4" customHeight="1" x14ac:dyDescent="0.3">
      <c r="A410" s="794">
        <v>31</v>
      </c>
      <c r="B410" s="795" t="s">
        <v>592</v>
      </c>
      <c r="C410" s="795" t="s">
        <v>1513</v>
      </c>
      <c r="D410" s="796" t="s">
        <v>2055</v>
      </c>
      <c r="E410" s="797" t="s">
        <v>1533</v>
      </c>
      <c r="F410" s="795" t="s">
        <v>1508</v>
      </c>
      <c r="G410" s="795" t="s">
        <v>1995</v>
      </c>
      <c r="H410" s="795" t="s">
        <v>593</v>
      </c>
      <c r="I410" s="795" t="s">
        <v>1996</v>
      </c>
      <c r="J410" s="795" t="s">
        <v>1997</v>
      </c>
      <c r="K410" s="795" t="s">
        <v>1998</v>
      </c>
      <c r="L410" s="798">
        <v>0</v>
      </c>
      <c r="M410" s="798">
        <v>0</v>
      </c>
      <c r="N410" s="795">
        <v>2</v>
      </c>
      <c r="O410" s="799">
        <v>1</v>
      </c>
      <c r="P410" s="798">
        <v>0</v>
      </c>
      <c r="Q410" s="800"/>
      <c r="R410" s="795">
        <v>2</v>
      </c>
      <c r="S410" s="800">
        <v>1</v>
      </c>
      <c r="T410" s="799">
        <v>1</v>
      </c>
      <c r="U410" s="801">
        <v>1</v>
      </c>
    </row>
    <row r="411" spans="1:21" ht="14.4" customHeight="1" x14ac:dyDescent="0.3">
      <c r="A411" s="794">
        <v>31</v>
      </c>
      <c r="B411" s="795" t="s">
        <v>592</v>
      </c>
      <c r="C411" s="795" t="s">
        <v>1513</v>
      </c>
      <c r="D411" s="796" t="s">
        <v>2055</v>
      </c>
      <c r="E411" s="797" t="s">
        <v>1533</v>
      </c>
      <c r="F411" s="795" t="s">
        <v>1508</v>
      </c>
      <c r="G411" s="795" t="s">
        <v>1944</v>
      </c>
      <c r="H411" s="795" t="s">
        <v>593</v>
      </c>
      <c r="I411" s="795" t="s">
        <v>1999</v>
      </c>
      <c r="J411" s="795" t="s">
        <v>2000</v>
      </c>
      <c r="K411" s="795" t="s">
        <v>2001</v>
      </c>
      <c r="L411" s="798">
        <v>59.78</v>
      </c>
      <c r="M411" s="798">
        <v>119.56</v>
      </c>
      <c r="N411" s="795">
        <v>2</v>
      </c>
      <c r="O411" s="799">
        <v>0.5</v>
      </c>
      <c r="P411" s="798">
        <v>119.56</v>
      </c>
      <c r="Q411" s="800">
        <v>1</v>
      </c>
      <c r="R411" s="795">
        <v>2</v>
      </c>
      <c r="S411" s="800">
        <v>1</v>
      </c>
      <c r="T411" s="799">
        <v>0.5</v>
      </c>
      <c r="U411" s="801">
        <v>1</v>
      </c>
    </row>
    <row r="412" spans="1:21" ht="14.4" customHeight="1" x14ac:dyDescent="0.3">
      <c r="A412" s="794">
        <v>31</v>
      </c>
      <c r="B412" s="795" t="s">
        <v>592</v>
      </c>
      <c r="C412" s="795" t="s">
        <v>1513</v>
      </c>
      <c r="D412" s="796" t="s">
        <v>2055</v>
      </c>
      <c r="E412" s="797" t="s">
        <v>1533</v>
      </c>
      <c r="F412" s="795" t="s">
        <v>1508</v>
      </c>
      <c r="G412" s="795" t="s">
        <v>1539</v>
      </c>
      <c r="H412" s="795" t="s">
        <v>912</v>
      </c>
      <c r="I412" s="795" t="s">
        <v>1540</v>
      </c>
      <c r="J412" s="795" t="s">
        <v>977</v>
      </c>
      <c r="K412" s="795" t="s">
        <v>1414</v>
      </c>
      <c r="L412" s="798">
        <v>490.89</v>
      </c>
      <c r="M412" s="798">
        <v>3927.1199999999994</v>
      </c>
      <c r="N412" s="795">
        <v>8</v>
      </c>
      <c r="O412" s="799">
        <v>8</v>
      </c>
      <c r="P412" s="798">
        <v>3927.1199999999994</v>
      </c>
      <c r="Q412" s="800">
        <v>1</v>
      </c>
      <c r="R412" s="795">
        <v>8</v>
      </c>
      <c r="S412" s="800">
        <v>1</v>
      </c>
      <c r="T412" s="799">
        <v>8</v>
      </c>
      <c r="U412" s="801">
        <v>1</v>
      </c>
    </row>
    <row r="413" spans="1:21" ht="14.4" customHeight="1" x14ac:dyDescent="0.3">
      <c r="A413" s="794">
        <v>31</v>
      </c>
      <c r="B413" s="795" t="s">
        <v>592</v>
      </c>
      <c r="C413" s="795" t="s">
        <v>1513</v>
      </c>
      <c r="D413" s="796" t="s">
        <v>2055</v>
      </c>
      <c r="E413" s="797" t="s">
        <v>1533</v>
      </c>
      <c r="F413" s="795" t="s">
        <v>1508</v>
      </c>
      <c r="G413" s="795" t="s">
        <v>1539</v>
      </c>
      <c r="H413" s="795" t="s">
        <v>912</v>
      </c>
      <c r="I413" s="795" t="s">
        <v>1964</v>
      </c>
      <c r="J413" s="795" t="s">
        <v>977</v>
      </c>
      <c r="K413" s="795" t="s">
        <v>1965</v>
      </c>
      <c r="L413" s="798">
        <v>147.26</v>
      </c>
      <c r="M413" s="798">
        <v>441.78</v>
      </c>
      <c r="N413" s="795">
        <v>3</v>
      </c>
      <c r="O413" s="799">
        <v>2</v>
      </c>
      <c r="P413" s="798">
        <v>441.78</v>
      </c>
      <c r="Q413" s="800">
        <v>1</v>
      </c>
      <c r="R413" s="795">
        <v>3</v>
      </c>
      <c r="S413" s="800">
        <v>1</v>
      </c>
      <c r="T413" s="799">
        <v>2</v>
      </c>
      <c r="U413" s="801">
        <v>1</v>
      </c>
    </row>
    <row r="414" spans="1:21" ht="14.4" customHeight="1" x14ac:dyDescent="0.3">
      <c r="A414" s="794">
        <v>31</v>
      </c>
      <c r="B414" s="795" t="s">
        <v>592</v>
      </c>
      <c r="C414" s="795" t="s">
        <v>1513</v>
      </c>
      <c r="D414" s="796" t="s">
        <v>2055</v>
      </c>
      <c r="E414" s="797" t="s">
        <v>1533</v>
      </c>
      <c r="F414" s="795" t="s">
        <v>1508</v>
      </c>
      <c r="G414" s="795" t="s">
        <v>1539</v>
      </c>
      <c r="H414" s="795" t="s">
        <v>912</v>
      </c>
      <c r="I414" s="795" t="s">
        <v>1552</v>
      </c>
      <c r="J414" s="795" t="s">
        <v>977</v>
      </c>
      <c r="K414" s="795" t="s">
        <v>1413</v>
      </c>
      <c r="L414" s="798">
        <v>736.33</v>
      </c>
      <c r="M414" s="798">
        <v>2208.9900000000002</v>
      </c>
      <c r="N414" s="795">
        <v>3</v>
      </c>
      <c r="O414" s="799">
        <v>2</v>
      </c>
      <c r="P414" s="798">
        <v>2208.9900000000002</v>
      </c>
      <c r="Q414" s="800">
        <v>1</v>
      </c>
      <c r="R414" s="795">
        <v>3</v>
      </c>
      <c r="S414" s="800">
        <v>1</v>
      </c>
      <c r="T414" s="799">
        <v>2</v>
      </c>
      <c r="U414" s="801">
        <v>1</v>
      </c>
    </row>
    <row r="415" spans="1:21" ht="14.4" customHeight="1" x14ac:dyDescent="0.3">
      <c r="A415" s="794">
        <v>31</v>
      </c>
      <c r="B415" s="795" t="s">
        <v>592</v>
      </c>
      <c r="C415" s="795" t="s">
        <v>1513</v>
      </c>
      <c r="D415" s="796" t="s">
        <v>2055</v>
      </c>
      <c r="E415" s="797" t="s">
        <v>1533</v>
      </c>
      <c r="F415" s="795" t="s">
        <v>1508</v>
      </c>
      <c r="G415" s="795" t="s">
        <v>2002</v>
      </c>
      <c r="H415" s="795" t="s">
        <v>593</v>
      </c>
      <c r="I415" s="795" t="s">
        <v>2003</v>
      </c>
      <c r="J415" s="795" t="s">
        <v>2004</v>
      </c>
      <c r="K415" s="795" t="s">
        <v>2005</v>
      </c>
      <c r="L415" s="798">
        <v>0</v>
      </c>
      <c r="M415" s="798">
        <v>0</v>
      </c>
      <c r="N415" s="795">
        <v>2</v>
      </c>
      <c r="O415" s="799">
        <v>1</v>
      </c>
      <c r="P415" s="798">
        <v>0</v>
      </c>
      <c r="Q415" s="800"/>
      <c r="R415" s="795">
        <v>2</v>
      </c>
      <c r="S415" s="800">
        <v>1</v>
      </c>
      <c r="T415" s="799">
        <v>1</v>
      </c>
      <c r="U415" s="801">
        <v>1</v>
      </c>
    </row>
    <row r="416" spans="1:21" ht="14.4" customHeight="1" x14ac:dyDescent="0.3">
      <c r="A416" s="794">
        <v>31</v>
      </c>
      <c r="B416" s="795" t="s">
        <v>592</v>
      </c>
      <c r="C416" s="795" t="s">
        <v>1513</v>
      </c>
      <c r="D416" s="796" t="s">
        <v>2055</v>
      </c>
      <c r="E416" s="797" t="s">
        <v>1533</v>
      </c>
      <c r="F416" s="795" t="s">
        <v>1510</v>
      </c>
      <c r="G416" s="795" t="s">
        <v>1548</v>
      </c>
      <c r="H416" s="795" t="s">
        <v>593</v>
      </c>
      <c r="I416" s="795" t="s">
        <v>1805</v>
      </c>
      <c r="J416" s="795" t="s">
        <v>1550</v>
      </c>
      <c r="K416" s="795" t="s">
        <v>1806</v>
      </c>
      <c r="L416" s="798">
        <v>30.99</v>
      </c>
      <c r="M416" s="798">
        <v>92.97</v>
      </c>
      <c r="N416" s="795">
        <v>3</v>
      </c>
      <c r="O416" s="799">
        <v>3</v>
      </c>
      <c r="P416" s="798">
        <v>92.97</v>
      </c>
      <c r="Q416" s="800">
        <v>1</v>
      </c>
      <c r="R416" s="795">
        <v>3</v>
      </c>
      <c r="S416" s="800">
        <v>1</v>
      </c>
      <c r="T416" s="799">
        <v>3</v>
      </c>
      <c r="U416" s="801">
        <v>1</v>
      </c>
    </row>
    <row r="417" spans="1:21" ht="14.4" customHeight="1" x14ac:dyDescent="0.3">
      <c r="A417" s="794">
        <v>31</v>
      </c>
      <c r="B417" s="795" t="s">
        <v>592</v>
      </c>
      <c r="C417" s="795" t="s">
        <v>1513</v>
      </c>
      <c r="D417" s="796" t="s">
        <v>2055</v>
      </c>
      <c r="E417" s="797" t="s">
        <v>1533</v>
      </c>
      <c r="F417" s="795" t="s">
        <v>1510</v>
      </c>
      <c r="G417" s="795" t="s">
        <v>1589</v>
      </c>
      <c r="H417" s="795" t="s">
        <v>593</v>
      </c>
      <c r="I417" s="795" t="s">
        <v>1883</v>
      </c>
      <c r="J417" s="795" t="s">
        <v>1884</v>
      </c>
      <c r="K417" s="795" t="s">
        <v>1885</v>
      </c>
      <c r="L417" s="798">
        <v>320.25</v>
      </c>
      <c r="M417" s="798">
        <v>320.25</v>
      </c>
      <c r="N417" s="795">
        <v>1</v>
      </c>
      <c r="O417" s="799">
        <v>1</v>
      </c>
      <c r="P417" s="798">
        <v>320.25</v>
      </c>
      <c r="Q417" s="800">
        <v>1</v>
      </c>
      <c r="R417" s="795">
        <v>1</v>
      </c>
      <c r="S417" s="800">
        <v>1</v>
      </c>
      <c r="T417" s="799">
        <v>1</v>
      </c>
      <c r="U417" s="801">
        <v>1</v>
      </c>
    </row>
    <row r="418" spans="1:21" ht="14.4" customHeight="1" x14ac:dyDescent="0.3">
      <c r="A418" s="794">
        <v>31</v>
      </c>
      <c r="B418" s="795" t="s">
        <v>592</v>
      </c>
      <c r="C418" s="795" t="s">
        <v>1513</v>
      </c>
      <c r="D418" s="796" t="s">
        <v>2055</v>
      </c>
      <c r="E418" s="797" t="s">
        <v>1533</v>
      </c>
      <c r="F418" s="795" t="s">
        <v>1510</v>
      </c>
      <c r="G418" s="795" t="s">
        <v>1589</v>
      </c>
      <c r="H418" s="795" t="s">
        <v>593</v>
      </c>
      <c r="I418" s="795" t="s">
        <v>1602</v>
      </c>
      <c r="J418" s="795" t="s">
        <v>1603</v>
      </c>
      <c r="K418" s="795" t="s">
        <v>1604</v>
      </c>
      <c r="L418" s="798">
        <v>971.25</v>
      </c>
      <c r="M418" s="798">
        <v>971.25</v>
      </c>
      <c r="N418" s="795">
        <v>1</v>
      </c>
      <c r="O418" s="799">
        <v>1</v>
      </c>
      <c r="P418" s="798">
        <v>971.25</v>
      </c>
      <c r="Q418" s="800">
        <v>1</v>
      </c>
      <c r="R418" s="795">
        <v>1</v>
      </c>
      <c r="S418" s="800">
        <v>1</v>
      </c>
      <c r="T418" s="799">
        <v>1</v>
      </c>
      <c r="U418" s="801">
        <v>1</v>
      </c>
    </row>
    <row r="419" spans="1:21" ht="14.4" customHeight="1" x14ac:dyDescent="0.3">
      <c r="A419" s="794">
        <v>31</v>
      </c>
      <c r="B419" s="795" t="s">
        <v>592</v>
      </c>
      <c r="C419" s="795" t="s">
        <v>1513</v>
      </c>
      <c r="D419" s="796" t="s">
        <v>2055</v>
      </c>
      <c r="E419" s="797" t="s">
        <v>1533</v>
      </c>
      <c r="F419" s="795" t="s">
        <v>1510</v>
      </c>
      <c r="G419" s="795" t="s">
        <v>1589</v>
      </c>
      <c r="H419" s="795" t="s">
        <v>593</v>
      </c>
      <c r="I419" s="795" t="s">
        <v>1781</v>
      </c>
      <c r="J419" s="795" t="s">
        <v>1782</v>
      </c>
      <c r="K419" s="795" t="s">
        <v>1783</v>
      </c>
      <c r="L419" s="798">
        <v>600</v>
      </c>
      <c r="M419" s="798">
        <v>600</v>
      </c>
      <c r="N419" s="795">
        <v>1</v>
      </c>
      <c r="O419" s="799">
        <v>1</v>
      </c>
      <c r="P419" s="798"/>
      <c r="Q419" s="800">
        <v>0</v>
      </c>
      <c r="R419" s="795"/>
      <c r="S419" s="800">
        <v>0</v>
      </c>
      <c r="T419" s="799"/>
      <c r="U419" s="801">
        <v>0</v>
      </c>
    </row>
    <row r="420" spans="1:21" ht="14.4" customHeight="1" x14ac:dyDescent="0.3">
      <c r="A420" s="794">
        <v>31</v>
      </c>
      <c r="B420" s="795" t="s">
        <v>592</v>
      </c>
      <c r="C420" s="795" t="s">
        <v>1513</v>
      </c>
      <c r="D420" s="796" t="s">
        <v>2055</v>
      </c>
      <c r="E420" s="797" t="s">
        <v>1533</v>
      </c>
      <c r="F420" s="795" t="s">
        <v>1510</v>
      </c>
      <c r="G420" s="795" t="s">
        <v>1617</v>
      </c>
      <c r="H420" s="795" t="s">
        <v>593</v>
      </c>
      <c r="I420" s="795" t="s">
        <v>1621</v>
      </c>
      <c r="J420" s="795" t="s">
        <v>1622</v>
      </c>
      <c r="K420" s="795" t="s">
        <v>1623</v>
      </c>
      <c r="L420" s="798">
        <v>200</v>
      </c>
      <c r="M420" s="798">
        <v>1600</v>
      </c>
      <c r="N420" s="795">
        <v>8</v>
      </c>
      <c r="O420" s="799">
        <v>4</v>
      </c>
      <c r="P420" s="798">
        <v>1200</v>
      </c>
      <c r="Q420" s="800">
        <v>0.75</v>
      </c>
      <c r="R420" s="795">
        <v>6</v>
      </c>
      <c r="S420" s="800">
        <v>0.75</v>
      </c>
      <c r="T420" s="799">
        <v>3</v>
      </c>
      <c r="U420" s="801">
        <v>0.75</v>
      </c>
    </row>
    <row r="421" spans="1:21" ht="14.4" customHeight="1" x14ac:dyDescent="0.3">
      <c r="A421" s="794">
        <v>31</v>
      </c>
      <c r="B421" s="795" t="s">
        <v>592</v>
      </c>
      <c r="C421" s="795" t="s">
        <v>1513</v>
      </c>
      <c r="D421" s="796" t="s">
        <v>2055</v>
      </c>
      <c r="E421" s="797" t="s">
        <v>1534</v>
      </c>
      <c r="F421" s="795" t="s">
        <v>1508</v>
      </c>
      <c r="G421" s="795" t="s">
        <v>1810</v>
      </c>
      <c r="H421" s="795" t="s">
        <v>912</v>
      </c>
      <c r="I421" s="795" t="s">
        <v>1811</v>
      </c>
      <c r="J421" s="795" t="s">
        <v>1812</v>
      </c>
      <c r="K421" s="795" t="s">
        <v>1813</v>
      </c>
      <c r="L421" s="798">
        <v>70.540000000000006</v>
      </c>
      <c r="M421" s="798">
        <v>70.540000000000006</v>
      </c>
      <c r="N421" s="795">
        <v>1</v>
      </c>
      <c r="O421" s="799">
        <v>1</v>
      </c>
      <c r="P421" s="798"/>
      <c r="Q421" s="800">
        <v>0</v>
      </c>
      <c r="R421" s="795"/>
      <c r="S421" s="800">
        <v>0</v>
      </c>
      <c r="T421" s="799"/>
      <c r="U421" s="801">
        <v>0</v>
      </c>
    </row>
    <row r="422" spans="1:21" ht="14.4" customHeight="1" x14ac:dyDescent="0.3">
      <c r="A422" s="794">
        <v>31</v>
      </c>
      <c r="B422" s="795" t="s">
        <v>592</v>
      </c>
      <c r="C422" s="795" t="s">
        <v>1513</v>
      </c>
      <c r="D422" s="796" t="s">
        <v>2055</v>
      </c>
      <c r="E422" s="797" t="s">
        <v>1534</v>
      </c>
      <c r="F422" s="795" t="s">
        <v>1508</v>
      </c>
      <c r="G422" s="795" t="s">
        <v>1631</v>
      </c>
      <c r="H422" s="795" t="s">
        <v>593</v>
      </c>
      <c r="I422" s="795" t="s">
        <v>2006</v>
      </c>
      <c r="J422" s="795" t="s">
        <v>1757</v>
      </c>
      <c r="K422" s="795" t="s">
        <v>1558</v>
      </c>
      <c r="L422" s="798">
        <v>170.52</v>
      </c>
      <c r="M422" s="798">
        <v>341.04</v>
      </c>
      <c r="N422" s="795">
        <v>2</v>
      </c>
      <c r="O422" s="799">
        <v>1.5</v>
      </c>
      <c r="P422" s="798">
        <v>170.52</v>
      </c>
      <c r="Q422" s="800">
        <v>0.5</v>
      </c>
      <c r="R422" s="795">
        <v>1</v>
      </c>
      <c r="S422" s="800">
        <v>0.5</v>
      </c>
      <c r="T422" s="799">
        <v>0.5</v>
      </c>
      <c r="U422" s="801">
        <v>0.33333333333333331</v>
      </c>
    </row>
    <row r="423" spans="1:21" ht="14.4" customHeight="1" x14ac:dyDescent="0.3">
      <c r="A423" s="794">
        <v>31</v>
      </c>
      <c r="B423" s="795" t="s">
        <v>592</v>
      </c>
      <c r="C423" s="795" t="s">
        <v>1513</v>
      </c>
      <c r="D423" s="796" t="s">
        <v>2055</v>
      </c>
      <c r="E423" s="797" t="s">
        <v>1534</v>
      </c>
      <c r="F423" s="795" t="s">
        <v>1508</v>
      </c>
      <c r="G423" s="795" t="s">
        <v>1631</v>
      </c>
      <c r="H423" s="795" t="s">
        <v>593</v>
      </c>
      <c r="I423" s="795" t="s">
        <v>1023</v>
      </c>
      <c r="J423" s="795" t="s">
        <v>1757</v>
      </c>
      <c r="K423" s="795" t="s">
        <v>1558</v>
      </c>
      <c r="L423" s="798">
        <v>170.52</v>
      </c>
      <c r="M423" s="798">
        <v>341.04</v>
      </c>
      <c r="N423" s="795">
        <v>2</v>
      </c>
      <c r="O423" s="799">
        <v>1.5</v>
      </c>
      <c r="P423" s="798">
        <v>170.52</v>
      </c>
      <c r="Q423" s="800">
        <v>0.5</v>
      </c>
      <c r="R423" s="795">
        <v>1</v>
      </c>
      <c r="S423" s="800">
        <v>0.5</v>
      </c>
      <c r="T423" s="799">
        <v>1</v>
      </c>
      <c r="U423" s="801">
        <v>0.66666666666666663</v>
      </c>
    </row>
    <row r="424" spans="1:21" ht="14.4" customHeight="1" x14ac:dyDescent="0.3">
      <c r="A424" s="794">
        <v>31</v>
      </c>
      <c r="B424" s="795" t="s">
        <v>592</v>
      </c>
      <c r="C424" s="795" t="s">
        <v>1513</v>
      </c>
      <c r="D424" s="796" t="s">
        <v>2055</v>
      </c>
      <c r="E424" s="797" t="s">
        <v>1534</v>
      </c>
      <c r="F424" s="795" t="s">
        <v>1508</v>
      </c>
      <c r="G424" s="795" t="s">
        <v>1631</v>
      </c>
      <c r="H424" s="795" t="s">
        <v>593</v>
      </c>
      <c r="I424" s="795" t="s">
        <v>1814</v>
      </c>
      <c r="J424" s="795" t="s">
        <v>1757</v>
      </c>
      <c r="K424" s="795" t="s">
        <v>1815</v>
      </c>
      <c r="L424" s="798">
        <v>55.41</v>
      </c>
      <c r="M424" s="798">
        <v>55.41</v>
      </c>
      <c r="N424" s="795">
        <v>1</v>
      </c>
      <c r="O424" s="799">
        <v>1</v>
      </c>
      <c r="P424" s="798">
        <v>55.41</v>
      </c>
      <c r="Q424" s="800">
        <v>1</v>
      </c>
      <c r="R424" s="795">
        <v>1</v>
      </c>
      <c r="S424" s="800">
        <v>1</v>
      </c>
      <c r="T424" s="799">
        <v>1</v>
      </c>
      <c r="U424" s="801">
        <v>1</v>
      </c>
    </row>
    <row r="425" spans="1:21" ht="14.4" customHeight="1" x14ac:dyDescent="0.3">
      <c r="A425" s="794">
        <v>31</v>
      </c>
      <c r="B425" s="795" t="s">
        <v>592</v>
      </c>
      <c r="C425" s="795" t="s">
        <v>1513</v>
      </c>
      <c r="D425" s="796" t="s">
        <v>2055</v>
      </c>
      <c r="E425" s="797" t="s">
        <v>1534</v>
      </c>
      <c r="F425" s="795" t="s">
        <v>1508</v>
      </c>
      <c r="G425" s="795" t="s">
        <v>1638</v>
      </c>
      <c r="H425" s="795" t="s">
        <v>593</v>
      </c>
      <c r="I425" s="795" t="s">
        <v>1639</v>
      </c>
      <c r="J425" s="795" t="s">
        <v>1640</v>
      </c>
      <c r="K425" s="795" t="s">
        <v>1641</v>
      </c>
      <c r="L425" s="798">
        <v>0</v>
      </c>
      <c r="M425" s="798">
        <v>0</v>
      </c>
      <c r="N425" s="795">
        <v>2</v>
      </c>
      <c r="O425" s="799">
        <v>0.5</v>
      </c>
      <c r="P425" s="798"/>
      <c r="Q425" s="800"/>
      <c r="R425" s="795"/>
      <c r="S425" s="800">
        <v>0</v>
      </c>
      <c r="T425" s="799"/>
      <c r="U425" s="801">
        <v>0</v>
      </c>
    </row>
    <row r="426" spans="1:21" ht="14.4" customHeight="1" x14ac:dyDescent="0.3">
      <c r="A426" s="794">
        <v>31</v>
      </c>
      <c r="B426" s="795" t="s">
        <v>592</v>
      </c>
      <c r="C426" s="795" t="s">
        <v>1513</v>
      </c>
      <c r="D426" s="796" t="s">
        <v>2055</v>
      </c>
      <c r="E426" s="797" t="s">
        <v>1534</v>
      </c>
      <c r="F426" s="795" t="s">
        <v>1508</v>
      </c>
      <c r="G426" s="795" t="s">
        <v>1684</v>
      </c>
      <c r="H426" s="795" t="s">
        <v>593</v>
      </c>
      <c r="I426" s="795" t="s">
        <v>1941</v>
      </c>
      <c r="J426" s="795" t="s">
        <v>1942</v>
      </c>
      <c r="K426" s="795" t="s">
        <v>1943</v>
      </c>
      <c r="L426" s="798">
        <v>89.91</v>
      </c>
      <c r="M426" s="798">
        <v>89.91</v>
      </c>
      <c r="N426" s="795">
        <v>1</v>
      </c>
      <c r="O426" s="799">
        <v>0.5</v>
      </c>
      <c r="P426" s="798"/>
      <c r="Q426" s="800">
        <v>0</v>
      </c>
      <c r="R426" s="795"/>
      <c r="S426" s="800">
        <v>0</v>
      </c>
      <c r="T426" s="799"/>
      <c r="U426" s="801">
        <v>0</v>
      </c>
    </row>
    <row r="427" spans="1:21" ht="14.4" customHeight="1" x14ac:dyDescent="0.3">
      <c r="A427" s="794">
        <v>31</v>
      </c>
      <c r="B427" s="795" t="s">
        <v>592</v>
      </c>
      <c r="C427" s="795" t="s">
        <v>1513</v>
      </c>
      <c r="D427" s="796" t="s">
        <v>2055</v>
      </c>
      <c r="E427" s="797" t="s">
        <v>1534</v>
      </c>
      <c r="F427" s="795" t="s">
        <v>1508</v>
      </c>
      <c r="G427" s="795" t="s">
        <v>1537</v>
      </c>
      <c r="H427" s="795" t="s">
        <v>593</v>
      </c>
      <c r="I427" s="795" t="s">
        <v>1271</v>
      </c>
      <c r="J427" s="795" t="s">
        <v>748</v>
      </c>
      <c r="K427" s="795" t="s">
        <v>1790</v>
      </c>
      <c r="L427" s="798">
        <v>0</v>
      </c>
      <c r="M427" s="798">
        <v>0</v>
      </c>
      <c r="N427" s="795">
        <v>1</v>
      </c>
      <c r="O427" s="799">
        <v>0.5</v>
      </c>
      <c r="P427" s="798">
        <v>0</v>
      </c>
      <c r="Q427" s="800"/>
      <c r="R427" s="795">
        <v>1</v>
      </c>
      <c r="S427" s="800">
        <v>1</v>
      </c>
      <c r="T427" s="799">
        <v>0.5</v>
      </c>
      <c r="U427" s="801">
        <v>1</v>
      </c>
    </row>
    <row r="428" spans="1:21" ht="14.4" customHeight="1" x14ac:dyDescent="0.3">
      <c r="A428" s="794">
        <v>31</v>
      </c>
      <c r="B428" s="795" t="s">
        <v>592</v>
      </c>
      <c r="C428" s="795" t="s">
        <v>1513</v>
      </c>
      <c r="D428" s="796" t="s">
        <v>2055</v>
      </c>
      <c r="E428" s="797" t="s">
        <v>1534</v>
      </c>
      <c r="F428" s="795" t="s">
        <v>1508</v>
      </c>
      <c r="G428" s="795" t="s">
        <v>2007</v>
      </c>
      <c r="H428" s="795" t="s">
        <v>593</v>
      </c>
      <c r="I428" s="795" t="s">
        <v>2008</v>
      </c>
      <c r="J428" s="795" t="s">
        <v>2009</v>
      </c>
      <c r="K428" s="795" t="s">
        <v>2010</v>
      </c>
      <c r="L428" s="798">
        <v>32.28</v>
      </c>
      <c r="M428" s="798">
        <v>64.56</v>
      </c>
      <c r="N428" s="795">
        <v>2</v>
      </c>
      <c r="O428" s="799">
        <v>1</v>
      </c>
      <c r="P428" s="798">
        <v>64.56</v>
      </c>
      <c r="Q428" s="800">
        <v>1</v>
      </c>
      <c r="R428" s="795">
        <v>2</v>
      </c>
      <c r="S428" s="800">
        <v>1</v>
      </c>
      <c r="T428" s="799">
        <v>1</v>
      </c>
      <c r="U428" s="801">
        <v>1</v>
      </c>
    </row>
    <row r="429" spans="1:21" ht="14.4" customHeight="1" x14ac:dyDescent="0.3">
      <c r="A429" s="794">
        <v>31</v>
      </c>
      <c r="B429" s="795" t="s">
        <v>592</v>
      </c>
      <c r="C429" s="795" t="s">
        <v>1513</v>
      </c>
      <c r="D429" s="796" t="s">
        <v>2055</v>
      </c>
      <c r="E429" s="797" t="s">
        <v>1534</v>
      </c>
      <c r="F429" s="795" t="s">
        <v>1508</v>
      </c>
      <c r="G429" s="795" t="s">
        <v>2011</v>
      </c>
      <c r="H429" s="795" t="s">
        <v>912</v>
      </c>
      <c r="I429" s="795" t="s">
        <v>2012</v>
      </c>
      <c r="J429" s="795" t="s">
        <v>2013</v>
      </c>
      <c r="K429" s="795" t="s">
        <v>2014</v>
      </c>
      <c r="L429" s="798">
        <v>69.16</v>
      </c>
      <c r="M429" s="798">
        <v>69.16</v>
      </c>
      <c r="N429" s="795">
        <v>1</v>
      </c>
      <c r="O429" s="799">
        <v>0.5</v>
      </c>
      <c r="P429" s="798">
        <v>69.16</v>
      </c>
      <c r="Q429" s="800">
        <v>1</v>
      </c>
      <c r="R429" s="795">
        <v>1</v>
      </c>
      <c r="S429" s="800">
        <v>1</v>
      </c>
      <c r="T429" s="799">
        <v>0.5</v>
      </c>
      <c r="U429" s="801">
        <v>1</v>
      </c>
    </row>
    <row r="430" spans="1:21" ht="14.4" customHeight="1" x14ac:dyDescent="0.3">
      <c r="A430" s="794">
        <v>31</v>
      </c>
      <c r="B430" s="795" t="s">
        <v>592</v>
      </c>
      <c r="C430" s="795" t="s">
        <v>1513</v>
      </c>
      <c r="D430" s="796" t="s">
        <v>2055</v>
      </c>
      <c r="E430" s="797" t="s">
        <v>1534</v>
      </c>
      <c r="F430" s="795" t="s">
        <v>1508</v>
      </c>
      <c r="G430" s="795" t="s">
        <v>2011</v>
      </c>
      <c r="H430" s="795" t="s">
        <v>912</v>
      </c>
      <c r="I430" s="795" t="s">
        <v>2015</v>
      </c>
      <c r="J430" s="795" t="s">
        <v>2013</v>
      </c>
      <c r="K430" s="795" t="s">
        <v>2016</v>
      </c>
      <c r="L430" s="798">
        <v>207.45</v>
      </c>
      <c r="M430" s="798">
        <v>207.45</v>
      </c>
      <c r="N430" s="795">
        <v>1</v>
      </c>
      <c r="O430" s="799">
        <v>0.5</v>
      </c>
      <c r="P430" s="798">
        <v>207.45</v>
      </c>
      <c r="Q430" s="800">
        <v>1</v>
      </c>
      <c r="R430" s="795">
        <v>1</v>
      </c>
      <c r="S430" s="800">
        <v>1</v>
      </c>
      <c r="T430" s="799">
        <v>0.5</v>
      </c>
      <c r="U430" s="801">
        <v>1</v>
      </c>
    </row>
    <row r="431" spans="1:21" ht="14.4" customHeight="1" x14ac:dyDescent="0.3">
      <c r="A431" s="794">
        <v>31</v>
      </c>
      <c r="B431" s="795" t="s">
        <v>592</v>
      </c>
      <c r="C431" s="795" t="s">
        <v>1513</v>
      </c>
      <c r="D431" s="796" t="s">
        <v>2055</v>
      </c>
      <c r="E431" s="797" t="s">
        <v>1534</v>
      </c>
      <c r="F431" s="795" t="s">
        <v>1508</v>
      </c>
      <c r="G431" s="795" t="s">
        <v>2017</v>
      </c>
      <c r="H431" s="795" t="s">
        <v>912</v>
      </c>
      <c r="I431" s="795" t="s">
        <v>2018</v>
      </c>
      <c r="J431" s="795" t="s">
        <v>1323</v>
      </c>
      <c r="K431" s="795" t="s">
        <v>2019</v>
      </c>
      <c r="L431" s="798">
        <v>193.68</v>
      </c>
      <c r="M431" s="798">
        <v>387.36</v>
      </c>
      <c r="N431" s="795">
        <v>2</v>
      </c>
      <c r="O431" s="799">
        <v>1</v>
      </c>
      <c r="P431" s="798">
        <v>387.36</v>
      </c>
      <c r="Q431" s="800">
        <v>1</v>
      </c>
      <c r="R431" s="795">
        <v>2</v>
      </c>
      <c r="S431" s="800">
        <v>1</v>
      </c>
      <c r="T431" s="799">
        <v>1</v>
      </c>
      <c r="U431" s="801">
        <v>1</v>
      </c>
    </row>
    <row r="432" spans="1:21" ht="14.4" customHeight="1" x14ac:dyDescent="0.3">
      <c r="A432" s="794">
        <v>31</v>
      </c>
      <c r="B432" s="795" t="s">
        <v>592</v>
      </c>
      <c r="C432" s="795" t="s">
        <v>1513</v>
      </c>
      <c r="D432" s="796" t="s">
        <v>2055</v>
      </c>
      <c r="E432" s="797" t="s">
        <v>1534</v>
      </c>
      <c r="F432" s="795" t="s">
        <v>1508</v>
      </c>
      <c r="G432" s="795" t="s">
        <v>2020</v>
      </c>
      <c r="H432" s="795" t="s">
        <v>912</v>
      </c>
      <c r="I432" s="795" t="s">
        <v>2021</v>
      </c>
      <c r="J432" s="795" t="s">
        <v>2022</v>
      </c>
      <c r="K432" s="795" t="s">
        <v>2023</v>
      </c>
      <c r="L432" s="798">
        <v>351.51</v>
      </c>
      <c r="M432" s="798">
        <v>351.51</v>
      </c>
      <c r="N432" s="795">
        <v>1</v>
      </c>
      <c r="O432" s="799">
        <v>1</v>
      </c>
      <c r="P432" s="798">
        <v>351.51</v>
      </c>
      <c r="Q432" s="800">
        <v>1</v>
      </c>
      <c r="R432" s="795">
        <v>1</v>
      </c>
      <c r="S432" s="800">
        <v>1</v>
      </c>
      <c r="T432" s="799">
        <v>1</v>
      </c>
      <c r="U432" s="801">
        <v>1</v>
      </c>
    </row>
    <row r="433" spans="1:21" ht="14.4" customHeight="1" x14ac:dyDescent="0.3">
      <c r="A433" s="794">
        <v>31</v>
      </c>
      <c r="B433" s="795" t="s">
        <v>592</v>
      </c>
      <c r="C433" s="795" t="s">
        <v>1513</v>
      </c>
      <c r="D433" s="796" t="s">
        <v>2055</v>
      </c>
      <c r="E433" s="797" t="s">
        <v>1534</v>
      </c>
      <c r="F433" s="795" t="s">
        <v>1508</v>
      </c>
      <c r="G433" s="795" t="s">
        <v>1539</v>
      </c>
      <c r="H433" s="795" t="s">
        <v>912</v>
      </c>
      <c r="I433" s="795" t="s">
        <v>1540</v>
      </c>
      <c r="J433" s="795" t="s">
        <v>977</v>
      </c>
      <c r="K433" s="795" t="s">
        <v>1414</v>
      </c>
      <c r="L433" s="798">
        <v>490.89</v>
      </c>
      <c r="M433" s="798">
        <v>981.78</v>
      </c>
      <c r="N433" s="795">
        <v>2</v>
      </c>
      <c r="O433" s="799">
        <v>2</v>
      </c>
      <c r="P433" s="798">
        <v>981.78</v>
      </c>
      <c r="Q433" s="800">
        <v>1</v>
      </c>
      <c r="R433" s="795">
        <v>2</v>
      </c>
      <c r="S433" s="800">
        <v>1</v>
      </c>
      <c r="T433" s="799">
        <v>2</v>
      </c>
      <c r="U433" s="801">
        <v>1</v>
      </c>
    </row>
    <row r="434" spans="1:21" ht="14.4" customHeight="1" x14ac:dyDescent="0.3">
      <c r="A434" s="794">
        <v>31</v>
      </c>
      <c r="B434" s="795" t="s">
        <v>592</v>
      </c>
      <c r="C434" s="795" t="s">
        <v>1513</v>
      </c>
      <c r="D434" s="796" t="s">
        <v>2055</v>
      </c>
      <c r="E434" s="797" t="s">
        <v>1534</v>
      </c>
      <c r="F434" s="795" t="s">
        <v>1508</v>
      </c>
      <c r="G434" s="795" t="s">
        <v>1539</v>
      </c>
      <c r="H434" s="795" t="s">
        <v>912</v>
      </c>
      <c r="I434" s="795" t="s">
        <v>1552</v>
      </c>
      <c r="J434" s="795" t="s">
        <v>977</v>
      </c>
      <c r="K434" s="795" t="s">
        <v>1413</v>
      </c>
      <c r="L434" s="798">
        <v>736.33</v>
      </c>
      <c r="M434" s="798">
        <v>2945.32</v>
      </c>
      <c r="N434" s="795">
        <v>4</v>
      </c>
      <c r="O434" s="799">
        <v>3</v>
      </c>
      <c r="P434" s="798">
        <v>2208.9900000000002</v>
      </c>
      <c r="Q434" s="800">
        <v>0.75</v>
      </c>
      <c r="R434" s="795">
        <v>3</v>
      </c>
      <c r="S434" s="800">
        <v>0.75</v>
      </c>
      <c r="T434" s="799">
        <v>2</v>
      </c>
      <c r="U434" s="801">
        <v>0.66666666666666663</v>
      </c>
    </row>
    <row r="435" spans="1:21" ht="14.4" customHeight="1" x14ac:dyDescent="0.3">
      <c r="A435" s="794">
        <v>31</v>
      </c>
      <c r="B435" s="795" t="s">
        <v>592</v>
      </c>
      <c r="C435" s="795" t="s">
        <v>1513</v>
      </c>
      <c r="D435" s="796" t="s">
        <v>2055</v>
      </c>
      <c r="E435" s="797" t="s">
        <v>1534</v>
      </c>
      <c r="F435" s="795" t="s">
        <v>1508</v>
      </c>
      <c r="G435" s="795" t="s">
        <v>1573</v>
      </c>
      <c r="H435" s="795" t="s">
        <v>912</v>
      </c>
      <c r="I435" s="795" t="s">
        <v>1574</v>
      </c>
      <c r="J435" s="795" t="s">
        <v>622</v>
      </c>
      <c r="K435" s="795" t="s">
        <v>1448</v>
      </c>
      <c r="L435" s="798">
        <v>48.42</v>
      </c>
      <c r="M435" s="798">
        <v>48.42</v>
      </c>
      <c r="N435" s="795">
        <v>1</v>
      </c>
      <c r="O435" s="799">
        <v>1</v>
      </c>
      <c r="P435" s="798">
        <v>48.42</v>
      </c>
      <c r="Q435" s="800">
        <v>1</v>
      </c>
      <c r="R435" s="795">
        <v>1</v>
      </c>
      <c r="S435" s="800">
        <v>1</v>
      </c>
      <c r="T435" s="799">
        <v>1</v>
      </c>
      <c r="U435" s="801">
        <v>1</v>
      </c>
    </row>
    <row r="436" spans="1:21" ht="14.4" customHeight="1" x14ac:dyDescent="0.3">
      <c r="A436" s="794">
        <v>31</v>
      </c>
      <c r="B436" s="795" t="s">
        <v>592</v>
      </c>
      <c r="C436" s="795" t="s">
        <v>1513</v>
      </c>
      <c r="D436" s="796" t="s">
        <v>2055</v>
      </c>
      <c r="E436" s="797" t="s">
        <v>1534</v>
      </c>
      <c r="F436" s="795" t="s">
        <v>1508</v>
      </c>
      <c r="G436" s="795" t="s">
        <v>2024</v>
      </c>
      <c r="H436" s="795" t="s">
        <v>912</v>
      </c>
      <c r="I436" s="795" t="s">
        <v>2025</v>
      </c>
      <c r="J436" s="795" t="s">
        <v>1421</v>
      </c>
      <c r="K436" s="795" t="s">
        <v>2026</v>
      </c>
      <c r="L436" s="798">
        <v>0</v>
      </c>
      <c r="M436" s="798">
        <v>0</v>
      </c>
      <c r="N436" s="795">
        <v>2</v>
      </c>
      <c r="O436" s="799">
        <v>1</v>
      </c>
      <c r="P436" s="798">
        <v>0</v>
      </c>
      <c r="Q436" s="800"/>
      <c r="R436" s="795">
        <v>2</v>
      </c>
      <c r="S436" s="800">
        <v>1</v>
      </c>
      <c r="T436" s="799">
        <v>1</v>
      </c>
      <c r="U436" s="801">
        <v>1</v>
      </c>
    </row>
    <row r="437" spans="1:21" ht="14.4" customHeight="1" x14ac:dyDescent="0.3">
      <c r="A437" s="794">
        <v>31</v>
      </c>
      <c r="B437" s="795" t="s">
        <v>592</v>
      </c>
      <c r="C437" s="795" t="s">
        <v>1513</v>
      </c>
      <c r="D437" s="796" t="s">
        <v>2055</v>
      </c>
      <c r="E437" s="797" t="s">
        <v>1534</v>
      </c>
      <c r="F437" s="795" t="s">
        <v>1508</v>
      </c>
      <c r="G437" s="795" t="s">
        <v>1541</v>
      </c>
      <c r="H437" s="795" t="s">
        <v>912</v>
      </c>
      <c r="I437" s="795" t="s">
        <v>929</v>
      </c>
      <c r="J437" s="795" t="s">
        <v>1453</v>
      </c>
      <c r="K437" s="795" t="s">
        <v>1454</v>
      </c>
      <c r="L437" s="798">
        <v>0</v>
      </c>
      <c r="M437" s="798">
        <v>0</v>
      </c>
      <c r="N437" s="795">
        <v>1</v>
      </c>
      <c r="O437" s="799">
        <v>0.5</v>
      </c>
      <c r="P437" s="798">
        <v>0</v>
      </c>
      <c r="Q437" s="800"/>
      <c r="R437" s="795">
        <v>1</v>
      </c>
      <c r="S437" s="800">
        <v>1</v>
      </c>
      <c r="T437" s="799">
        <v>0.5</v>
      </c>
      <c r="U437" s="801">
        <v>1</v>
      </c>
    </row>
    <row r="438" spans="1:21" ht="14.4" customHeight="1" x14ac:dyDescent="0.3">
      <c r="A438" s="794">
        <v>31</v>
      </c>
      <c r="B438" s="795" t="s">
        <v>592</v>
      </c>
      <c r="C438" s="795" t="s">
        <v>1513</v>
      </c>
      <c r="D438" s="796" t="s">
        <v>2055</v>
      </c>
      <c r="E438" s="797" t="s">
        <v>1534</v>
      </c>
      <c r="F438" s="795" t="s">
        <v>1508</v>
      </c>
      <c r="G438" s="795" t="s">
        <v>1578</v>
      </c>
      <c r="H438" s="795" t="s">
        <v>593</v>
      </c>
      <c r="I438" s="795" t="s">
        <v>1012</v>
      </c>
      <c r="J438" s="795" t="s">
        <v>1013</v>
      </c>
      <c r="K438" s="795" t="s">
        <v>1579</v>
      </c>
      <c r="L438" s="798">
        <v>42.54</v>
      </c>
      <c r="M438" s="798">
        <v>85.08</v>
      </c>
      <c r="N438" s="795">
        <v>2</v>
      </c>
      <c r="O438" s="799">
        <v>1</v>
      </c>
      <c r="P438" s="798">
        <v>85.08</v>
      </c>
      <c r="Q438" s="800">
        <v>1</v>
      </c>
      <c r="R438" s="795">
        <v>2</v>
      </c>
      <c r="S438" s="800">
        <v>1</v>
      </c>
      <c r="T438" s="799">
        <v>1</v>
      </c>
      <c r="U438" s="801">
        <v>1</v>
      </c>
    </row>
    <row r="439" spans="1:21" ht="14.4" customHeight="1" x14ac:dyDescent="0.3">
      <c r="A439" s="794">
        <v>31</v>
      </c>
      <c r="B439" s="795" t="s">
        <v>592</v>
      </c>
      <c r="C439" s="795" t="s">
        <v>1513</v>
      </c>
      <c r="D439" s="796" t="s">
        <v>2055</v>
      </c>
      <c r="E439" s="797" t="s">
        <v>1534</v>
      </c>
      <c r="F439" s="795" t="s">
        <v>1508</v>
      </c>
      <c r="G439" s="795" t="s">
        <v>1792</v>
      </c>
      <c r="H439" s="795" t="s">
        <v>593</v>
      </c>
      <c r="I439" s="795" t="s">
        <v>2027</v>
      </c>
      <c r="J439" s="795" t="s">
        <v>1794</v>
      </c>
      <c r="K439" s="795" t="s">
        <v>2028</v>
      </c>
      <c r="L439" s="798">
        <v>657.67</v>
      </c>
      <c r="M439" s="798">
        <v>1973.0099999999998</v>
      </c>
      <c r="N439" s="795">
        <v>3</v>
      </c>
      <c r="O439" s="799">
        <v>1</v>
      </c>
      <c r="P439" s="798">
        <v>1973.0099999999998</v>
      </c>
      <c r="Q439" s="800">
        <v>1</v>
      </c>
      <c r="R439" s="795">
        <v>3</v>
      </c>
      <c r="S439" s="800">
        <v>1</v>
      </c>
      <c r="T439" s="799">
        <v>1</v>
      </c>
      <c r="U439" s="801">
        <v>1</v>
      </c>
    </row>
    <row r="440" spans="1:21" ht="14.4" customHeight="1" x14ac:dyDescent="0.3">
      <c r="A440" s="794">
        <v>31</v>
      </c>
      <c r="B440" s="795" t="s">
        <v>592</v>
      </c>
      <c r="C440" s="795" t="s">
        <v>1513</v>
      </c>
      <c r="D440" s="796" t="s">
        <v>2055</v>
      </c>
      <c r="E440" s="797" t="s">
        <v>1534</v>
      </c>
      <c r="F440" s="795" t="s">
        <v>1508</v>
      </c>
      <c r="G440" s="795" t="s">
        <v>1798</v>
      </c>
      <c r="H440" s="795" t="s">
        <v>593</v>
      </c>
      <c r="I440" s="795" t="s">
        <v>2029</v>
      </c>
      <c r="J440" s="795" t="s">
        <v>2030</v>
      </c>
      <c r="K440" s="795" t="s">
        <v>2031</v>
      </c>
      <c r="L440" s="798">
        <v>151.62</v>
      </c>
      <c r="M440" s="798">
        <v>151.62</v>
      </c>
      <c r="N440" s="795">
        <v>1</v>
      </c>
      <c r="O440" s="799">
        <v>0.5</v>
      </c>
      <c r="P440" s="798"/>
      <c r="Q440" s="800">
        <v>0</v>
      </c>
      <c r="R440" s="795"/>
      <c r="S440" s="800">
        <v>0</v>
      </c>
      <c r="T440" s="799"/>
      <c r="U440" s="801">
        <v>0</v>
      </c>
    </row>
    <row r="441" spans="1:21" ht="14.4" customHeight="1" x14ac:dyDescent="0.3">
      <c r="A441" s="794">
        <v>31</v>
      </c>
      <c r="B441" s="795" t="s">
        <v>592</v>
      </c>
      <c r="C441" s="795" t="s">
        <v>1513</v>
      </c>
      <c r="D441" s="796" t="s">
        <v>2055</v>
      </c>
      <c r="E441" s="797" t="s">
        <v>1534</v>
      </c>
      <c r="F441" s="795" t="s">
        <v>1508</v>
      </c>
      <c r="G441" s="795" t="s">
        <v>1774</v>
      </c>
      <c r="H441" s="795" t="s">
        <v>593</v>
      </c>
      <c r="I441" s="795" t="s">
        <v>1777</v>
      </c>
      <c r="J441" s="795" t="s">
        <v>1776</v>
      </c>
      <c r="K441" s="795" t="s">
        <v>1462</v>
      </c>
      <c r="L441" s="798">
        <v>0</v>
      </c>
      <c r="M441" s="798">
        <v>0</v>
      </c>
      <c r="N441" s="795">
        <v>2</v>
      </c>
      <c r="O441" s="799">
        <v>1</v>
      </c>
      <c r="P441" s="798"/>
      <c r="Q441" s="800"/>
      <c r="R441" s="795"/>
      <c r="S441" s="800">
        <v>0</v>
      </c>
      <c r="T441" s="799"/>
      <c r="U441" s="801">
        <v>0</v>
      </c>
    </row>
    <row r="442" spans="1:21" ht="14.4" customHeight="1" x14ac:dyDescent="0.3">
      <c r="A442" s="794">
        <v>31</v>
      </c>
      <c r="B442" s="795" t="s">
        <v>592</v>
      </c>
      <c r="C442" s="795" t="s">
        <v>1513</v>
      </c>
      <c r="D442" s="796" t="s">
        <v>2055</v>
      </c>
      <c r="E442" s="797" t="s">
        <v>1534</v>
      </c>
      <c r="F442" s="795" t="s">
        <v>1508</v>
      </c>
      <c r="G442" s="795" t="s">
        <v>1544</v>
      </c>
      <c r="H442" s="795" t="s">
        <v>593</v>
      </c>
      <c r="I442" s="795" t="s">
        <v>1545</v>
      </c>
      <c r="J442" s="795" t="s">
        <v>1546</v>
      </c>
      <c r="K442" s="795" t="s">
        <v>1547</v>
      </c>
      <c r="L442" s="798">
        <v>50.32</v>
      </c>
      <c r="M442" s="798">
        <v>50.32</v>
      </c>
      <c r="N442" s="795">
        <v>1</v>
      </c>
      <c r="O442" s="799">
        <v>0.5</v>
      </c>
      <c r="P442" s="798">
        <v>50.32</v>
      </c>
      <c r="Q442" s="800">
        <v>1</v>
      </c>
      <c r="R442" s="795">
        <v>1</v>
      </c>
      <c r="S442" s="800">
        <v>1</v>
      </c>
      <c r="T442" s="799">
        <v>0.5</v>
      </c>
      <c r="U442" s="801">
        <v>1</v>
      </c>
    </row>
    <row r="443" spans="1:21" ht="14.4" customHeight="1" x14ac:dyDescent="0.3">
      <c r="A443" s="794">
        <v>31</v>
      </c>
      <c r="B443" s="795" t="s">
        <v>592</v>
      </c>
      <c r="C443" s="795" t="s">
        <v>1513</v>
      </c>
      <c r="D443" s="796" t="s">
        <v>2055</v>
      </c>
      <c r="E443" s="797" t="s">
        <v>1534</v>
      </c>
      <c r="F443" s="795" t="s">
        <v>1509</v>
      </c>
      <c r="G443" s="795" t="s">
        <v>2032</v>
      </c>
      <c r="H443" s="795" t="s">
        <v>593</v>
      </c>
      <c r="I443" s="795" t="s">
        <v>2033</v>
      </c>
      <c r="J443" s="795" t="s">
        <v>2034</v>
      </c>
      <c r="K443" s="795"/>
      <c r="L443" s="798">
        <v>0</v>
      </c>
      <c r="M443" s="798">
        <v>0</v>
      </c>
      <c r="N443" s="795">
        <v>1</v>
      </c>
      <c r="O443" s="799">
        <v>1</v>
      </c>
      <c r="P443" s="798">
        <v>0</v>
      </c>
      <c r="Q443" s="800"/>
      <c r="R443" s="795">
        <v>1</v>
      </c>
      <c r="S443" s="800">
        <v>1</v>
      </c>
      <c r="T443" s="799">
        <v>1</v>
      </c>
      <c r="U443" s="801">
        <v>1</v>
      </c>
    </row>
    <row r="444" spans="1:21" ht="14.4" customHeight="1" x14ac:dyDescent="0.3">
      <c r="A444" s="794">
        <v>31</v>
      </c>
      <c r="B444" s="795" t="s">
        <v>592</v>
      </c>
      <c r="C444" s="795" t="s">
        <v>1513</v>
      </c>
      <c r="D444" s="796" t="s">
        <v>2055</v>
      </c>
      <c r="E444" s="797" t="s">
        <v>1534</v>
      </c>
      <c r="F444" s="795" t="s">
        <v>1510</v>
      </c>
      <c r="G444" s="795" t="s">
        <v>1548</v>
      </c>
      <c r="H444" s="795" t="s">
        <v>593</v>
      </c>
      <c r="I444" s="795" t="s">
        <v>1805</v>
      </c>
      <c r="J444" s="795" t="s">
        <v>1550</v>
      </c>
      <c r="K444" s="795" t="s">
        <v>1806</v>
      </c>
      <c r="L444" s="798">
        <v>30.99</v>
      </c>
      <c r="M444" s="798">
        <v>30.99</v>
      </c>
      <c r="N444" s="795">
        <v>1</v>
      </c>
      <c r="O444" s="799">
        <v>1</v>
      </c>
      <c r="P444" s="798">
        <v>30.99</v>
      </c>
      <c r="Q444" s="800">
        <v>1</v>
      </c>
      <c r="R444" s="795">
        <v>1</v>
      </c>
      <c r="S444" s="800">
        <v>1</v>
      </c>
      <c r="T444" s="799">
        <v>1</v>
      </c>
      <c r="U444" s="801">
        <v>1</v>
      </c>
    </row>
    <row r="445" spans="1:21" ht="14.4" customHeight="1" x14ac:dyDescent="0.3">
      <c r="A445" s="794">
        <v>31</v>
      </c>
      <c r="B445" s="795" t="s">
        <v>592</v>
      </c>
      <c r="C445" s="795" t="s">
        <v>1513</v>
      </c>
      <c r="D445" s="796" t="s">
        <v>2055</v>
      </c>
      <c r="E445" s="797" t="s">
        <v>1534</v>
      </c>
      <c r="F445" s="795" t="s">
        <v>1510</v>
      </c>
      <c r="G445" s="795" t="s">
        <v>1589</v>
      </c>
      <c r="H445" s="795" t="s">
        <v>593</v>
      </c>
      <c r="I445" s="795" t="s">
        <v>1590</v>
      </c>
      <c r="J445" s="795" t="s">
        <v>1591</v>
      </c>
      <c r="K445" s="795" t="s">
        <v>1592</v>
      </c>
      <c r="L445" s="798">
        <v>3000</v>
      </c>
      <c r="M445" s="798">
        <v>3000</v>
      </c>
      <c r="N445" s="795">
        <v>1</v>
      </c>
      <c r="O445" s="799">
        <v>1</v>
      </c>
      <c r="P445" s="798">
        <v>3000</v>
      </c>
      <c r="Q445" s="800">
        <v>1</v>
      </c>
      <c r="R445" s="795">
        <v>1</v>
      </c>
      <c r="S445" s="800">
        <v>1</v>
      </c>
      <c r="T445" s="799">
        <v>1</v>
      </c>
      <c r="U445" s="801">
        <v>1</v>
      </c>
    </row>
    <row r="446" spans="1:21" ht="14.4" customHeight="1" x14ac:dyDescent="0.3">
      <c r="A446" s="794">
        <v>31</v>
      </c>
      <c r="B446" s="795" t="s">
        <v>592</v>
      </c>
      <c r="C446" s="795" t="s">
        <v>1513</v>
      </c>
      <c r="D446" s="796" t="s">
        <v>2055</v>
      </c>
      <c r="E446" s="797" t="s">
        <v>1534</v>
      </c>
      <c r="F446" s="795" t="s">
        <v>1510</v>
      </c>
      <c r="G446" s="795" t="s">
        <v>1589</v>
      </c>
      <c r="H446" s="795" t="s">
        <v>593</v>
      </c>
      <c r="I446" s="795" t="s">
        <v>1596</v>
      </c>
      <c r="J446" s="795" t="s">
        <v>1597</v>
      </c>
      <c r="K446" s="795" t="s">
        <v>1598</v>
      </c>
      <c r="L446" s="798">
        <v>492.18</v>
      </c>
      <c r="M446" s="798">
        <v>2953.08</v>
      </c>
      <c r="N446" s="795">
        <v>6</v>
      </c>
      <c r="O446" s="799">
        <v>6</v>
      </c>
      <c r="P446" s="798">
        <v>2953.08</v>
      </c>
      <c r="Q446" s="800">
        <v>1</v>
      </c>
      <c r="R446" s="795">
        <v>6</v>
      </c>
      <c r="S446" s="800">
        <v>1</v>
      </c>
      <c r="T446" s="799">
        <v>6</v>
      </c>
      <c r="U446" s="801">
        <v>1</v>
      </c>
    </row>
    <row r="447" spans="1:21" ht="14.4" customHeight="1" x14ac:dyDescent="0.3">
      <c r="A447" s="794">
        <v>31</v>
      </c>
      <c r="B447" s="795" t="s">
        <v>592</v>
      </c>
      <c r="C447" s="795" t="s">
        <v>1513</v>
      </c>
      <c r="D447" s="796" t="s">
        <v>2055</v>
      </c>
      <c r="E447" s="797" t="s">
        <v>1534</v>
      </c>
      <c r="F447" s="795" t="s">
        <v>1510</v>
      </c>
      <c r="G447" s="795" t="s">
        <v>1589</v>
      </c>
      <c r="H447" s="795" t="s">
        <v>593</v>
      </c>
      <c r="I447" s="795" t="s">
        <v>1599</v>
      </c>
      <c r="J447" s="795" t="s">
        <v>1600</v>
      </c>
      <c r="K447" s="795" t="s">
        <v>1601</v>
      </c>
      <c r="L447" s="798">
        <v>347.81</v>
      </c>
      <c r="M447" s="798">
        <v>347.81</v>
      </c>
      <c r="N447" s="795">
        <v>1</v>
      </c>
      <c r="O447" s="799">
        <v>1</v>
      </c>
      <c r="P447" s="798">
        <v>347.81</v>
      </c>
      <c r="Q447" s="800">
        <v>1</v>
      </c>
      <c r="R447" s="795">
        <v>1</v>
      </c>
      <c r="S447" s="800">
        <v>1</v>
      </c>
      <c r="T447" s="799">
        <v>1</v>
      </c>
      <c r="U447" s="801">
        <v>1</v>
      </c>
    </row>
    <row r="448" spans="1:21" ht="14.4" customHeight="1" x14ac:dyDescent="0.3">
      <c r="A448" s="794">
        <v>31</v>
      </c>
      <c r="B448" s="795" t="s">
        <v>592</v>
      </c>
      <c r="C448" s="795" t="s">
        <v>1513</v>
      </c>
      <c r="D448" s="796" t="s">
        <v>2055</v>
      </c>
      <c r="E448" s="797" t="s">
        <v>1534</v>
      </c>
      <c r="F448" s="795" t="s">
        <v>1510</v>
      </c>
      <c r="G448" s="795" t="s">
        <v>1589</v>
      </c>
      <c r="H448" s="795" t="s">
        <v>593</v>
      </c>
      <c r="I448" s="795" t="s">
        <v>1676</v>
      </c>
      <c r="J448" s="795" t="s">
        <v>1677</v>
      </c>
      <c r="K448" s="795" t="s">
        <v>1678</v>
      </c>
      <c r="L448" s="798">
        <v>2296.87</v>
      </c>
      <c r="M448" s="798">
        <v>2296.87</v>
      </c>
      <c r="N448" s="795">
        <v>1</v>
      </c>
      <c r="O448" s="799">
        <v>1</v>
      </c>
      <c r="P448" s="798">
        <v>2296.87</v>
      </c>
      <c r="Q448" s="800">
        <v>1</v>
      </c>
      <c r="R448" s="795">
        <v>1</v>
      </c>
      <c r="S448" s="800">
        <v>1</v>
      </c>
      <c r="T448" s="799">
        <v>1</v>
      </c>
      <c r="U448" s="801">
        <v>1</v>
      </c>
    </row>
    <row r="449" spans="1:21" ht="14.4" customHeight="1" x14ac:dyDescent="0.3">
      <c r="A449" s="794">
        <v>31</v>
      </c>
      <c r="B449" s="795" t="s">
        <v>592</v>
      </c>
      <c r="C449" s="795" t="s">
        <v>1513</v>
      </c>
      <c r="D449" s="796" t="s">
        <v>2055</v>
      </c>
      <c r="E449" s="797" t="s">
        <v>1534</v>
      </c>
      <c r="F449" s="795" t="s">
        <v>1510</v>
      </c>
      <c r="G449" s="795" t="s">
        <v>1589</v>
      </c>
      <c r="H449" s="795" t="s">
        <v>593</v>
      </c>
      <c r="I449" s="795" t="s">
        <v>1883</v>
      </c>
      <c r="J449" s="795" t="s">
        <v>1884</v>
      </c>
      <c r="K449" s="795" t="s">
        <v>1885</v>
      </c>
      <c r="L449" s="798">
        <v>320.25</v>
      </c>
      <c r="M449" s="798">
        <v>320.25</v>
      </c>
      <c r="N449" s="795">
        <v>1</v>
      </c>
      <c r="O449" s="799">
        <v>1</v>
      </c>
      <c r="P449" s="798">
        <v>320.25</v>
      </c>
      <c r="Q449" s="800">
        <v>1</v>
      </c>
      <c r="R449" s="795">
        <v>1</v>
      </c>
      <c r="S449" s="800">
        <v>1</v>
      </c>
      <c r="T449" s="799">
        <v>1</v>
      </c>
      <c r="U449" s="801">
        <v>1</v>
      </c>
    </row>
    <row r="450" spans="1:21" ht="14.4" customHeight="1" x14ac:dyDescent="0.3">
      <c r="A450" s="794">
        <v>31</v>
      </c>
      <c r="B450" s="795" t="s">
        <v>592</v>
      </c>
      <c r="C450" s="795" t="s">
        <v>1513</v>
      </c>
      <c r="D450" s="796" t="s">
        <v>2055</v>
      </c>
      <c r="E450" s="797" t="s">
        <v>1534</v>
      </c>
      <c r="F450" s="795" t="s">
        <v>1510</v>
      </c>
      <c r="G450" s="795" t="s">
        <v>1589</v>
      </c>
      <c r="H450" s="795" t="s">
        <v>593</v>
      </c>
      <c r="I450" s="795" t="s">
        <v>1652</v>
      </c>
      <c r="J450" s="795" t="s">
        <v>1653</v>
      </c>
      <c r="K450" s="795" t="s">
        <v>1654</v>
      </c>
      <c r="L450" s="798">
        <v>245.43</v>
      </c>
      <c r="M450" s="798">
        <v>245.43</v>
      </c>
      <c r="N450" s="795">
        <v>1</v>
      </c>
      <c r="O450" s="799">
        <v>1</v>
      </c>
      <c r="P450" s="798">
        <v>245.43</v>
      </c>
      <c r="Q450" s="800">
        <v>1</v>
      </c>
      <c r="R450" s="795">
        <v>1</v>
      </c>
      <c r="S450" s="800">
        <v>1</v>
      </c>
      <c r="T450" s="799">
        <v>1</v>
      </c>
      <c r="U450" s="801">
        <v>1</v>
      </c>
    </row>
    <row r="451" spans="1:21" ht="14.4" customHeight="1" x14ac:dyDescent="0.3">
      <c r="A451" s="794">
        <v>31</v>
      </c>
      <c r="B451" s="795" t="s">
        <v>592</v>
      </c>
      <c r="C451" s="795" t="s">
        <v>1513</v>
      </c>
      <c r="D451" s="796" t="s">
        <v>2055</v>
      </c>
      <c r="E451" s="797" t="s">
        <v>1534</v>
      </c>
      <c r="F451" s="795" t="s">
        <v>1510</v>
      </c>
      <c r="G451" s="795" t="s">
        <v>1589</v>
      </c>
      <c r="H451" s="795" t="s">
        <v>593</v>
      </c>
      <c r="I451" s="795" t="s">
        <v>1725</v>
      </c>
      <c r="J451" s="795" t="s">
        <v>1726</v>
      </c>
      <c r="K451" s="795" t="s">
        <v>1727</v>
      </c>
      <c r="L451" s="798">
        <v>1575</v>
      </c>
      <c r="M451" s="798">
        <v>1575</v>
      </c>
      <c r="N451" s="795">
        <v>1</v>
      </c>
      <c r="O451" s="799">
        <v>1</v>
      </c>
      <c r="P451" s="798">
        <v>1575</v>
      </c>
      <c r="Q451" s="800">
        <v>1</v>
      </c>
      <c r="R451" s="795">
        <v>1</v>
      </c>
      <c r="S451" s="800">
        <v>1</v>
      </c>
      <c r="T451" s="799">
        <v>1</v>
      </c>
      <c r="U451" s="801">
        <v>1</v>
      </c>
    </row>
    <row r="452" spans="1:21" ht="14.4" customHeight="1" x14ac:dyDescent="0.3">
      <c r="A452" s="794">
        <v>31</v>
      </c>
      <c r="B452" s="795" t="s">
        <v>592</v>
      </c>
      <c r="C452" s="795" t="s">
        <v>1513</v>
      </c>
      <c r="D452" s="796" t="s">
        <v>2055</v>
      </c>
      <c r="E452" s="797" t="s">
        <v>1534</v>
      </c>
      <c r="F452" s="795" t="s">
        <v>1510</v>
      </c>
      <c r="G452" s="795" t="s">
        <v>1589</v>
      </c>
      <c r="H452" s="795" t="s">
        <v>593</v>
      </c>
      <c r="I452" s="795" t="s">
        <v>1869</v>
      </c>
      <c r="J452" s="795" t="s">
        <v>1656</v>
      </c>
      <c r="K452" s="795" t="s">
        <v>1870</v>
      </c>
      <c r="L452" s="798">
        <v>50.5</v>
      </c>
      <c r="M452" s="798">
        <v>101</v>
      </c>
      <c r="N452" s="795">
        <v>2</v>
      </c>
      <c r="O452" s="799">
        <v>2</v>
      </c>
      <c r="P452" s="798">
        <v>101</v>
      </c>
      <c r="Q452" s="800">
        <v>1</v>
      </c>
      <c r="R452" s="795">
        <v>2</v>
      </c>
      <c r="S452" s="800">
        <v>1</v>
      </c>
      <c r="T452" s="799">
        <v>2</v>
      </c>
      <c r="U452" s="801">
        <v>1</v>
      </c>
    </row>
    <row r="453" spans="1:21" ht="14.4" customHeight="1" x14ac:dyDescent="0.3">
      <c r="A453" s="794">
        <v>31</v>
      </c>
      <c r="B453" s="795" t="s">
        <v>592</v>
      </c>
      <c r="C453" s="795" t="s">
        <v>1513</v>
      </c>
      <c r="D453" s="796" t="s">
        <v>2055</v>
      </c>
      <c r="E453" s="797" t="s">
        <v>1534</v>
      </c>
      <c r="F453" s="795" t="s">
        <v>1510</v>
      </c>
      <c r="G453" s="795" t="s">
        <v>1589</v>
      </c>
      <c r="H453" s="795" t="s">
        <v>593</v>
      </c>
      <c r="I453" s="795" t="s">
        <v>1602</v>
      </c>
      <c r="J453" s="795" t="s">
        <v>1603</v>
      </c>
      <c r="K453" s="795" t="s">
        <v>1604</v>
      </c>
      <c r="L453" s="798">
        <v>971.25</v>
      </c>
      <c r="M453" s="798">
        <v>2913.75</v>
      </c>
      <c r="N453" s="795">
        <v>3</v>
      </c>
      <c r="O453" s="799">
        <v>3</v>
      </c>
      <c r="P453" s="798">
        <v>2913.75</v>
      </c>
      <c r="Q453" s="800">
        <v>1</v>
      </c>
      <c r="R453" s="795">
        <v>3</v>
      </c>
      <c r="S453" s="800">
        <v>1</v>
      </c>
      <c r="T453" s="799">
        <v>3</v>
      </c>
      <c r="U453" s="801">
        <v>1</v>
      </c>
    </row>
    <row r="454" spans="1:21" ht="14.4" customHeight="1" x14ac:dyDescent="0.3">
      <c r="A454" s="794">
        <v>31</v>
      </c>
      <c r="B454" s="795" t="s">
        <v>592</v>
      </c>
      <c r="C454" s="795" t="s">
        <v>1513</v>
      </c>
      <c r="D454" s="796" t="s">
        <v>2055</v>
      </c>
      <c r="E454" s="797" t="s">
        <v>1534</v>
      </c>
      <c r="F454" s="795" t="s">
        <v>1510</v>
      </c>
      <c r="G454" s="795" t="s">
        <v>1589</v>
      </c>
      <c r="H454" s="795" t="s">
        <v>593</v>
      </c>
      <c r="I454" s="795" t="s">
        <v>1921</v>
      </c>
      <c r="J454" s="795" t="s">
        <v>1922</v>
      </c>
      <c r="K454" s="795"/>
      <c r="L454" s="798">
        <v>80.349999999999994</v>
      </c>
      <c r="M454" s="798">
        <v>80.349999999999994</v>
      </c>
      <c r="N454" s="795">
        <v>1</v>
      </c>
      <c r="O454" s="799">
        <v>1</v>
      </c>
      <c r="P454" s="798">
        <v>80.349999999999994</v>
      </c>
      <c r="Q454" s="800">
        <v>1</v>
      </c>
      <c r="R454" s="795">
        <v>1</v>
      </c>
      <c r="S454" s="800">
        <v>1</v>
      </c>
      <c r="T454" s="799">
        <v>1</v>
      </c>
      <c r="U454" s="801">
        <v>1</v>
      </c>
    </row>
    <row r="455" spans="1:21" ht="14.4" customHeight="1" x14ac:dyDescent="0.3">
      <c r="A455" s="794">
        <v>31</v>
      </c>
      <c r="B455" s="795" t="s">
        <v>592</v>
      </c>
      <c r="C455" s="795" t="s">
        <v>1513</v>
      </c>
      <c r="D455" s="796" t="s">
        <v>2055</v>
      </c>
      <c r="E455" s="797" t="s">
        <v>1534</v>
      </c>
      <c r="F455" s="795" t="s">
        <v>1510</v>
      </c>
      <c r="G455" s="795" t="s">
        <v>1589</v>
      </c>
      <c r="H455" s="795" t="s">
        <v>593</v>
      </c>
      <c r="I455" s="795" t="s">
        <v>1605</v>
      </c>
      <c r="J455" s="795" t="s">
        <v>1606</v>
      </c>
      <c r="K455" s="795" t="s">
        <v>1607</v>
      </c>
      <c r="L455" s="798">
        <v>350</v>
      </c>
      <c r="M455" s="798">
        <v>350</v>
      </c>
      <c r="N455" s="795">
        <v>1</v>
      </c>
      <c r="O455" s="799">
        <v>1</v>
      </c>
      <c r="P455" s="798">
        <v>350</v>
      </c>
      <c r="Q455" s="800">
        <v>1</v>
      </c>
      <c r="R455" s="795">
        <v>1</v>
      </c>
      <c r="S455" s="800">
        <v>1</v>
      </c>
      <c r="T455" s="799">
        <v>1</v>
      </c>
      <c r="U455" s="801">
        <v>1</v>
      </c>
    </row>
    <row r="456" spans="1:21" ht="14.4" customHeight="1" x14ac:dyDescent="0.3">
      <c r="A456" s="794">
        <v>31</v>
      </c>
      <c r="B456" s="795" t="s">
        <v>592</v>
      </c>
      <c r="C456" s="795" t="s">
        <v>1513</v>
      </c>
      <c r="D456" s="796" t="s">
        <v>2055</v>
      </c>
      <c r="E456" s="797" t="s">
        <v>1534</v>
      </c>
      <c r="F456" s="795" t="s">
        <v>1510</v>
      </c>
      <c r="G456" s="795" t="s">
        <v>1589</v>
      </c>
      <c r="H456" s="795" t="s">
        <v>593</v>
      </c>
      <c r="I456" s="795" t="s">
        <v>1608</v>
      </c>
      <c r="J456" s="795" t="s">
        <v>1609</v>
      </c>
      <c r="K456" s="795" t="s">
        <v>1610</v>
      </c>
      <c r="L456" s="798">
        <v>1000</v>
      </c>
      <c r="M456" s="798">
        <v>3000</v>
      </c>
      <c r="N456" s="795">
        <v>3</v>
      </c>
      <c r="O456" s="799">
        <v>3</v>
      </c>
      <c r="P456" s="798">
        <v>3000</v>
      </c>
      <c r="Q456" s="800">
        <v>1</v>
      </c>
      <c r="R456" s="795">
        <v>3</v>
      </c>
      <c r="S456" s="800">
        <v>1</v>
      </c>
      <c r="T456" s="799">
        <v>3</v>
      </c>
      <c r="U456" s="801">
        <v>1</v>
      </c>
    </row>
    <row r="457" spans="1:21" ht="14.4" customHeight="1" x14ac:dyDescent="0.3">
      <c r="A457" s="794">
        <v>31</v>
      </c>
      <c r="B457" s="795" t="s">
        <v>592</v>
      </c>
      <c r="C457" s="795" t="s">
        <v>1513</v>
      </c>
      <c r="D457" s="796" t="s">
        <v>2055</v>
      </c>
      <c r="E457" s="797" t="s">
        <v>1534</v>
      </c>
      <c r="F457" s="795" t="s">
        <v>1510</v>
      </c>
      <c r="G457" s="795" t="s">
        <v>1589</v>
      </c>
      <c r="H457" s="795" t="s">
        <v>593</v>
      </c>
      <c r="I457" s="795" t="s">
        <v>2035</v>
      </c>
      <c r="J457" s="795" t="s">
        <v>2036</v>
      </c>
      <c r="K457" s="795" t="s">
        <v>2037</v>
      </c>
      <c r="L457" s="798">
        <v>250</v>
      </c>
      <c r="M457" s="798">
        <v>250</v>
      </c>
      <c r="N457" s="795">
        <v>1</v>
      </c>
      <c r="O457" s="799">
        <v>1</v>
      </c>
      <c r="P457" s="798">
        <v>250</v>
      </c>
      <c r="Q457" s="800">
        <v>1</v>
      </c>
      <c r="R457" s="795">
        <v>1</v>
      </c>
      <c r="S457" s="800">
        <v>1</v>
      </c>
      <c r="T457" s="799">
        <v>1</v>
      </c>
      <c r="U457" s="801">
        <v>1</v>
      </c>
    </row>
    <row r="458" spans="1:21" ht="14.4" customHeight="1" x14ac:dyDescent="0.3">
      <c r="A458" s="794">
        <v>31</v>
      </c>
      <c r="B458" s="795" t="s">
        <v>592</v>
      </c>
      <c r="C458" s="795" t="s">
        <v>1513</v>
      </c>
      <c r="D458" s="796" t="s">
        <v>2055</v>
      </c>
      <c r="E458" s="797" t="s">
        <v>1534</v>
      </c>
      <c r="F458" s="795" t="s">
        <v>1510</v>
      </c>
      <c r="G458" s="795" t="s">
        <v>1617</v>
      </c>
      <c r="H458" s="795" t="s">
        <v>593</v>
      </c>
      <c r="I458" s="795" t="s">
        <v>1618</v>
      </c>
      <c r="J458" s="795" t="s">
        <v>1619</v>
      </c>
      <c r="K458" s="795" t="s">
        <v>1620</v>
      </c>
      <c r="L458" s="798">
        <v>260</v>
      </c>
      <c r="M458" s="798">
        <v>1040</v>
      </c>
      <c r="N458" s="795">
        <v>4</v>
      </c>
      <c r="O458" s="799">
        <v>2</v>
      </c>
      <c r="P458" s="798">
        <v>1040</v>
      </c>
      <c r="Q458" s="800">
        <v>1</v>
      </c>
      <c r="R458" s="795">
        <v>4</v>
      </c>
      <c r="S458" s="800">
        <v>1</v>
      </c>
      <c r="T458" s="799">
        <v>2</v>
      </c>
      <c r="U458" s="801">
        <v>1</v>
      </c>
    </row>
    <row r="459" spans="1:21" ht="14.4" customHeight="1" x14ac:dyDescent="0.3">
      <c r="A459" s="794">
        <v>31</v>
      </c>
      <c r="B459" s="795" t="s">
        <v>592</v>
      </c>
      <c r="C459" s="795" t="s">
        <v>1513</v>
      </c>
      <c r="D459" s="796" t="s">
        <v>2055</v>
      </c>
      <c r="E459" s="797" t="s">
        <v>1534</v>
      </c>
      <c r="F459" s="795" t="s">
        <v>1510</v>
      </c>
      <c r="G459" s="795" t="s">
        <v>1617</v>
      </c>
      <c r="H459" s="795" t="s">
        <v>593</v>
      </c>
      <c r="I459" s="795" t="s">
        <v>1621</v>
      </c>
      <c r="J459" s="795" t="s">
        <v>1622</v>
      </c>
      <c r="K459" s="795" t="s">
        <v>1623</v>
      </c>
      <c r="L459" s="798">
        <v>200</v>
      </c>
      <c r="M459" s="798">
        <v>800</v>
      </c>
      <c r="N459" s="795">
        <v>4</v>
      </c>
      <c r="O459" s="799">
        <v>2</v>
      </c>
      <c r="P459" s="798">
        <v>800</v>
      </c>
      <c r="Q459" s="800">
        <v>1</v>
      </c>
      <c r="R459" s="795">
        <v>4</v>
      </c>
      <c r="S459" s="800">
        <v>1</v>
      </c>
      <c r="T459" s="799">
        <v>2</v>
      </c>
      <c r="U459" s="801">
        <v>1</v>
      </c>
    </row>
    <row r="460" spans="1:21" ht="14.4" customHeight="1" x14ac:dyDescent="0.3">
      <c r="A460" s="794">
        <v>31</v>
      </c>
      <c r="B460" s="795" t="s">
        <v>592</v>
      </c>
      <c r="C460" s="795" t="s">
        <v>1513</v>
      </c>
      <c r="D460" s="796" t="s">
        <v>2055</v>
      </c>
      <c r="E460" s="797" t="s">
        <v>1535</v>
      </c>
      <c r="F460" s="795" t="s">
        <v>1508</v>
      </c>
      <c r="G460" s="795" t="s">
        <v>1553</v>
      </c>
      <c r="H460" s="795" t="s">
        <v>912</v>
      </c>
      <c r="I460" s="795" t="s">
        <v>1068</v>
      </c>
      <c r="J460" s="795" t="s">
        <v>1438</v>
      </c>
      <c r="K460" s="795" t="s">
        <v>1439</v>
      </c>
      <c r="L460" s="798">
        <v>149.52000000000001</v>
      </c>
      <c r="M460" s="798">
        <v>149.52000000000001</v>
      </c>
      <c r="N460" s="795">
        <v>1</v>
      </c>
      <c r="O460" s="799">
        <v>1</v>
      </c>
      <c r="P460" s="798">
        <v>149.52000000000001</v>
      </c>
      <c r="Q460" s="800">
        <v>1</v>
      </c>
      <c r="R460" s="795">
        <v>1</v>
      </c>
      <c r="S460" s="800">
        <v>1</v>
      </c>
      <c r="T460" s="799">
        <v>1</v>
      </c>
      <c r="U460" s="801">
        <v>1</v>
      </c>
    </row>
    <row r="461" spans="1:21" ht="14.4" customHeight="1" x14ac:dyDescent="0.3">
      <c r="A461" s="794">
        <v>31</v>
      </c>
      <c r="B461" s="795" t="s">
        <v>592</v>
      </c>
      <c r="C461" s="795" t="s">
        <v>1513</v>
      </c>
      <c r="D461" s="796" t="s">
        <v>2055</v>
      </c>
      <c r="E461" s="797" t="s">
        <v>1535</v>
      </c>
      <c r="F461" s="795" t="s">
        <v>1508</v>
      </c>
      <c r="G461" s="795" t="s">
        <v>1539</v>
      </c>
      <c r="H461" s="795" t="s">
        <v>912</v>
      </c>
      <c r="I461" s="795" t="s">
        <v>1670</v>
      </c>
      <c r="J461" s="795" t="s">
        <v>977</v>
      </c>
      <c r="K461" s="795" t="s">
        <v>1671</v>
      </c>
      <c r="L461" s="798">
        <v>368.16</v>
      </c>
      <c r="M461" s="798">
        <v>736.32</v>
      </c>
      <c r="N461" s="795">
        <v>2</v>
      </c>
      <c r="O461" s="799">
        <v>1</v>
      </c>
      <c r="P461" s="798">
        <v>736.32</v>
      </c>
      <c r="Q461" s="800">
        <v>1</v>
      </c>
      <c r="R461" s="795">
        <v>2</v>
      </c>
      <c r="S461" s="800">
        <v>1</v>
      </c>
      <c r="T461" s="799">
        <v>1</v>
      </c>
      <c r="U461" s="801">
        <v>1</v>
      </c>
    </row>
    <row r="462" spans="1:21" ht="14.4" customHeight="1" x14ac:dyDescent="0.3">
      <c r="A462" s="794">
        <v>31</v>
      </c>
      <c r="B462" s="795" t="s">
        <v>592</v>
      </c>
      <c r="C462" s="795" t="s">
        <v>1513</v>
      </c>
      <c r="D462" s="796" t="s">
        <v>2055</v>
      </c>
      <c r="E462" s="797" t="s">
        <v>1535</v>
      </c>
      <c r="F462" s="795" t="s">
        <v>1508</v>
      </c>
      <c r="G462" s="795" t="s">
        <v>1539</v>
      </c>
      <c r="H462" s="795" t="s">
        <v>912</v>
      </c>
      <c r="I462" s="795" t="s">
        <v>1540</v>
      </c>
      <c r="J462" s="795" t="s">
        <v>977</v>
      </c>
      <c r="K462" s="795" t="s">
        <v>1414</v>
      </c>
      <c r="L462" s="798">
        <v>490.89</v>
      </c>
      <c r="M462" s="798">
        <v>981.78</v>
      </c>
      <c r="N462" s="795">
        <v>2</v>
      </c>
      <c r="O462" s="799">
        <v>1</v>
      </c>
      <c r="P462" s="798"/>
      <c r="Q462" s="800">
        <v>0</v>
      </c>
      <c r="R462" s="795"/>
      <c r="S462" s="800">
        <v>0</v>
      </c>
      <c r="T462" s="799"/>
      <c r="U462" s="801">
        <v>0</v>
      </c>
    </row>
    <row r="463" spans="1:21" ht="14.4" customHeight="1" x14ac:dyDescent="0.3">
      <c r="A463" s="794">
        <v>31</v>
      </c>
      <c r="B463" s="795" t="s">
        <v>592</v>
      </c>
      <c r="C463" s="795" t="s">
        <v>1513</v>
      </c>
      <c r="D463" s="796" t="s">
        <v>2055</v>
      </c>
      <c r="E463" s="797" t="s">
        <v>1535</v>
      </c>
      <c r="F463" s="795" t="s">
        <v>1508</v>
      </c>
      <c r="G463" s="795" t="s">
        <v>1541</v>
      </c>
      <c r="H463" s="795" t="s">
        <v>912</v>
      </c>
      <c r="I463" s="795" t="s">
        <v>929</v>
      </c>
      <c r="J463" s="795" t="s">
        <v>1453</v>
      </c>
      <c r="K463" s="795" t="s">
        <v>1454</v>
      </c>
      <c r="L463" s="798">
        <v>0</v>
      </c>
      <c r="M463" s="798">
        <v>0</v>
      </c>
      <c r="N463" s="795">
        <v>3</v>
      </c>
      <c r="O463" s="799">
        <v>2</v>
      </c>
      <c r="P463" s="798">
        <v>0</v>
      </c>
      <c r="Q463" s="800"/>
      <c r="R463" s="795">
        <v>3</v>
      </c>
      <c r="S463" s="800">
        <v>1</v>
      </c>
      <c r="T463" s="799">
        <v>2</v>
      </c>
      <c r="U463" s="801">
        <v>1</v>
      </c>
    </row>
    <row r="464" spans="1:21" ht="14.4" customHeight="1" x14ac:dyDescent="0.3">
      <c r="A464" s="794">
        <v>31</v>
      </c>
      <c r="B464" s="795" t="s">
        <v>592</v>
      </c>
      <c r="C464" s="795" t="s">
        <v>1513</v>
      </c>
      <c r="D464" s="796" t="s">
        <v>2055</v>
      </c>
      <c r="E464" s="797" t="s">
        <v>1535</v>
      </c>
      <c r="F464" s="795" t="s">
        <v>1510</v>
      </c>
      <c r="G464" s="795" t="s">
        <v>1548</v>
      </c>
      <c r="H464" s="795" t="s">
        <v>593</v>
      </c>
      <c r="I464" s="795" t="s">
        <v>1694</v>
      </c>
      <c r="J464" s="795" t="s">
        <v>1550</v>
      </c>
      <c r="K464" s="795" t="s">
        <v>1695</v>
      </c>
      <c r="L464" s="798">
        <v>24.77</v>
      </c>
      <c r="M464" s="798">
        <v>421.08999999999992</v>
      </c>
      <c r="N464" s="795">
        <v>17</v>
      </c>
      <c r="O464" s="799">
        <v>17</v>
      </c>
      <c r="P464" s="798">
        <v>421.08999999999992</v>
      </c>
      <c r="Q464" s="800">
        <v>1</v>
      </c>
      <c r="R464" s="795">
        <v>17</v>
      </c>
      <c r="S464" s="800">
        <v>1</v>
      </c>
      <c r="T464" s="799">
        <v>17</v>
      </c>
      <c r="U464" s="801">
        <v>1</v>
      </c>
    </row>
    <row r="465" spans="1:21" ht="14.4" customHeight="1" x14ac:dyDescent="0.3">
      <c r="A465" s="794">
        <v>31</v>
      </c>
      <c r="B465" s="795" t="s">
        <v>592</v>
      </c>
      <c r="C465" s="795" t="s">
        <v>1513</v>
      </c>
      <c r="D465" s="796" t="s">
        <v>2055</v>
      </c>
      <c r="E465" s="797" t="s">
        <v>1535</v>
      </c>
      <c r="F465" s="795" t="s">
        <v>1510</v>
      </c>
      <c r="G465" s="795" t="s">
        <v>1589</v>
      </c>
      <c r="H465" s="795" t="s">
        <v>593</v>
      </c>
      <c r="I465" s="795" t="s">
        <v>1596</v>
      </c>
      <c r="J465" s="795" t="s">
        <v>1597</v>
      </c>
      <c r="K465" s="795" t="s">
        <v>1598</v>
      </c>
      <c r="L465" s="798">
        <v>492.18</v>
      </c>
      <c r="M465" s="798">
        <v>492.18</v>
      </c>
      <c r="N465" s="795">
        <v>1</v>
      </c>
      <c r="O465" s="799">
        <v>1</v>
      </c>
      <c r="P465" s="798">
        <v>492.18</v>
      </c>
      <c r="Q465" s="800">
        <v>1</v>
      </c>
      <c r="R465" s="795">
        <v>1</v>
      </c>
      <c r="S465" s="800">
        <v>1</v>
      </c>
      <c r="T465" s="799">
        <v>1</v>
      </c>
      <c r="U465" s="801">
        <v>1</v>
      </c>
    </row>
    <row r="466" spans="1:21" ht="14.4" customHeight="1" x14ac:dyDescent="0.3">
      <c r="A466" s="794">
        <v>31</v>
      </c>
      <c r="B466" s="795" t="s">
        <v>592</v>
      </c>
      <c r="C466" s="795" t="s">
        <v>1513</v>
      </c>
      <c r="D466" s="796" t="s">
        <v>2055</v>
      </c>
      <c r="E466" s="797" t="s">
        <v>1535</v>
      </c>
      <c r="F466" s="795" t="s">
        <v>1510</v>
      </c>
      <c r="G466" s="795" t="s">
        <v>1589</v>
      </c>
      <c r="H466" s="795" t="s">
        <v>593</v>
      </c>
      <c r="I466" s="795" t="s">
        <v>1883</v>
      </c>
      <c r="J466" s="795" t="s">
        <v>1884</v>
      </c>
      <c r="K466" s="795" t="s">
        <v>1885</v>
      </c>
      <c r="L466" s="798">
        <v>320.25</v>
      </c>
      <c r="M466" s="798">
        <v>320.25</v>
      </c>
      <c r="N466" s="795">
        <v>1</v>
      </c>
      <c r="O466" s="799">
        <v>1</v>
      </c>
      <c r="P466" s="798">
        <v>320.25</v>
      </c>
      <c r="Q466" s="800">
        <v>1</v>
      </c>
      <c r="R466" s="795">
        <v>1</v>
      </c>
      <c r="S466" s="800">
        <v>1</v>
      </c>
      <c r="T466" s="799">
        <v>1</v>
      </c>
      <c r="U466" s="801">
        <v>1</v>
      </c>
    </row>
    <row r="467" spans="1:21" ht="14.4" customHeight="1" x14ac:dyDescent="0.3">
      <c r="A467" s="794">
        <v>31</v>
      </c>
      <c r="B467" s="795" t="s">
        <v>592</v>
      </c>
      <c r="C467" s="795" t="s">
        <v>1513</v>
      </c>
      <c r="D467" s="796" t="s">
        <v>2055</v>
      </c>
      <c r="E467" s="797" t="s">
        <v>1535</v>
      </c>
      <c r="F467" s="795" t="s">
        <v>1510</v>
      </c>
      <c r="G467" s="795" t="s">
        <v>1589</v>
      </c>
      <c r="H467" s="795" t="s">
        <v>593</v>
      </c>
      <c r="I467" s="795" t="s">
        <v>1655</v>
      </c>
      <c r="J467" s="795" t="s">
        <v>1656</v>
      </c>
      <c r="K467" s="795" t="s">
        <v>1657</v>
      </c>
      <c r="L467" s="798">
        <v>58.5</v>
      </c>
      <c r="M467" s="798">
        <v>58.5</v>
      </c>
      <c r="N467" s="795">
        <v>1</v>
      </c>
      <c r="O467" s="799">
        <v>1</v>
      </c>
      <c r="P467" s="798">
        <v>58.5</v>
      </c>
      <c r="Q467" s="800">
        <v>1</v>
      </c>
      <c r="R467" s="795">
        <v>1</v>
      </c>
      <c r="S467" s="800">
        <v>1</v>
      </c>
      <c r="T467" s="799">
        <v>1</v>
      </c>
      <c r="U467" s="801">
        <v>1</v>
      </c>
    </row>
    <row r="468" spans="1:21" ht="14.4" customHeight="1" x14ac:dyDescent="0.3">
      <c r="A468" s="794">
        <v>31</v>
      </c>
      <c r="B468" s="795" t="s">
        <v>592</v>
      </c>
      <c r="C468" s="795" t="s">
        <v>1513</v>
      </c>
      <c r="D468" s="796" t="s">
        <v>2055</v>
      </c>
      <c r="E468" s="797" t="s">
        <v>1535</v>
      </c>
      <c r="F468" s="795" t="s">
        <v>1510</v>
      </c>
      <c r="G468" s="795" t="s">
        <v>1589</v>
      </c>
      <c r="H468" s="795" t="s">
        <v>593</v>
      </c>
      <c r="I468" s="795" t="s">
        <v>1602</v>
      </c>
      <c r="J468" s="795" t="s">
        <v>1603</v>
      </c>
      <c r="K468" s="795" t="s">
        <v>1604</v>
      </c>
      <c r="L468" s="798">
        <v>971.25</v>
      </c>
      <c r="M468" s="798">
        <v>971.25</v>
      </c>
      <c r="N468" s="795">
        <v>1</v>
      </c>
      <c r="O468" s="799">
        <v>1</v>
      </c>
      <c r="P468" s="798">
        <v>971.25</v>
      </c>
      <c r="Q468" s="800">
        <v>1</v>
      </c>
      <c r="R468" s="795">
        <v>1</v>
      </c>
      <c r="S468" s="800">
        <v>1</v>
      </c>
      <c r="T468" s="799">
        <v>1</v>
      </c>
      <c r="U468" s="801">
        <v>1</v>
      </c>
    </row>
    <row r="469" spans="1:21" ht="14.4" customHeight="1" x14ac:dyDescent="0.3">
      <c r="A469" s="794">
        <v>31</v>
      </c>
      <c r="B469" s="795" t="s">
        <v>592</v>
      </c>
      <c r="C469" s="795" t="s">
        <v>1513</v>
      </c>
      <c r="D469" s="796" t="s">
        <v>2055</v>
      </c>
      <c r="E469" s="797" t="s">
        <v>1535</v>
      </c>
      <c r="F469" s="795" t="s">
        <v>1510</v>
      </c>
      <c r="G469" s="795" t="s">
        <v>1589</v>
      </c>
      <c r="H469" s="795" t="s">
        <v>593</v>
      </c>
      <c r="I469" s="795" t="s">
        <v>1605</v>
      </c>
      <c r="J469" s="795" t="s">
        <v>1606</v>
      </c>
      <c r="K469" s="795" t="s">
        <v>1607</v>
      </c>
      <c r="L469" s="798">
        <v>350</v>
      </c>
      <c r="M469" s="798">
        <v>1400</v>
      </c>
      <c r="N469" s="795">
        <v>4</v>
      </c>
      <c r="O469" s="799">
        <v>4</v>
      </c>
      <c r="P469" s="798">
        <v>1050</v>
      </c>
      <c r="Q469" s="800">
        <v>0.75</v>
      </c>
      <c r="R469" s="795">
        <v>3</v>
      </c>
      <c r="S469" s="800">
        <v>0.75</v>
      </c>
      <c r="T469" s="799">
        <v>3</v>
      </c>
      <c r="U469" s="801">
        <v>0.75</v>
      </c>
    </row>
    <row r="470" spans="1:21" ht="14.4" customHeight="1" x14ac:dyDescent="0.3">
      <c r="A470" s="794">
        <v>31</v>
      </c>
      <c r="B470" s="795" t="s">
        <v>592</v>
      </c>
      <c r="C470" s="795" t="s">
        <v>1513</v>
      </c>
      <c r="D470" s="796" t="s">
        <v>2055</v>
      </c>
      <c r="E470" s="797" t="s">
        <v>1535</v>
      </c>
      <c r="F470" s="795" t="s">
        <v>1510</v>
      </c>
      <c r="G470" s="795" t="s">
        <v>1589</v>
      </c>
      <c r="H470" s="795" t="s">
        <v>593</v>
      </c>
      <c r="I470" s="795" t="s">
        <v>2038</v>
      </c>
      <c r="J470" s="795" t="s">
        <v>1731</v>
      </c>
      <c r="K470" s="795" t="s">
        <v>2039</v>
      </c>
      <c r="L470" s="798">
        <v>1600</v>
      </c>
      <c r="M470" s="798">
        <v>1600</v>
      </c>
      <c r="N470" s="795">
        <v>1</v>
      </c>
      <c r="O470" s="799">
        <v>1</v>
      </c>
      <c r="P470" s="798">
        <v>1600</v>
      </c>
      <c r="Q470" s="800">
        <v>1</v>
      </c>
      <c r="R470" s="795">
        <v>1</v>
      </c>
      <c r="S470" s="800">
        <v>1</v>
      </c>
      <c r="T470" s="799">
        <v>1</v>
      </c>
      <c r="U470" s="801">
        <v>1</v>
      </c>
    </row>
    <row r="471" spans="1:21" ht="14.4" customHeight="1" x14ac:dyDescent="0.3">
      <c r="A471" s="794">
        <v>31</v>
      </c>
      <c r="B471" s="795" t="s">
        <v>592</v>
      </c>
      <c r="C471" s="795" t="s">
        <v>1513</v>
      </c>
      <c r="D471" s="796" t="s">
        <v>2055</v>
      </c>
      <c r="E471" s="797" t="s">
        <v>1535</v>
      </c>
      <c r="F471" s="795" t="s">
        <v>1510</v>
      </c>
      <c r="G471" s="795" t="s">
        <v>1589</v>
      </c>
      <c r="H471" s="795" t="s">
        <v>593</v>
      </c>
      <c r="I471" s="795" t="s">
        <v>1608</v>
      </c>
      <c r="J471" s="795" t="s">
        <v>1609</v>
      </c>
      <c r="K471" s="795" t="s">
        <v>1610</v>
      </c>
      <c r="L471" s="798">
        <v>1000</v>
      </c>
      <c r="M471" s="798">
        <v>1000</v>
      </c>
      <c r="N471" s="795">
        <v>1</v>
      </c>
      <c r="O471" s="799">
        <v>1</v>
      </c>
      <c r="P471" s="798">
        <v>1000</v>
      </c>
      <c r="Q471" s="800">
        <v>1</v>
      </c>
      <c r="R471" s="795">
        <v>1</v>
      </c>
      <c r="S471" s="800">
        <v>1</v>
      </c>
      <c r="T471" s="799">
        <v>1</v>
      </c>
      <c r="U471" s="801">
        <v>1</v>
      </c>
    </row>
    <row r="472" spans="1:21" ht="14.4" customHeight="1" x14ac:dyDescent="0.3">
      <c r="A472" s="794">
        <v>31</v>
      </c>
      <c r="B472" s="795" t="s">
        <v>592</v>
      </c>
      <c r="C472" s="795" t="s">
        <v>1513</v>
      </c>
      <c r="D472" s="796" t="s">
        <v>2055</v>
      </c>
      <c r="E472" s="797" t="s">
        <v>1535</v>
      </c>
      <c r="F472" s="795" t="s">
        <v>1510</v>
      </c>
      <c r="G472" s="795" t="s">
        <v>1589</v>
      </c>
      <c r="H472" s="795" t="s">
        <v>593</v>
      </c>
      <c r="I472" s="795" t="s">
        <v>1849</v>
      </c>
      <c r="J472" s="795" t="s">
        <v>1850</v>
      </c>
      <c r="K472" s="795" t="s">
        <v>1851</v>
      </c>
      <c r="L472" s="798">
        <v>1000</v>
      </c>
      <c r="M472" s="798">
        <v>1000</v>
      </c>
      <c r="N472" s="795">
        <v>1</v>
      </c>
      <c r="O472" s="799">
        <v>1</v>
      </c>
      <c r="P472" s="798"/>
      <c r="Q472" s="800">
        <v>0</v>
      </c>
      <c r="R472" s="795"/>
      <c r="S472" s="800">
        <v>0</v>
      </c>
      <c r="T472" s="799"/>
      <c r="U472" s="801">
        <v>0</v>
      </c>
    </row>
    <row r="473" spans="1:21" ht="14.4" customHeight="1" x14ac:dyDescent="0.3">
      <c r="A473" s="794">
        <v>31</v>
      </c>
      <c r="B473" s="795" t="s">
        <v>592</v>
      </c>
      <c r="C473" s="795" t="s">
        <v>1513</v>
      </c>
      <c r="D473" s="796" t="s">
        <v>2055</v>
      </c>
      <c r="E473" s="797" t="s">
        <v>1535</v>
      </c>
      <c r="F473" s="795" t="s">
        <v>1510</v>
      </c>
      <c r="G473" s="795" t="s">
        <v>1617</v>
      </c>
      <c r="H473" s="795" t="s">
        <v>593</v>
      </c>
      <c r="I473" s="795" t="s">
        <v>1618</v>
      </c>
      <c r="J473" s="795" t="s">
        <v>1619</v>
      </c>
      <c r="K473" s="795" t="s">
        <v>1620</v>
      </c>
      <c r="L473" s="798">
        <v>260</v>
      </c>
      <c r="M473" s="798">
        <v>520</v>
      </c>
      <c r="N473" s="795">
        <v>2</v>
      </c>
      <c r="O473" s="799">
        <v>1</v>
      </c>
      <c r="P473" s="798">
        <v>520</v>
      </c>
      <c r="Q473" s="800">
        <v>1</v>
      </c>
      <c r="R473" s="795">
        <v>2</v>
      </c>
      <c r="S473" s="800">
        <v>1</v>
      </c>
      <c r="T473" s="799">
        <v>1</v>
      </c>
      <c r="U473" s="801">
        <v>1</v>
      </c>
    </row>
    <row r="474" spans="1:21" ht="14.4" customHeight="1" x14ac:dyDescent="0.3">
      <c r="A474" s="794">
        <v>31</v>
      </c>
      <c r="B474" s="795" t="s">
        <v>592</v>
      </c>
      <c r="C474" s="795" t="s">
        <v>1513</v>
      </c>
      <c r="D474" s="796" t="s">
        <v>2055</v>
      </c>
      <c r="E474" s="797" t="s">
        <v>1535</v>
      </c>
      <c r="F474" s="795" t="s">
        <v>1510</v>
      </c>
      <c r="G474" s="795" t="s">
        <v>1617</v>
      </c>
      <c r="H474" s="795" t="s">
        <v>593</v>
      </c>
      <c r="I474" s="795" t="s">
        <v>1621</v>
      </c>
      <c r="J474" s="795" t="s">
        <v>1622</v>
      </c>
      <c r="K474" s="795" t="s">
        <v>1623</v>
      </c>
      <c r="L474" s="798">
        <v>200</v>
      </c>
      <c r="M474" s="798">
        <v>800</v>
      </c>
      <c r="N474" s="795">
        <v>4</v>
      </c>
      <c r="O474" s="799">
        <v>2</v>
      </c>
      <c r="P474" s="798">
        <v>400</v>
      </c>
      <c r="Q474" s="800">
        <v>0.5</v>
      </c>
      <c r="R474" s="795">
        <v>2</v>
      </c>
      <c r="S474" s="800">
        <v>0.5</v>
      </c>
      <c r="T474" s="799">
        <v>1</v>
      </c>
      <c r="U474" s="801">
        <v>0.5</v>
      </c>
    </row>
    <row r="475" spans="1:21" ht="14.4" customHeight="1" x14ac:dyDescent="0.3">
      <c r="A475" s="794">
        <v>31</v>
      </c>
      <c r="B475" s="795" t="s">
        <v>592</v>
      </c>
      <c r="C475" s="795" t="s">
        <v>1513</v>
      </c>
      <c r="D475" s="796" t="s">
        <v>2055</v>
      </c>
      <c r="E475" s="797" t="s">
        <v>1535</v>
      </c>
      <c r="F475" s="795" t="s">
        <v>1510</v>
      </c>
      <c r="G475" s="795" t="s">
        <v>1617</v>
      </c>
      <c r="H475" s="795" t="s">
        <v>593</v>
      </c>
      <c r="I475" s="795" t="s">
        <v>2040</v>
      </c>
      <c r="J475" s="795" t="s">
        <v>2041</v>
      </c>
      <c r="K475" s="795" t="s">
        <v>2042</v>
      </c>
      <c r="L475" s="798">
        <v>200</v>
      </c>
      <c r="M475" s="798">
        <v>400</v>
      </c>
      <c r="N475" s="795">
        <v>2</v>
      </c>
      <c r="O475" s="799">
        <v>1</v>
      </c>
      <c r="P475" s="798">
        <v>400</v>
      </c>
      <c r="Q475" s="800">
        <v>1</v>
      </c>
      <c r="R475" s="795">
        <v>2</v>
      </c>
      <c r="S475" s="800">
        <v>1</v>
      </c>
      <c r="T475" s="799">
        <v>1</v>
      </c>
      <c r="U475" s="801">
        <v>1</v>
      </c>
    </row>
    <row r="476" spans="1:21" ht="14.4" customHeight="1" x14ac:dyDescent="0.3">
      <c r="A476" s="794">
        <v>31</v>
      </c>
      <c r="B476" s="795" t="s">
        <v>592</v>
      </c>
      <c r="C476" s="795" t="s">
        <v>1513</v>
      </c>
      <c r="D476" s="796" t="s">
        <v>2055</v>
      </c>
      <c r="E476" s="797" t="s">
        <v>1536</v>
      </c>
      <c r="F476" s="795" t="s">
        <v>1508</v>
      </c>
      <c r="G476" s="795" t="s">
        <v>1557</v>
      </c>
      <c r="H476" s="795" t="s">
        <v>593</v>
      </c>
      <c r="I476" s="795" t="s">
        <v>1061</v>
      </c>
      <c r="J476" s="795" t="s">
        <v>1062</v>
      </c>
      <c r="K476" s="795" t="s">
        <v>1558</v>
      </c>
      <c r="L476" s="798">
        <v>78.33</v>
      </c>
      <c r="M476" s="798">
        <v>156.66</v>
      </c>
      <c r="N476" s="795">
        <v>2</v>
      </c>
      <c r="O476" s="799">
        <v>1</v>
      </c>
      <c r="P476" s="798">
        <v>156.66</v>
      </c>
      <c r="Q476" s="800">
        <v>1</v>
      </c>
      <c r="R476" s="795">
        <v>2</v>
      </c>
      <c r="S476" s="800">
        <v>1</v>
      </c>
      <c r="T476" s="799">
        <v>1</v>
      </c>
      <c r="U476" s="801">
        <v>1</v>
      </c>
    </row>
    <row r="477" spans="1:21" ht="14.4" customHeight="1" x14ac:dyDescent="0.3">
      <c r="A477" s="794">
        <v>31</v>
      </c>
      <c r="B477" s="795" t="s">
        <v>592</v>
      </c>
      <c r="C477" s="795" t="s">
        <v>1513</v>
      </c>
      <c r="D477" s="796" t="s">
        <v>2055</v>
      </c>
      <c r="E477" s="797" t="s">
        <v>1536</v>
      </c>
      <c r="F477" s="795" t="s">
        <v>1508</v>
      </c>
      <c r="G477" s="795" t="s">
        <v>2043</v>
      </c>
      <c r="H477" s="795" t="s">
        <v>593</v>
      </c>
      <c r="I477" s="795" t="s">
        <v>2044</v>
      </c>
      <c r="J477" s="795" t="s">
        <v>2045</v>
      </c>
      <c r="K477" s="795" t="s">
        <v>2046</v>
      </c>
      <c r="L477" s="798">
        <v>0</v>
      </c>
      <c r="M477" s="798">
        <v>0</v>
      </c>
      <c r="N477" s="795">
        <v>1</v>
      </c>
      <c r="O477" s="799">
        <v>0.5</v>
      </c>
      <c r="P477" s="798">
        <v>0</v>
      </c>
      <c r="Q477" s="800"/>
      <c r="R477" s="795">
        <v>1</v>
      </c>
      <c r="S477" s="800">
        <v>1</v>
      </c>
      <c r="T477" s="799">
        <v>0.5</v>
      </c>
      <c r="U477" s="801">
        <v>1</v>
      </c>
    </row>
    <row r="478" spans="1:21" ht="14.4" customHeight="1" x14ac:dyDescent="0.3">
      <c r="A478" s="794">
        <v>31</v>
      </c>
      <c r="B478" s="795" t="s">
        <v>592</v>
      </c>
      <c r="C478" s="795" t="s">
        <v>1513</v>
      </c>
      <c r="D478" s="796" t="s">
        <v>2055</v>
      </c>
      <c r="E478" s="797" t="s">
        <v>1536</v>
      </c>
      <c r="F478" s="795" t="s">
        <v>1508</v>
      </c>
      <c r="G478" s="795" t="s">
        <v>1822</v>
      </c>
      <c r="H478" s="795" t="s">
        <v>593</v>
      </c>
      <c r="I478" s="795" t="s">
        <v>2047</v>
      </c>
      <c r="J478" s="795" t="s">
        <v>1824</v>
      </c>
      <c r="K478" s="795" t="s">
        <v>2048</v>
      </c>
      <c r="L478" s="798">
        <v>537.12</v>
      </c>
      <c r="M478" s="798">
        <v>537.12</v>
      </c>
      <c r="N478" s="795">
        <v>1</v>
      </c>
      <c r="O478" s="799">
        <v>0.5</v>
      </c>
      <c r="P478" s="798">
        <v>537.12</v>
      </c>
      <c r="Q478" s="800">
        <v>1</v>
      </c>
      <c r="R478" s="795">
        <v>1</v>
      </c>
      <c r="S478" s="800">
        <v>1</v>
      </c>
      <c r="T478" s="799">
        <v>0.5</v>
      </c>
      <c r="U478" s="801">
        <v>1</v>
      </c>
    </row>
    <row r="479" spans="1:21" ht="14.4" customHeight="1" x14ac:dyDescent="0.3">
      <c r="A479" s="794">
        <v>31</v>
      </c>
      <c r="B479" s="795" t="s">
        <v>592</v>
      </c>
      <c r="C479" s="795" t="s">
        <v>1513</v>
      </c>
      <c r="D479" s="796" t="s">
        <v>2055</v>
      </c>
      <c r="E479" s="797" t="s">
        <v>1536</v>
      </c>
      <c r="F479" s="795" t="s">
        <v>1508</v>
      </c>
      <c r="G479" s="795" t="s">
        <v>1638</v>
      </c>
      <c r="H479" s="795" t="s">
        <v>593</v>
      </c>
      <c r="I479" s="795" t="s">
        <v>1639</v>
      </c>
      <c r="J479" s="795" t="s">
        <v>1640</v>
      </c>
      <c r="K479" s="795" t="s">
        <v>1641</v>
      </c>
      <c r="L479" s="798">
        <v>0</v>
      </c>
      <c r="M479" s="798">
        <v>0</v>
      </c>
      <c r="N479" s="795">
        <v>1</v>
      </c>
      <c r="O479" s="799">
        <v>0.5</v>
      </c>
      <c r="P479" s="798">
        <v>0</v>
      </c>
      <c r="Q479" s="800"/>
      <c r="R479" s="795">
        <v>1</v>
      </c>
      <c r="S479" s="800">
        <v>1</v>
      </c>
      <c r="T479" s="799">
        <v>0.5</v>
      </c>
      <c r="U479" s="801">
        <v>1</v>
      </c>
    </row>
    <row r="480" spans="1:21" ht="14.4" customHeight="1" x14ac:dyDescent="0.3">
      <c r="A480" s="794">
        <v>31</v>
      </c>
      <c r="B480" s="795" t="s">
        <v>592</v>
      </c>
      <c r="C480" s="795" t="s">
        <v>1513</v>
      </c>
      <c r="D480" s="796" t="s">
        <v>2055</v>
      </c>
      <c r="E480" s="797" t="s">
        <v>1536</v>
      </c>
      <c r="F480" s="795" t="s">
        <v>1508</v>
      </c>
      <c r="G480" s="795" t="s">
        <v>1939</v>
      </c>
      <c r="H480" s="795" t="s">
        <v>593</v>
      </c>
      <c r="I480" s="795" t="s">
        <v>785</v>
      </c>
      <c r="J480" s="795" t="s">
        <v>786</v>
      </c>
      <c r="K480" s="795" t="s">
        <v>1940</v>
      </c>
      <c r="L480" s="798">
        <v>60.9</v>
      </c>
      <c r="M480" s="798">
        <v>182.7</v>
      </c>
      <c r="N480" s="795">
        <v>3</v>
      </c>
      <c r="O480" s="799">
        <v>1</v>
      </c>
      <c r="P480" s="798">
        <v>182.7</v>
      </c>
      <c r="Q480" s="800">
        <v>1</v>
      </c>
      <c r="R480" s="795">
        <v>3</v>
      </c>
      <c r="S480" s="800">
        <v>1</v>
      </c>
      <c r="T480" s="799">
        <v>1</v>
      </c>
      <c r="U480" s="801">
        <v>1</v>
      </c>
    </row>
    <row r="481" spans="1:21" ht="14.4" customHeight="1" x14ac:dyDescent="0.3">
      <c r="A481" s="794">
        <v>31</v>
      </c>
      <c r="B481" s="795" t="s">
        <v>592</v>
      </c>
      <c r="C481" s="795" t="s">
        <v>1513</v>
      </c>
      <c r="D481" s="796" t="s">
        <v>2055</v>
      </c>
      <c r="E481" s="797" t="s">
        <v>1536</v>
      </c>
      <c r="F481" s="795" t="s">
        <v>1508</v>
      </c>
      <c r="G481" s="795" t="s">
        <v>1684</v>
      </c>
      <c r="H481" s="795" t="s">
        <v>593</v>
      </c>
      <c r="I481" s="795" t="s">
        <v>996</v>
      </c>
      <c r="J481" s="795" t="s">
        <v>997</v>
      </c>
      <c r="K481" s="795" t="s">
        <v>1685</v>
      </c>
      <c r="L481" s="798">
        <v>48.09</v>
      </c>
      <c r="M481" s="798">
        <v>48.09</v>
      </c>
      <c r="N481" s="795">
        <v>1</v>
      </c>
      <c r="O481" s="799">
        <v>1</v>
      </c>
      <c r="P481" s="798"/>
      <c r="Q481" s="800">
        <v>0</v>
      </c>
      <c r="R481" s="795"/>
      <c r="S481" s="800">
        <v>0</v>
      </c>
      <c r="T481" s="799"/>
      <c r="U481" s="801">
        <v>0</v>
      </c>
    </row>
    <row r="482" spans="1:21" ht="14.4" customHeight="1" x14ac:dyDescent="0.3">
      <c r="A482" s="794">
        <v>31</v>
      </c>
      <c r="B482" s="795" t="s">
        <v>592</v>
      </c>
      <c r="C482" s="795" t="s">
        <v>1513</v>
      </c>
      <c r="D482" s="796" t="s">
        <v>2055</v>
      </c>
      <c r="E482" s="797" t="s">
        <v>1536</v>
      </c>
      <c r="F482" s="795" t="s">
        <v>1508</v>
      </c>
      <c r="G482" s="795" t="s">
        <v>1561</v>
      </c>
      <c r="H482" s="795" t="s">
        <v>593</v>
      </c>
      <c r="I482" s="795" t="s">
        <v>1721</v>
      </c>
      <c r="J482" s="795" t="s">
        <v>1563</v>
      </c>
      <c r="K482" s="795" t="s">
        <v>1566</v>
      </c>
      <c r="L482" s="798">
        <v>132.97999999999999</v>
      </c>
      <c r="M482" s="798">
        <v>265.95999999999998</v>
      </c>
      <c r="N482" s="795">
        <v>2</v>
      </c>
      <c r="O482" s="799">
        <v>1</v>
      </c>
      <c r="P482" s="798">
        <v>265.95999999999998</v>
      </c>
      <c r="Q482" s="800">
        <v>1</v>
      </c>
      <c r="R482" s="795">
        <v>2</v>
      </c>
      <c r="S482" s="800">
        <v>1</v>
      </c>
      <c r="T482" s="799">
        <v>1</v>
      </c>
      <c r="U482" s="801">
        <v>1</v>
      </c>
    </row>
    <row r="483" spans="1:21" ht="14.4" customHeight="1" x14ac:dyDescent="0.3">
      <c r="A483" s="794">
        <v>31</v>
      </c>
      <c r="B483" s="795" t="s">
        <v>592</v>
      </c>
      <c r="C483" s="795" t="s">
        <v>1513</v>
      </c>
      <c r="D483" s="796" t="s">
        <v>2055</v>
      </c>
      <c r="E483" s="797" t="s">
        <v>1536</v>
      </c>
      <c r="F483" s="795" t="s">
        <v>1508</v>
      </c>
      <c r="G483" s="795" t="s">
        <v>1539</v>
      </c>
      <c r="H483" s="795" t="s">
        <v>912</v>
      </c>
      <c r="I483" s="795" t="s">
        <v>1540</v>
      </c>
      <c r="J483" s="795" t="s">
        <v>977</v>
      </c>
      <c r="K483" s="795" t="s">
        <v>1414</v>
      </c>
      <c r="L483" s="798">
        <v>490.89</v>
      </c>
      <c r="M483" s="798">
        <v>3927.1199999999994</v>
      </c>
      <c r="N483" s="795">
        <v>8</v>
      </c>
      <c r="O483" s="799">
        <v>6</v>
      </c>
      <c r="P483" s="798">
        <v>3436.2299999999996</v>
      </c>
      <c r="Q483" s="800">
        <v>0.875</v>
      </c>
      <c r="R483" s="795">
        <v>7</v>
      </c>
      <c r="S483" s="800">
        <v>0.875</v>
      </c>
      <c r="T483" s="799">
        <v>5</v>
      </c>
      <c r="U483" s="801">
        <v>0.83333333333333337</v>
      </c>
    </row>
    <row r="484" spans="1:21" ht="14.4" customHeight="1" x14ac:dyDescent="0.3">
      <c r="A484" s="794">
        <v>31</v>
      </c>
      <c r="B484" s="795" t="s">
        <v>592</v>
      </c>
      <c r="C484" s="795" t="s">
        <v>1513</v>
      </c>
      <c r="D484" s="796" t="s">
        <v>2055</v>
      </c>
      <c r="E484" s="797" t="s">
        <v>1536</v>
      </c>
      <c r="F484" s="795" t="s">
        <v>1508</v>
      </c>
      <c r="G484" s="795" t="s">
        <v>1539</v>
      </c>
      <c r="H484" s="795" t="s">
        <v>912</v>
      </c>
      <c r="I484" s="795" t="s">
        <v>1552</v>
      </c>
      <c r="J484" s="795" t="s">
        <v>977</v>
      </c>
      <c r="K484" s="795" t="s">
        <v>1413</v>
      </c>
      <c r="L484" s="798">
        <v>736.33</v>
      </c>
      <c r="M484" s="798">
        <v>8835.9600000000009</v>
      </c>
      <c r="N484" s="795">
        <v>12</v>
      </c>
      <c r="O484" s="799">
        <v>7.5</v>
      </c>
      <c r="P484" s="798">
        <v>8835.9600000000009</v>
      </c>
      <c r="Q484" s="800">
        <v>1</v>
      </c>
      <c r="R484" s="795">
        <v>12</v>
      </c>
      <c r="S484" s="800">
        <v>1</v>
      </c>
      <c r="T484" s="799">
        <v>7.5</v>
      </c>
      <c r="U484" s="801">
        <v>1</v>
      </c>
    </row>
    <row r="485" spans="1:21" ht="14.4" customHeight="1" x14ac:dyDescent="0.3">
      <c r="A485" s="794">
        <v>31</v>
      </c>
      <c r="B485" s="795" t="s">
        <v>592</v>
      </c>
      <c r="C485" s="795" t="s">
        <v>1513</v>
      </c>
      <c r="D485" s="796" t="s">
        <v>2055</v>
      </c>
      <c r="E485" s="797" t="s">
        <v>1536</v>
      </c>
      <c r="F485" s="795" t="s">
        <v>1508</v>
      </c>
      <c r="G485" s="795" t="s">
        <v>2024</v>
      </c>
      <c r="H485" s="795" t="s">
        <v>912</v>
      </c>
      <c r="I485" s="795" t="s">
        <v>2025</v>
      </c>
      <c r="J485" s="795" t="s">
        <v>1421</v>
      </c>
      <c r="K485" s="795" t="s">
        <v>2026</v>
      </c>
      <c r="L485" s="798">
        <v>0</v>
      </c>
      <c r="M485" s="798">
        <v>0</v>
      </c>
      <c r="N485" s="795">
        <v>1</v>
      </c>
      <c r="O485" s="799">
        <v>0.5</v>
      </c>
      <c r="P485" s="798">
        <v>0</v>
      </c>
      <c r="Q485" s="800"/>
      <c r="R485" s="795">
        <v>1</v>
      </c>
      <c r="S485" s="800">
        <v>1</v>
      </c>
      <c r="T485" s="799">
        <v>0.5</v>
      </c>
      <c r="U485" s="801">
        <v>1</v>
      </c>
    </row>
    <row r="486" spans="1:21" ht="14.4" customHeight="1" x14ac:dyDescent="0.3">
      <c r="A486" s="794">
        <v>31</v>
      </c>
      <c r="B486" s="795" t="s">
        <v>592</v>
      </c>
      <c r="C486" s="795" t="s">
        <v>1513</v>
      </c>
      <c r="D486" s="796" t="s">
        <v>2055</v>
      </c>
      <c r="E486" s="797" t="s">
        <v>1536</v>
      </c>
      <c r="F486" s="795" t="s">
        <v>1508</v>
      </c>
      <c r="G486" s="795" t="s">
        <v>1541</v>
      </c>
      <c r="H486" s="795" t="s">
        <v>912</v>
      </c>
      <c r="I486" s="795" t="s">
        <v>929</v>
      </c>
      <c r="J486" s="795" t="s">
        <v>1453</v>
      </c>
      <c r="K486" s="795" t="s">
        <v>1454</v>
      </c>
      <c r="L486" s="798">
        <v>0</v>
      </c>
      <c r="M486" s="798">
        <v>0</v>
      </c>
      <c r="N486" s="795">
        <v>5</v>
      </c>
      <c r="O486" s="799">
        <v>3.5</v>
      </c>
      <c r="P486" s="798">
        <v>0</v>
      </c>
      <c r="Q486" s="800"/>
      <c r="R486" s="795">
        <v>3</v>
      </c>
      <c r="S486" s="800">
        <v>0.6</v>
      </c>
      <c r="T486" s="799">
        <v>2.5</v>
      </c>
      <c r="U486" s="801">
        <v>0.7142857142857143</v>
      </c>
    </row>
    <row r="487" spans="1:21" ht="14.4" customHeight="1" x14ac:dyDescent="0.3">
      <c r="A487" s="794">
        <v>31</v>
      </c>
      <c r="B487" s="795" t="s">
        <v>592</v>
      </c>
      <c r="C487" s="795" t="s">
        <v>1513</v>
      </c>
      <c r="D487" s="796" t="s">
        <v>2055</v>
      </c>
      <c r="E487" s="797" t="s">
        <v>1536</v>
      </c>
      <c r="F487" s="795" t="s">
        <v>1508</v>
      </c>
      <c r="G487" s="795" t="s">
        <v>2049</v>
      </c>
      <c r="H487" s="795" t="s">
        <v>593</v>
      </c>
      <c r="I487" s="795" t="s">
        <v>2050</v>
      </c>
      <c r="J487" s="795" t="s">
        <v>2051</v>
      </c>
      <c r="K487" s="795" t="s">
        <v>2052</v>
      </c>
      <c r="L487" s="798">
        <v>0</v>
      </c>
      <c r="M487" s="798">
        <v>0</v>
      </c>
      <c r="N487" s="795">
        <v>1</v>
      </c>
      <c r="O487" s="799">
        <v>1</v>
      </c>
      <c r="P487" s="798">
        <v>0</v>
      </c>
      <c r="Q487" s="800"/>
      <c r="R487" s="795">
        <v>1</v>
      </c>
      <c r="S487" s="800">
        <v>1</v>
      </c>
      <c r="T487" s="799">
        <v>1</v>
      </c>
      <c r="U487" s="801">
        <v>1</v>
      </c>
    </row>
    <row r="488" spans="1:21" ht="14.4" customHeight="1" x14ac:dyDescent="0.3">
      <c r="A488" s="794">
        <v>31</v>
      </c>
      <c r="B488" s="795" t="s">
        <v>592</v>
      </c>
      <c r="C488" s="795" t="s">
        <v>1513</v>
      </c>
      <c r="D488" s="796" t="s">
        <v>2055</v>
      </c>
      <c r="E488" s="797" t="s">
        <v>1536</v>
      </c>
      <c r="F488" s="795" t="s">
        <v>1508</v>
      </c>
      <c r="G488" s="795" t="s">
        <v>1544</v>
      </c>
      <c r="H488" s="795" t="s">
        <v>593</v>
      </c>
      <c r="I488" s="795" t="s">
        <v>2053</v>
      </c>
      <c r="J488" s="795" t="s">
        <v>2034</v>
      </c>
      <c r="K488" s="795"/>
      <c r="L488" s="798">
        <v>0</v>
      </c>
      <c r="M488" s="798">
        <v>0</v>
      </c>
      <c r="N488" s="795">
        <v>1</v>
      </c>
      <c r="O488" s="799">
        <v>1</v>
      </c>
      <c r="P488" s="798"/>
      <c r="Q488" s="800"/>
      <c r="R488" s="795"/>
      <c r="S488" s="800">
        <v>0</v>
      </c>
      <c r="T488" s="799"/>
      <c r="U488" s="801">
        <v>0</v>
      </c>
    </row>
    <row r="489" spans="1:21" ht="14.4" customHeight="1" x14ac:dyDescent="0.3">
      <c r="A489" s="794">
        <v>31</v>
      </c>
      <c r="B489" s="795" t="s">
        <v>592</v>
      </c>
      <c r="C489" s="795" t="s">
        <v>1513</v>
      </c>
      <c r="D489" s="796" t="s">
        <v>2055</v>
      </c>
      <c r="E489" s="797" t="s">
        <v>1536</v>
      </c>
      <c r="F489" s="795" t="s">
        <v>1510</v>
      </c>
      <c r="G489" s="795" t="s">
        <v>1548</v>
      </c>
      <c r="H489" s="795" t="s">
        <v>593</v>
      </c>
      <c r="I489" s="795" t="s">
        <v>1694</v>
      </c>
      <c r="J489" s="795" t="s">
        <v>1550</v>
      </c>
      <c r="K489" s="795" t="s">
        <v>1695</v>
      </c>
      <c r="L489" s="798">
        <v>24.77</v>
      </c>
      <c r="M489" s="798">
        <v>148.62</v>
      </c>
      <c r="N489" s="795">
        <v>6</v>
      </c>
      <c r="O489" s="799">
        <v>6</v>
      </c>
      <c r="P489" s="798">
        <v>148.62</v>
      </c>
      <c r="Q489" s="800">
        <v>1</v>
      </c>
      <c r="R489" s="795">
        <v>6</v>
      </c>
      <c r="S489" s="800">
        <v>1</v>
      </c>
      <c r="T489" s="799">
        <v>6</v>
      </c>
      <c r="U489" s="801">
        <v>1</v>
      </c>
    </row>
    <row r="490" spans="1:21" ht="14.4" customHeight="1" x14ac:dyDescent="0.3">
      <c r="A490" s="794">
        <v>31</v>
      </c>
      <c r="B490" s="795" t="s">
        <v>592</v>
      </c>
      <c r="C490" s="795" t="s">
        <v>1513</v>
      </c>
      <c r="D490" s="796" t="s">
        <v>2055</v>
      </c>
      <c r="E490" s="797" t="s">
        <v>1536</v>
      </c>
      <c r="F490" s="795" t="s">
        <v>1510</v>
      </c>
      <c r="G490" s="795" t="s">
        <v>1589</v>
      </c>
      <c r="H490" s="795" t="s">
        <v>593</v>
      </c>
      <c r="I490" s="795" t="s">
        <v>1599</v>
      </c>
      <c r="J490" s="795" t="s">
        <v>1600</v>
      </c>
      <c r="K490" s="795" t="s">
        <v>1601</v>
      </c>
      <c r="L490" s="798">
        <v>347.81</v>
      </c>
      <c r="M490" s="798">
        <v>347.81</v>
      </c>
      <c r="N490" s="795">
        <v>1</v>
      </c>
      <c r="O490" s="799">
        <v>1</v>
      </c>
      <c r="P490" s="798">
        <v>347.81</v>
      </c>
      <c r="Q490" s="800">
        <v>1</v>
      </c>
      <c r="R490" s="795">
        <v>1</v>
      </c>
      <c r="S490" s="800">
        <v>1</v>
      </c>
      <c r="T490" s="799">
        <v>1</v>
      </c>
      <c r="U490" s="801">
        <v>1</v>
      </c>
    </row>
    <row r="491" spans="1:21" ht="14.4" customHeight="1" x14ac:dyDescent="0.3">
      <c r="A491" s="794">
        <v>31</v>
      </c>
      <c r="B491" s="795" t="s">
        <v>592</v>
      </c>
      <c r="C491" s="795" t="s">
        <v>1513</v>
      </c>
      <c r="D491" s="796" t="s">
        <v>2055</v>
      </c>
      <c r="E491" s="797" t="s">
        <v>1536</v>
      </c>
      <c r="F491" s="795" t="s">
        <v>1510</v>
      </c>
      <c r="G491" s="795" t="s">
        <v>1589</v>
      </c>
      <c r="H491" s="795" t="s">
        <v>593</v>
      </c>
      <c r="I491" s="795" t="s">
        <v>1652</v>
      </c>
      <c r="J491" s="795" t="s">
        <v>1653</v>
      </c>
      <c r="K491" s="795" t="s">
        <v>1654</v>
      </c>
      <c r="L491" s="798">
        <v>245.43</v>
      </c>
      <c r="M491" s="798">
        <v>245.43</v>
      </c>
      <c r="N491" s="795">
        <v>1</v>
      </c>
      <c r="O491" s="799">
        <v>1</v>
      </c>
      <c r="P491" s="798">
        <v>245.43</v>
      </c>
      <c r="Q491" s="800">
        <v>1</v>
      </c>
      <c r="R491" s="795">
        <v>1</v>
      </c>
      <c r="S491" s="800">
        <v>1</v>
      </c>
      <c r="T491" s="799">
        <v>1</v>
      </c>
      <c r="U491" s="801">
        <v>1</v>
      </c>
    </row>
    <row r="492" spans="1:21" ht="14.4" customHeight="1" x14ac:dyDescent="0.3">
      <c r="A492" s="794">
        <v>31</v>
      </c>
      <c r="B492" s="795" t="s">
        <v>592</v>
      </c>
      <c r="C492" s="795" t="s">
        <v>1513</v>
      </c>
      <c r="D492" s="796" t="s">
        <v>2055</v>
      </c>
      <c r="E492" s="797" t="s">
        <v>1536</v>
      </c>
      <c r="F492" s="795" t="s">
        <v>1510</v>
      </c>
      <c r="G492" s="795" t="s">
        <v>1589</v>
      </c>
      <c r="H492" s="795" t="s">
        <v>593</v>
      </c>
      <c r="I492" s="795" t="s">
        <v>1655</v>
      </c>
      <c r="J492" s="795" t="s">
        <v>1656</v>
      </c>
      <c r="K492" s="795" t="s">
        <v>1657</v>
      </c>
      <c r="L492" s="798">
        <v>58.5</v>
      </c>
      <c r="M492" s="798">
        <v>58.5</v>
      </c>
      <c r="N492" s="795">
        <v>1</v>
      </c>
      <c r="O492" s="799">
        <v>1</v>
      </c>
      <c r="P492" s="798">
        <v>58.5</v>
      </c>
      <c r="Q492" s="800">
        <v>1</v>
      </c>
      <c r="R492" s="795">
        <v>1</v>
      </c>
      <c r="S492" s="800">
        <v>1</v>
      </c>
      <c r="T492" s="799">
        <v>1</v>
      </c>
      <c r="U492" s="801">
        <v>1</v>
      </c>
    </row>
    <row r="493" spans="1:21" ht="14.4" customHeight="1" x14ac:dyDescent="0.3">
      <c r="A493" s="794">
        <v>31</v>
      </c>
      <c r="B493" s="795" t="s">
        <v>592</v>
      </c>
      <c r="C493" s="795" t="s">
        <v>1513</v>
      </c>
      <c r="D493" s="796" t="s">
        <v>2055</v>
      </c>
      <c r="E493" s="797" t="s">
        <v>1536</v>
      </c>
      <c r="F493" s="795" t="s">
        <v>1510</v>
      </c>
      <c r="G493" s="795" t="s">
        <v>1589</v>
      </c>
      <c r="H493" s="795" t="s">
        <v>593</v>
      </c>
      <c r="I493" s="795" t="s">
        <v>1871</v>
      </c>
      <c r="J493" s="795" t="s">
        <v>1872</v>
      </c>
      <c r="K493" s="795" t="s">
        <v>1873</v>
      </c>
      <c r="L493" s="798">
        <v>250</v>
      </c>
      <c r="M493" s="798">
        <v>250</v>
      </c>
      <c r="N493" s="795">
        <v>1</v>
      </c>
      <c r="O493" s="799">
        <v>1</v>
      </c>
      <c r="P493" s="798">
        <v>250</v>
      </c>
      <c r="Q493" s="800">
        <v>1</v>
      </c>
      <c r="R493" s="795">
        <v>1</v>
      </c>
      <c r="S493" s="800">
        <v>1</v>
      </c>
      <c r="T493" s="799">
        <v>1</v>
      </c>
      <c r="U493" s="801">
        <v>1</v>
      </c>
    </row>
    <row r="494" spans="1:21" ht="14.4" customHeight="1" x14ac:dyDescent="0.3">
      <c r="A494" s="794">
        <v>31</v>
      </c>
      <c r="B494" s="795" t="s">
        <v>592</v>
      </c>
      <c r="C494" s="795" t="s">
        <v>1513</v>
      </c>
      <c r="D494" s="796" t="s">
        <v>2055</v>
      </c>
      <c r="E494" s="797" t="s">
        <v>1536</v>
      </c>
      <c r="F494" s="795" t="s">
        <v>1510</v>
      </c>
      <c r="G494" s="795" t="s">
        <v>1589</v>
      </c>
      <c r="H494" s="795" t="s">
        <v>593</v>
      </c>
      <c r="I494" s="795" t="s">
        <v>1751</v>
      </c>
      <c r="J494" s="795" t="s">
        <v>1752</v>
      </c>
      <c r="K494" s="795" t="s">
        <v>1753</v>
      </c>
      <c r="L494" s="798">
        <v>349.12</v>
      </c>
      <c r="M494" s="798">
        <v>349.12</v>
      </c>
      <c r="N494" s="795">
        <v>1</v>
      </c>
      <c r="O494" s="799">
        <v>1</v>
      </c>
      <c r="P494" s="798">
        <v>349.12</v>
      </c>
      <c r="Q494" s="800">
        <v>1</v>
      </c>
      <c r="R494" s="795">
        <v>1</v>
      </c>
      <c r="S494" s="800">
        <v>1</v>
      </c>
      <c r="T494" s="799">
        <v>1</v>
      </c>
      <c r="U494" s="801">
        <v>1</v>
      </c>
    </row>
    <row r="495" spans="1:21" ht="14.4" customHeight="1" x14ac:dyDescent="0.3">
      <c r="A495" s="794">
        <v>31</v>
      </c>
      <c r="B495" s="795" t="s">
        <v>592</v>
      </c>
      <c r="C495" s="795" t="s">
        <v>1513</v>
      </c>
      <c r="D495" s="796" t="s">
        <v>2055</v>
      </c>
      <c r="E495" s="797" t="s">
        <v>1536</v>
      </c>
      <c r="F495" s="795" t="s">
        <v>1510</v>
      </c>
      <c r="G495" s="795" t="s">
        <v>1589</v>
      </c>
      <c r="H495" s="795" t="s">
        <v>593</v>
      </c>
      <c r="I495" s="795" t="s">
        <v>1605</v>
      </c>
      <c r="J495" s="795" t="s">
        <v>1606</v>
      </c>
      <c r="K495" s="795" t="s">
        <v>1607</v>
      </c>
      <c r="L495" s="798">
        <v>350</v>
      </c>
      <c r="M495" s="798">
        <v>1050</v>
      </c>
      <c r="N495" s="795">
        <v>3</v>
      </c>
      <c r="O495" s="799">
        <v>3</v>
      </c>
      <c r="P495" s="798">
        <v>1050</v>
      </c>
      <c r="Q495" s="800">
        <v>1</v>
      </c>
      <c r="R495" s="795">
        <v>3</v>
      </c>
      <c r="S495" s="800">
        <v>1</v>
      </c>
      <c r="T495" s="799">
        <v>3</v>
      </c>
      <c r="U495" s="801">
        <v>1</v>
      </c>
    </row>
    <row r="496" spans="1:21" ht="14.4" customHeight="1" x14ac:dyDescent="0.3">
      <c r="A496" s="794">
        <v>31</v>
      </c>
      <c r="B496" s="795" t="s">
        <v>592</v>
      </c>
      <c r="C496" s="795" t="s">
        <v>1513</v>
      </c>
      <c r="D496" s="796" t="s">
        <v>2055</v>
      </c>
      <c r="E496" s="797" t="s">
        <v>1536</v>
      </c>
      <c r="F496" s="795" t="s">
        <v>1510</v>
      </c>
      <c r="G496" s="795" t="s">
        <v>1589</v>
      </c>
      <c r="H496" s="795" t="s">
        <v>593</v>
      </c>
      <c r="I496" s="795" t="s">
        <v>1608</v>
      </c>
      <c r="J496" s="795" t="s">
        <v>1609</v>
      </c>
      <c r="K496" s="795" t="s">
        <v>1610</v>
      </c>
      <c r="L496" s="798">
        <v>1000</v>
      </c>
      <c r="M496" s="798">
        <v>2000</v>
      </c>
      <c r="N496" s="795">
        <v>2</v>
      </c>
      <c r="O496" s="799">
        <v>2</v>
      </c>
      <c r="P496" s="798">
        <v>2000</v>
      </c>
      <c r="Q496" s="800">
        <v>1</v>
      </c>
      <c r="R496" s="795">
        <v>2</v>
      </c>
      <c r="S496" s="800">
        <v>1</v>
      </c>
      <c r="T496" s="799">
        <v>2</v>
      </c>
      <c r="U496" s="801">
        <v>1</v>
      </c>
    </row>
    <row r="497" spans="1:21" ht="14.4" customHeight="1" x14ac:dyDescent="0.3">
      <c r="A497" s="794">
        <v>31</v>
      </c>
      <c r="B497" s="795" t="s">
        <v>592</v>
      </c>
      <c r="C497" s="795" t="s">
        <v>1513</v>
      </c>
      <c r="D497" s="796" t="s">
        <v>2055</v>
      </c>
      <c r="E497" s="797" t="s">
        <v>1536</v>
      </c>
      <c r="F497" s="795" t="s">
        <v>1510</v>
      </c>
      <c r="G497" s="795" t="s">
        <v>1589</v>
      </c>
      <c r="H497" s="795" t="s">
        <v>593</v>
      </c>
      <c r="I497" s="795" t="s">
        <v>1730</v>
      </c>
      <c r="J497" s="795" t="s">
        <v>1731</v>
      </c>
      <c r="K497" s="795" t="s">
        <v>1732</v>
      </c>
      <c r="L497" s="798">
        <v>600</v>
      </c>
      <c r="M497" s="798">
        <v>600</v>
      </c>
      <c r="N497" s="795">
        <v>1</v>
      </c>
      <c r="O497" s="799">
        <v>1</v>
      </c>
      <c r="P497" s="798">
        <v>600</v>
      </c>
      <c r="Q497" s="800">
        <v>1</v>
      </c>
      <c r="R497" s="795">
        <v>1</v>
      </c>
      <c r="S497" s="800">
        <v>1</v>
      </c>
      <c r="T497" s="799">
        <v>1</v>
      </c>
      <c r="U497" s="801">
        <v>1</v>
      </c>
    </row>
    <row r="498" spans="1:21" ht="14.4" customHeight="1" x14ac:dyDescent="0.3">
      <c r="A498" s="794">
        <v>31</v>
      </c>
      <c r="B498" s="795" t="s">
        <v>592</v>
      </c>
      <c r="C498" s="795" t="s">
        <v>1513</v>
      </c>
      <c r="D498" s="796" t="s">
        <v>2055</v>
      </c>
      <c r="E498" s="797" t="s">
        <v>1525</v>
      </c>
      <c r="F498" s="795" t="s">
        <v>1508</v>
      </c>
      <c r="G498" s="795" t="s">
        <v>1539</v>
      </c>
      <c r="H498" s="795" t="s">
        <v>912</v>
      </c>
      <c r="I498" s="795" t="s">
        <v>1552</v>
      </c>
      <c r="J498" s="795" t="s">
        <v>977</v>
      </c>
      <c r="K498" s="795" t="s">
        <v>1413</v>
      </c>
      <c r="L498" s="798">
        <v>736.33</v>
      </c>
      <c r="M498" s="798">
        <v>736.33</v>
      </c>
      <c r="N498" s="795">
        <v>1</v>
      </c>
      <c r="O498" s="799">
        <v>1</v>
      </c>
      <c r="P498" s="798">
        <v>736.33</v>
      </c>
      <c r="Q498" s="800">
        <v>1</v>
      </c>
      <c r="R498" s="795">
        <v>1</v>
      </c>
      <c r="S498" s="800">
        <v>1</v>
      </c>
      <c r="T498" s="799">
        <v>1</v>
      </c>
      <c r="U498" s="801">
        <v>1</v>
      </c>
    </row>
    <row r="499" spans="1:21" ht="14.4" customHeight="1" x14ac:dyDescent="0.3">
      <c r="A499" s="794">
        <v>31</v>
      </c>
      <c r="B499" s="795" t="s">
        <v>592</v>
      </c>
      <c r="C499" s="795" t="s">
        <v>1515</v>
      </c>
      <c r="D499" s="796" t="s">
        <v>2056</v>
      </c>
      <c r="E499" s="797" t="s">
        <v>1523</v>
      </c>
      <c r="F499" s="795" t="s">
        <v>1508</v>
      </c>
      <c r="G499" s="795" t="s">
        <v>1541</v>
      </c>
      <c r="H499" s="795" t="s">
        <v>912</v>
      </c>
      <c r="I499" s="795" t="s">
        <v>929</v>
      </c>
      <c r="J499" s="795" t="s">
        <v>1453</v>
      </c>
      <c r="K499" s="795" t="s">
        <v>1454</v>
      </c>
      <c r="L499" s="798">
        <v>0</v>
      </c>
      <c r="M499" s="798">
        <v>0</v>
      </c>
      <c r="N499" s="795">
        <v>1</v>
      </c>
      <c r="O499" s="799">
        <v>1</v>
      </c>
      <c r="P499" s="798"/>
      <c r="Q499" s="800"/>
      <c r="R499" s="795"/>
      <c r="S499" s="800">
        <v>0</v>
      </c>
      <c r="T499" s="799"/>
      <c r="U499" s="801">
        <v>0</v>
      </c>
    </row>
    <row r="500" spans="1:21" ht="14.4" customHeight="1" x14ac:dyDescent="0.3">
      <c r="A500" s="794">
        <v>31</v>
      </c>
      <c r="B500" s="795" t="s">
        <v>592</v>
      </c>
      <c r="C500" s="795" t="s">
        <v>1515</v>
      </c>
      <c r="D500" s="796" t="s">
        <v>2056</v>
      </c>
      <c r="E500" s="797" t="s">
        <v>1523</v>
      </c>
      <c r="F500" s="795" t="s">
        <v>1510</v>
      </c>
      <c r="G500" s="795" t="s">
        <v>1548</v>
      </c>
      <c r="H500" s="795" t="s">
        <v>593</v>
      </c>
      <c r="I500" s="795" t="s">
        <v>1549</v>
      </c>
      <c r="J500" s="795" t="s">
        <v>1550</v>
      </c>
      <c r="K500" s="795" t="s">
        <v>1551</v>
      </c>
      <c r="L500" s="798">
        <v>35.130000000000003</v>
      </c>
      <c r="M500" s="798">
        <v>140.52000000000001</v>
      </c>
      <c r="N500" s="795">
        <v>4</v>
      </c>
      <c r="O500" s="799">
        <v>2</v>
      </c>
      <c r="P500" s="798">
        <v>140.52000000000001</v>
      </c>
      <c r="Q500" s="800">
        <v>1</v>
      </c>
      <c r="R500" s="795">
        <v>4</v>
      </c>
      <c r="S500" s="800">
        <v>1</v>
      </c>
      <c r="T500" s="799">
        <v>2</v>
      </c>
      <c r="U500" s="801">
        <v>1</v>
      </c>
    </row>
    <row r="501" spans="1:21" ht="14.4" customHeight="1" x14ac:dyDescent="0.3">
      <c r="A501" s="794">
        <v>31</v>
      </c>
      <c r="B501" s="795" t="s">
        <v>592</v>
      </c>
      <c r="C501" s="795" t="s">
        <v>1515</v>
      </c>
      <c r="D501" s="796" t="s">
        <v>2056</v>
      </c>
      <c r="E501" s="797" t="s">
        <v>1523</v>
      </c>
      <c r="F501" s="795" t="s">
        <v>1510</v>
      </c>
      <c r="G501" s="795" t="s">
        <v>1589</v>
      </c>
      <c r="H501" s="795" t="s">
        <v>593</v>
      </c>
      <c r="I501" s="795" t="s">
        <v>1593</v>
      </c>
      <c r="J501" s="795" t="s">
        <v>1594</v>
      </c>
      <c r="K501" s="795" t="s">
        <v>1595</v>
      </c>
      <c r="L501" s="798">
        <v>199.5</v>
      </c>
      <c r="M501" s="798">
        <v>199.5</v>
      </c>
      <c r="N501" s="795">
        <v>1</v>
      </c>
      <c r="O501" s="799">
        <v>1</v>
      </c>
      <c r="P501" s="798">
        <v>199.5</v>
      </c>
      <c r="Q501" s="800">
        <v>1</v>
      </c>
      <c r="R501" s="795">
        <v>1</v>
      </c>
      <c r="S501" s="800">
        <v>1</v>
      </c>
      <c r="T501" s="799">
        <v>1</v>
      </c>
      <c r="U501" s="801">
        <v>1</v>
      </c>
    </row>
    <row r="502" spans="1:21" ht="14.4" customHeight="1" x14ac:dyDescent="0.3">
      <c r="A502" s="794">
        <v>31</v>
      </c>
      <c r="B502" s="795" t="s">
        <v>592</v>
      </c>
      <c r="C502" s="795" t="s">
        <v>1515</v>
      </c>
      <c r="D502" s="796" t="s">
        <v>2056</v>
      </c>
      <c r="E502" s="797" t="s">
        <v>1523</v>
      </c>
      <c r="F502" s="795" t="s">
        <v>1510</v>
      </c>
      <c r="G502" s="795" t="s">
        <v>1617</v>
      </c>
      <c r="H502" s="795" t="s">
        <v>593</v>
      </c>
      <c r="I502" s="795" t="s">
        <v>1621</v>
      </c>
      <c r="J502" s="795" t="s">
        <v>1622</v>
      </c>
      <c r="K502" s="795" t="s">
        <v>1623</v>
      </c>
      <c r="L502" s="798">
        <v>200</v>
      </c>
      <c r="M502" s="798">
        <v>400</v>
      </c>
      <c r="N502" s="795">
        <v>2</v>
      </c>
      <c r="O502" s="799">
        <v>1</v>
      </c>
      <c r="P502" s="798">
        <v>400</v>
      </c>
      <c r="Q502" s="800">
        <v>1</v>
      </c>
      <c r="R502" s="795">
        <v>2</v>
      </c>
      <c r="S502" s="800">
        <v>1</v>
      </c>
      <c r="T502" s="799">
        <v>1</v>
      </c>
      <c r="U502" s="801">
        <v>1</v>
      </c>
    </row>
    <row r="503" spans="1:21" ht="14.4" customHeight="1" x14ac:dyDescent="0.3">
      <c r="A503" s="794">
        <v>31</v>
      </c>
      <c r="B503" s="795" t="s">
        <v>592</v>
      </c>
      <c r="C503" s="795" t="s">
        <v>1515</v>
      </c>
      <c r="D503" s="796" t="s">
        <v>2056</v>
      </c>
      <c r="E503" s="797" t="s">
        <v>1530</v>
      </c>
      <c r="F503" s="795" t="s">
        <v>1510</v>
      </c>
      <c r="G503" s="795" t="s">
        <v>1548</v>
      </c>
      <c r="H503" s="795" t="s">
        <v>593</v>
      </c>
      <c r="I503" s="795" t="s">
        <v>1549</v>
      </c>
      <c r="J503" s="795" t="s">
        <v>1550</v>
      </c>
      <c r="K503" s="795" t="s">
        <v>1551</v>
      </c>
      <c r="L503" s="798">
        <v>35.130000000000003</v>
      </c>
      <c r="M503" s="798">
        <v>140.52000000000001</v>
      </c>
      <c r="N503" s="795">
        <v>4</v>
      </c>
      <c r="O503" s="799">
        <v>2</v>
      </c>
      <c r="P503" s="798">
        <v>140.52000000000001</v>
      </c>
      <c r="Q503" s="800">
        <v>1</v>
      </c>
      <c r="R503" s="795">
        <v>4</v>
      </c>
      <c r="S503" s="800">
        <v>1</v>
      </c>
      <c r="T503" s="799">
        <v>2</v>
      </c>
      <c r="U503" s="801">
        <v>1</v>
      </c>
    </row>
    <row r="504" spans="1:21" ht="14.4" customHeight="1" thickBot="1" x14ac:dyDescent="0.35">
      <c r="A504" s="802">
        <v>31</v>
      </c>
      <c r="B504" s="803" t="s">
        <v>592</v>
      </c>
      <c r="C504" s="803" t="s">
        <v>1515</v>
      </c>
      <c r="D504" s="804" t="s">
        <v>2056</v>
      </c>
      <c r="E504" s="805" t="s">
        <v>1530</v>
      </c>
      <c r="F504" s="803" t="s">
        <v>1510</v>
      </c>
      <c r="G504" s="803" t="s">
        <v>1617</v>
      </c>
      <c r="H504" s="803" t="s">
        <v>593</v>
      </c>
      <c r="I504" s="803" t="s">
        <v>1621</v>
      </c>
      <c r="J504" s="803" t="s">
        <v>1622</v>
      </c>
      <c r="K504" s="803" t="s">
        <v>1623</v>
      </c>
      <c r="L504" s="806">
        <v>200</v>
      </c>
      <c r="M504" s="806">
        <v>400</v>
      </c>
      <c r="N504" s="803">
        <v>2</v>
      </c>
      <c r="O504" s="807">
        <v>1</v>
      </c>
      <c r="P504" s="806">
        <v>400</v>
      </c>
      <c r="Q504" s="808">
        <v>1</v>
      </c>
      <c r="R504" s="803">
        <v>2</v>
      </c>
      <c r="S504" s="808">
        <v>1</v>
      </c>
      <c r="T504" s="807">
        <v>1</v>
      </c>
      <c r="U504" s="809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6" t="s">
        <v>2058</v>
      </c>
      <c r="B1" s="557"/>
      <c r="C1" s="557"/>
      <c r="D1" s="557"/>
      <c r="E1" s="557"/>
      <c r="F1" s="557"/>
    </row>
    <row r="2" spans="1:6" ht="14.4" customHeight="1" thickBot="1" x14ac:dyDescent="0.35">
      <c r="A2" s="374" t="s">
        <v>353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8" t="s">
        <v>161</v>
      </c>
      <c r="C3" s="559"/>
      <c r="D3" s="560" t="s">
        <v>160</v>
      </c>
      <c r="E3" s="559"/>
      <c r="F3" s="105" t="s">
        <v>3</v>
      </c>
    </row>
    <row r="4" spans="1:6" ht="14.4" customHeight="1" thickBot="1" x14ac:dyDescent="0.35">
      <c r="A4" s="810" t="s">
        <v>210</v>
      </c>
      <c r="B4" s="725" t="s">
        <v>14</v>
      </c>
      <c r="C4" s="726" t="s">
        <v>2</v>
      </c>
      <c r="D4" s="725" t="s">
        <v>14</v>
      </c>
      <c r="E4" s="726" t="s">
        <v>2</v>
      </c>
      <c r="F4" s="727" t="s">
        <v>14</v>
      </c>
    </row>
    <row r="5" spans="1:6" ht="14.4" customHeight="1" x14ac:dyDescent="0.3">
      <c r="A5" s="819" t="s">
        <v>1530</v>
      </c>
      <c r="B5" s="225">
        <v>352.23</v>
      </c>
      <c r="C5" s="793">
        <v>6.5968012172140499E-3</v>
      </c>
      <c r="D5" s="225">
        <v>53041.829999999994</v>
      </c>
      <c r="E5" s="793">
        <v>0.99340319878278593</v>
      </c>
      <c r="F5" s="811">
        <v>53394.06</v>
      </c>
    </row>
    <row r="6" spans="1:6" ht="14.4" customHeight="1" x14ac:dyDescent="0.3">
      <c r="A6" s="820" t="s">
        <v>1521</v>
      </c>
      <c r="B6" s="812">
        <v>83.87</v>
      </c>
      <c r="C6" s="800">
        <v>1.1802984310066522E-2</v>
      </c>
      <c r="D6" s="812">
        <v>7021.9600000000009</v>
      </c>
      <c r="E6" s="800">
        <v>0.98819701568993346</v>
      </c>
      <c r="F6" s="813">
        <v>7105.8300000000008</v>
      </c>
    </row>
    <row r="7" spans="1:6" ht="14.4" customHeight="1" x14ac:dyDescent="0.3">
      <c r="A7" s="820" t="s">
        <v>1536</v>
      </c>
      <c r="B7" s="812">
        <v>50.32</v>
      </c>
      <c r="C7" s="800">
        <v>2.403181445452509E-3</v>
      </c>
      <c r="D7" s="812">
        <v>20888.590000000004</v>
      </c>
      <c r="E7" s="800">
        <v>0.99759681855454752</v>
      </c>
      <c r="F7" s="813">
        <v>20938.910000000003</v>
      </c>
    </row>
    <row r="8" spans="1:6" ht="14.4" customHeight="1" x14ac:dyDescent="0.3">
      <c r="A8" s="820" t="s">
        <v>1529</v>
      </c>
      <c r="B8" s="812">
        <v>33.549999999999997</v>
      </c>
      <c r="C8" s="800">
        <v>2.5347920035056438E-3</v>
      </c>
      <c r="D8" s="812">
        <v>13202.25</v>
      </c>
      <c r="E8" s="800">
        <v>0.99746520799649441</v>
      </c>
      <c r="F8" s="813">
        <v>13235.8</v>
      </c>
    </row>
    <row r="9" spans="1:6" ht="14.4" customHeight="1" x14ac:dyDescent="0.3">
      <c r="A9" s="820" t="s">
        <v>1534</v>
      </c>
      <c r="B9" s="812">
        <v>0</v>
      </c>
      <c r="C9" s="800">
        <v>0</v>
      </c>
      <c r="D9" s="812">
        <v>8497.77</v>
      </c>
      <c r="E9" s="800">
        <v>1</v>
      </c>
      <c r="F9" s="813">
        <v>8497.77</v>
      </c>
    </row>
    <row r="10" spans="1:6" ht="14.4" customHeight="1" x14ac:dyDescent="0.3">
      <c r="A10" s="820" t="s">
        <v>1532</v>
      </c>
      <c r="B10" s="812"/>
      <c r="C10" s="800">
        <v>0</v>
      </c>
      <c r="D10" s="812">
        <v>13522.08</v>
      </c>
      <c r="E10" s="800">
        <v>1</v>
      </c>
      <c r="F10" s="813">
        <v>13522.08</v>
      </c>
    </row>
    <row r="11" spans="1:6" ht="14.4" customHeight="1" x14ac:dyDescent="0.3">
      <c r="A11" s="820" t="s">
        <v>1523</v>
      </c>
      <c r="B11" s="812"/>
      <c r="C11" s="800">
        <v>0</v>
      </c>
      <c r="D11" s="812">
        <v>84423.23000000001</v>
      </c>
      <c r="E11" s="800">
        <v>1</v>
      </c>
      <c r="F11" s="813">
        <v>84423.23000000001</v>
      </c>
    </row>
    <row r="12" spans="1:6" ht="14.4" customHeight="1" x14ac:dyDescent="0.3">
      <c r="A12" s="820" t="s">
        <v>1527</v>
      </c>
      <c r="B12" s="812"/>
      <c r="C12" s="800">
        <v>0</v>
      </c>
      <c r="D12" s="812">
        <v>20160.88</v>
      </c>
      <c r="E12" s="800">
        <v>1</v>
      </c>
      <c r="F12" s="813">
        <v>20160.88</v>
      </c>
    </row>
    <row r="13" spans="1:6" ht="14.4" customHeight="1" x14ac:dyDescent="0.3">
      <c r="A13" s="820" t="s">
        <v>1533</v>
      </c>
      <c r="B13" s="812"/>
      <c r="C13" s="800">
        <v>0</v>
      </c>
      <c r="D13" s="812">
        <v>6868.4999999999991</v>
      </c>
      <c r="E13" s="800">
        <v>1</v>
      </c>
      <c r="F13" s="813">
        <v>6868.4999999999991</v>
      </c>
    </row>
    <row r="14" spans="1:6" ht="14.4" customHeight="1" x14ac:dyDescent="0.3">
      <c r="A14" s="820" t="s">
        <v>1535</v>
      </c>
      <c r="B14" s="812"/>
      <c r="C14" s="800">
        <v>0</v>
      </c>
      <c r="D14" s="812">
        <v>14017.080000000002</v>
      </c>
      <c r="E14" s="800">
        <v>1</v>
      </c>
      <c r="F14" s="813">
        <v>14017.080000000002</v>
      </c>
    </row>
    <row r="15" spans="1:6" ht="14.4" customHeight="1" x14ac:dyDescent="0.3">
      <c r="A15" s="820" t="s">
        <v>1526</v>
      </c>
      <c r="B15" s="812"/>
      <c r="C15" s="800">
        <v>0</v>
      </c>
      <c r="D15" s="812">
        <v>14972.11</v>
      </c>
      <c r="E15" s="800">
        <v>1</v>
      </c>
      <c r="F15" s="813">
        <v>14972.11</v>
      </c>
    </row>
    <row r="16" spans="1:6" ht="14.4" customHeight="1" x14ac:dyDescent="0.3">
      <c r="A16" s="820" t="s">
        <v>1524</v>
      </c>
      <c r="B16" s="812"/>
      <c r="C16" s="800">
        <v>0</v>
      </c>
      <c r="D16" s="812">
        <v>12296.9</v>
      </c>
      <c r="E16" s="800">
        <v>1</v>
      </c>
      <c r="F16" s="813">
        <v>12296.9</v>
      </c>
    </row>
    <row r="17" spans="1:6" ht="14.4" customHeight="1" x14ac:dyDescent="0.3">
      <c r="A17" s="820" t="s">
        <v>1528</v>
      </c>
      <c r="B17" s="812"/>
      <c r="C17" s="800">
        <v>0</v>
      </c>
      <c r="D17" s="812">
        <v>8304.34</v>
      </c>
      <c r="E17" s="800">
        <v>1</v>
      </c>
      <c r="F17" s="813">
        <v>8304.34</v>
      </c>
    </row>
    <row r="18" spans="1:6" ht="14.4" customHeight="1" x14ac:dyDescent="0.3">
      <c r="A18" s="820" t="s">
        <v>1525</v>
      </c>
      <c r="B18" s="812"/>
      <c r="C18" s="800">
        <v>0</v>
      </c>
      <c r="D18" s="812">
        <v>736.33</v>
      </c>
      <c r="E18" s="800">
        <v>1</v>
      </c>
      <c r="F18" s="813">
        <v>736.33</v>
      </c>
    </row>
    <row r="19" spans="1:6" ht="14.4" customHeight="1" x14ac:dyDescent="0.3">
      <c r="A19" s="820" t="s">
        <v>1522</v>
      </c>
      <c r="B19" s="812"/>
      <c r="C19" s="800">
        <v>0</v>
      </c>
      <c r="D19" s="812">
        <v>13947.65</v>
      </c>
      <c r="E19" s="800">
        <v>1</v>
      </c>
      <c r="F19" s="813">
        <v>13947.65</v>
      </c>
    </row>
    <row r="20" spans="1:6" ht="14.4" customHeight="1" thickBot="1" x14ac:dyDescent="0.35">
      <c r="A20" s="821" t="s">
        <v>1531</v>
      </c>
      <c r="B20" s="816"/>
      <c r="C20" s="817">
        <v>0</v>
      </c>
      <c r="D20" s="816">
        <v>15708.79</v>
      </c>
      <c r="E20" s="817">
        <v>1</v>
      </c>
      <c r="F20" s="818">
        <v>15708.79</v>
      </c>
    </row>
    <row r="21" spans="1:6" ht="14.4" customHeight="1" thickBot="1" x14ac:dyDescent="0.35">
      <c r="A21" s="734" t="s">
        <v>3</v>
      </c>
      <c r="B21" s="735">
        <v>519.97</v>
      </c>
      <c r="C21" s="736">
        <v>1.6875006044521561E-3</v>
      </c>
      <c r="D21" s="735">
        <v>307610.2900000001</v>
      </c>
      <c r="E21" s="736">
        <v>0.99831249939554811</v>
      </c>
      <c r="F21" s="737">
        <v>308130.26</v>
      </c>
    </row>
    <row r="22" spans="1:6" ht="14.4" customHeight="1" thickBot="1" x14ac:dyDescent="0.35"/>
    <row r="23" spans="1:6" ht="14.4" customHeight="1" x14ac:dyDescent="0.3">
      <c r="A23" s="819" t="s">
        <v>1377</v>
      </c>
      <c r="B23" s="225">
        <v>519.97</v>
      </c>
      <c r="C23" s="793">
        <v>1</v>
      </c>
      <c r="D23" s="225"/>
      <c r="E23" s="793">
        <v>0</v>
      </c>
      <c r="F23" s="811">
        <v>519.97</v>
      </c>
    </row>
    <row r="24" spans="1:6" ht="14.4" customHeight="1" x14ac:dyDescent="0.3">
      <c r="A24" s="820" t="s">
        <v>2059</v>
      </c>
      <c r="B24" s="812">
        <v>0</v>
      </c>
      <c r="C24" s="800"/>
      <c r="D24" s="812"/>
      <c r="E24" s="800"/>
      <c r="F24" s="813">
        <v>0</v>
      </c>
    </row>
    <row r="25" spans="1:6" ht="14.4" customHeight="1" x14ac:dyDescent="0.3">
      <c r="A25" s="820" t="s">
        <v>2060</v>
      </c>
      <c r="B25" s="812"/>
      <c r="C25" s="800">
        <v>0</v>
      </c>
      <c r="D25" s="812">
        <v>207.45</v>
      </c>
      <c r="E25" s="800">
        <v>1</v>
      </c>
      <c r="F25" s="813">
        <v>207.45</v>
      </c>
    </row>
    <row r="26" spans="1:6" ht="14.4" customHeight="1" x14ac:dyDescent="0.3">
      <c r="A26" s="820" t="s">
        <v>1373</v>
      </c>
      <c r="B26" s="812">
        <v>0</v>
      </c>
      <c r="C26" s="800"/>
      <c r="D26" s="812"/>
      <c r="E26" s="800"/>
      <c r="F26" s="813">
        <v>0</v>
      </c>
    </row>
    <row r="27" spans="1:6" ht="14.4" customHeight="1" x14ac:dyDescent="0.3">
      <c r="A27" s="820" t="s">
        <v>1385</v>
      </c>
      <c r="B27" s="812"/>
      <c r="C27" s="800"/>
      <c r="D27" s="812">
        <v>0</v>
      </c>
      <c r="E27" s="800"/>
      <c r="F27" s="813">
        <v>0</v>
      </c>
    </row>
    <row r="28" spans="1:6" ht="14.4" customHeight="1" x14ac:dyDescent="0.3">
      <c r="A28" s="820" t="s">
        <v>1382</v>
      </c>
      <c r="B28" s="812"/>
      <c r="C28" s="800">
        <v>0</v>
      </c>
      <c r="D28" s="812">
        <v>299151.46000000008</v>
      </c>
      <c r="E28" s="800">
        <v>1</v>
      </c>
      <c r="F28" s="813">
        <v>299151.46000000008</v>
      </c>
    </row>
    <row r="29" spans="1:6" ht="14.4" customHeight="1" x14ac:dyDescent="0.3">
      <c r="A29" s="820" t="s">
        <v>1401</v>
      </c>
      <c r="B29" s="812"/>
      <c r="C29" s="800">
        <v>0</v>
      </c>
      <c r="D29" s="812">
        <v>3069.4800000000005</v>
      </c>
      <c r="E29" s="800">
        <v>1</v>
      </c>
      <c r="F29" s="813">
        <v>3069.4800000000005</v>
      </c>
    </row>
    <row r="30" spans="1:6" ht="14.4" customHeight="1" x14ac:dyDescent="0.3">
      <c r="A30" s="820" t="s">
        <v>2061</v>
      </c>
      <c r="B30" s="812"/>
      <c r="C30" s="800">
        <v>0</v>
      </c>
      <c r="D30" s="812">
        <v>1385.6100000000001</v>
      </c>
      <c r="E30" s="800">
        <v>1</v>
      </c>
      <c r="F30" s="813">
        <v>1385.6100000000001</v>
      </c>
    </row>
    <row r="31" spans="1:6" ht="14.4" customHeight="1" x14ac:dyDescent="0.3">
      <c r="A31" s="820" t="s">
        <v>2062</v>
      </c>
      <c r="B31" s="812"/>
      <c r="C31" s="800">
        <v>0</v>
      </c>
      <c r="D31" s="812">
        <v>352.71000000000004</v>
      </c>
      <c r="E31" s="800">
        <v>1</v>
      </c>
      <c r="F31" s="813">
        <v>352.71000000000004</v>
      </c>
    </row>
    <row r="32" spans="1:6" ht="14.4" customHeight="1" x14ac:dyDescent="0.3">
      <c r="A32" s="820" t="s">
        <v>2063</v>
      </c>
      <c r="B32" s="812"/>
      <c r="C32" s="800">
        <v>0</v>
      </c>
      <c r="D32" s="812">
        <v>276.61</v>
      </c>
      <c r="E32" s="800">
        <v>1</v>
      </c>
      <c r="F32" s="813">
        <v>276.61</v>
      </c>
    </row>
    <row r="33" spans="1:6" ht="14.4" customHeight="1" x14ac:dyDescent="0.3">
      <c r="A33" s="820" t="s">
        <v>1388</v>
      </c>
      <c r="B33" s="812"/>
      <c r="C33" s="800">
        <v>0</v>
      </c>
      <c r="D33" s="812">
        <v>387.36</v>
      </c>
      <c r="E33" s="800">
        <v>1</v>
      </c>
      <c r="F33" s="813">
        <v>387.36</v>
      </c>
    </row>
    <row r="34" spans="1:6" ht="14.4" customHeight="1" x14ac:dyDescent="0.3">
      <c r="A34" s="820" t="s">
        <v>2064</v>
      </c>
      <c r="B34" s="812"/>
      <c r="C34" s="800">
        <v>0</v>
      </c>
      <c r="D34" s="812">
        <v>351.51</v>
      </c>
      <c r="E34" s="800">
        <v>1</v>
      </c>
      <c r="F34" s="813">
        <v>351.51</v>
      </c>
    </row>
    <row r="35" spans="1:6" ht="14.4" customHeight="1" x14ac:dyDescent="0.3">
      <c r="A35" s="820" t="s">
        <v>2065</v>
      </c>
      <c r="B35" s="812"/>
      <c r="C35" s="800">
        <v>0</v>
      </c>
      <c r="D35" s="812">
        <v>1604.96</v>
      </c>
      <c r="E35" s="800">
        <v>1</v>
      </c>
      <c r="F35" s="813">
        <v>1604.96</v>
      </c>
    </row>
    <row r="36" spans="1:6" ht="14.4" customHeight="1" x14ac:dyDescent="0.3">
      <c r="A36" s="820" t="s">
        <v>1372</v>
      </c>
      <c r="B36" s="812"/>
      <c r="C36" s="800">
        <v>0</v>
      </c>
      <c r="D36" s="812">
        <v>823.14</v>
      </c>
      <c r="E36" s="800">
        <v>1</v>
      </c>
      <c r="F36" s="813">
        <v>823.14</v>
      </c>
    </row>
    <row r="37" spans="1:6" ht="14.4" customHeight="1" thickBot="1" x14ac:dyDescent="0.35">
      <c r="A37" s="821" t="s">
        <v>1390</v>
      </c>
      <c r="B37" s="816"/>
      <c r="C37" s="817"/>
      <c r="D37" s="816">
        <v>0</v>
      </c>
      <c r="E37" s="817"/>
      <c r="F37" s="818">
        <v>0</v>
      </c>
    </row>
    <row r="38" spans="1:6" ht="14.4" customHeight="1" thickBot="1" x14ac:dyDescent="0.35">
      <c r="A38" s="734" t="s">
        <v>3</v>
      </c>
      <c r="B38" s="735">
        <v>519.97</v>
      </c>
      <c r="C38" s="736">
        <v>1.6875006044521558E-3</v>
      </c>
      <c r="D38" s="735">
        <v>307610.2900000001</v>
      </c>
      <c r="E38" s="736">
        <v>0.99831249939554789</v>
      </c>
      <c r="F38" s="737">
        <v>308130.26000000007</v>
      </c>
    </row>
  </sheetData>
  <mergeCells count="3">
    <mergeCell ref="A1:F1"/>
    <mergeCell ref="B3:C3"/>
    <mergeCell ref="D3:E3"/>
  </mergeCells>
  <conditionalFormatting sqref="C5:C1048576">
    <cfRule type="cellIs" dxfId="46" priority="12" stopIfTrue="1" operator="greaterThan">
      <formula>0.2</formula>
    </cfRule>
  </conditionalFormatting>
  <conditionalFormatting sqref="F5:F2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{5EB26FC0-6C6F-4E4E-8EB7-2CF3E019C734}</x14:id>
        </ext>
      </extLst>
    </cfRule>
  </conditionalFormatting>
  <conditionalFormatting sqref="F23:F3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{59D680CB-86F1-4A80-B83F-0E52C7EA76F8}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EB26FC0-6C6F-4E4E-8EB7-2CF3E019C73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F5:F20</xm:sqref>
        </x14:conditionalFormatting>
        <x14:conditionalFormatting xmlns:xm="http://schemas.microsoft.com/office/excel/2006/main">
          <x14:cfRule type="dataBar" id="{59D680CB-86F1-4A80-B83F-0E52C7EA76F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F23:F37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0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7" t="s">
        <v>2073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18"/>
      <c r="M1" s="518"/>
    </row>
    <row r="2" spans="1:13" ht="14.4" customHeight="1" thickBot="1" x14ac:dyDescent="0.35">
      <c r="A2" s="374" t="s">
        <v>353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18</v>
      </c>
      <c r="G3" s="47">
        <f>SUBTOTAL(9,G6:G1048576)</f>
        <v>519.97</v>
      </c>
      <c r="H3" s="48">
        <f>IF(M3=0,0,G3/M3)</f>
        <v>1.6875006044521561E-3</v>
      </c>
      <c r="I3" s="47">
        <f>SUBTOTAL(9,I6:I1048576)</f>
        <v>740</v>
      </c>
      <c r="J3" s="47">
        <f>SUBTOTAL(9,J6:J1048576)</f>
        <v>307610.28999999998</v>
      </c>
      <c r="K3" s="48">
        <f>IF(M3=0,0,J3/M3)</f>
        <v>0.99831249939554778</v>
      </c>
      <c r="L3" s="47">
        <f>SUBTOTAL(9,L6:L1048576)</f>
        <v>758</v>
      </c>
      <c r="M3" s="49">
        <f>SUBTOTAL(9,M6:M1048576)</f>
        <v>308130.26</v>
      </c>
    </row>
    <row r="4" spans="1:13" ht="14.4" customHeight="1" thickBot="1" x14ac:dyDescent="0.35">
      <c r="A4" s="45"/>
      <c r="B4" s="45"/>
      <c r="C4" s="45"/>
      <c r="D4" s="45"/>
      <c r="E4" s="46"/>
      <c r="F4" s="561" t="s">
        <v>161</v>
      </c>
      <c r="G4" s="562"/>
      <c r="H4" s="563"/>
      <c r="I4" s="564" t="s">
        <v>160</v>
      </c>
      <c r="J4" s="562"/>
      <c r="K4" s="563"/>
      <c r="L4" s="565" t="s">
        <v>3</v>
      </c>
      <c r="M4" s="566"/>
    </row>
    <row r="5" spans="1:13" ht="14.4" customHeight="1" thickBot="1" x14ac:dyDescent="0.35">
      <c r="A5" s="810" t="s">
        <v>167</v>
      </c>
      <c r="B5" s="822" t="s">
        <v>163</v>
      </c>
      <c r="C5" s="822" t="s">
        <v>90</v>
      </c>
      <c r="D5" s="822" t="s">
        <v>164</v>
      </c>
      <c r="E5" s="822" t="s">
        <v>165</v>
      </c>
      <c r="F5" s="743" t="s">
        <v>28</v>
      </c>
      <c r="G5" s="743" t="s">
        <v>14</v>
      </c>
      <c r="H5" s="726" t="s">
        <v>166</v>
      </c>
      <c r="I5" s="725" t="s">
        <v>28</v>
      </c>
      <c r="J5" s="743" t="s">
        <v>14</v>
      </c>
      <c r="K5" s="726" t="s">
        <v>166</v>
      </c>
      <c r="L5" s="725" t="s">
        <v>28</v>
      </c>
      <c r="M5" s="744" t="s">
        <v>14</v>
      </c>
    </row>
    <row r="6" spans="1:13" ht="14.4" customHeight="1" x14ac:dyDescent="0.3">
      <c r="A6" s="787" t="s">
        <v>1521</v>
      </c>
      <c r="B6" s="788" t="s">
        <v>1411</v>
      </c>
      <c r="C6" s="788" t="s">
        <v>1540</v>
      </c>
      <c r="D6" s="788" t="s">
        <v>977</v>
      </c>
      <c r="E6" s="788" t="s">
        <v>1414</v>
      </c>
      <c r="F6" s="225"/>
      <c r="G6" s="225"/>
      <c r="H6" s="793">
        <v>0</v>
      </c>
      <c r="I6" s="225">
        <v>8</v>
      </c>
      <c r="J6" s="225">
        <v>3927.12</v>
      </c>
      <c r="K6" s="793">
        <v>1</v>
      </c>
      <c r="L6" s="225">
        <v>8</v>
      </c>
      <c r="M6" s="811">
        <v>3927.12</v>
      </c>
    </row>
    <row r="7" spans="1:13" ht="14.4" customHeight="1" x14ac:dyDescent="0.3">
      <c r="A7" s="794" t="s">
        <v>1521</v>
      </c>
      <c r="B7" s="795" t="s">
        <v>1411</v>
      </c>
      <c r="C7" s="795" t="s">
        <v>1552</v>
      </c>
      <c r="D7" s="795" t="s">
        <v>977</v>
      </c>
      <c r="E7" s="795" t="s">
        <v>1413</v>
      </c>
      <c r="F7" s="812"/>
      <c r="G7" s="812"/>
      <c r="H7" s="800">
        <v>0</v>
      </c>
      <c r="I7" s="812">
        <v>4</v>
      </c>
      <c r="J7" s="812">
        <v>2945.32</v>
      </c>
      <c r="K7" s="800">
        <v>1</v>
      </c>
      <c r="L7" s="812">
        <v>4</v>
      </c>
      <c r="M7" s="813">
        <v>2945.32</v>
      </c>
    </row>
    <row r="8" spans="1:13" ht="14.4" customHeight="1" x14ac:dyDescent="0.3">
      <c r="A8" s="794" t="s">
        <v>1521</v>
      </c>
      <c r="B8" s="795" t="s">
        <v>1435</v>
      </c>
      <c r="C8" s="795" t="s">
        <v>1068</v>
      </c>
      <c r="D8" s="795" t="s">
        <v>1438</v>
      </c>
      <c r="E8" s="795" t="s">
        <v>1439</v>
      </c>
      <c r="F8" s="812"/>
      <c r="G8" s="812"/>
      <c r="H8" s="800">
        <v>0</v>
      </c>
      <c r="I8" s="812">
        <v>1</v>
      </c>
      <c r="J8" s="812">
        <v>149.52000000000001</v>
      </c>
      <c r="K8" s="800">
        <v>1</v>
      </c>
      <c r="L8" s="812">
        <v>1</v>
      </c>
      <c r="M8" s="813">
        <v>149.52000000000001</v>
      </c>
    </row>
    <row r="9" spans="1:13" ht="14.4" customHeight="1" x14ac:dyDescent="0.3">
      <c r="A9" s="794" t="s">
        <v>1521</v>
      </c>
      <c r="B9" s="795" t="s">
        <v>1452</v>
      </c>
      <c r="C9" s="795" t="s">
        <v>929</v>
      </c>
      <c r="D9" s="795" t="s">
        <v>1453</v>
      </c>
      <c r="E9" s="795" t="s">
        <v>1454</v>
      </c>
      <c r="F9" s="812"/>
      <c r="G9" s="812"/>
      <c r="H9" s="800"/>
      <c r="I9" s="812">
        <v>3</v>
      </c>
      <c r="J9" s="812">
        <v>0</v>
      </c>
      <c r="K9" s="800"/>
      <c r="L9" s="812">
        <v>3</v>
      </c>
      <c r="M9" s="813">
        <v>0</v>
      </c>
    </row>
    <row r="10" spans="1:13" ht="14.4" customHeight="1" x14ac:dyDescent="0.3">
      <c r="A10" s="794" t="s">
        <v>1521</v>
      </c>
      <c r="B10" s="795" t="s">
        <v>1449</v>
      </c>
      <c r="C10" s="795" t="s">
        <v>1692</v>
      </c>
      <c r="D10" s="795" t="s">
        <v>1546</v>
      </c>
      <c r="E10" s="795" t="s">
        <v>1693</v>
      </c>
      <c r="F10" s="812">
        <v>1</v>
      </c>
      <c r="G10" s="812">
        <v>33.549999999999997</v>
      </c>
      <c r="H10" s="800">
        <v>1</v>
      </c>
      <c r="I10" s="812"/>
      <c r="J10" s="812"/>
      <c r="K10" s="800">
        <v>0</v>
      </c>
      <c r="L10" s="812">
        <v>1</v>
      </c>
      <c r="M10" s="813">
        <v>33.549999999999997</v>
      </c>
    </row>
    <row r="11" spans="1:13" ht="14.4" customHeight="1" x14ac:dyDescent="0.3">
      <c r="A11" s="794" t="s">
        <v>1521</v>
      </c>
      <c r="B11" s="795" t="s">
        <v>1449</v>
      </c>
      <c r="C11" s="795" t="s">
        <v>1545</v>
      </c>
      <c r="D11" s="795" t="s">
        <v>1546</v>
      </c>
      <c r="E11" s="795" t="s">
        <v>1547</v>
      </c>
      <c r="F11" s="812">
        <v>1</v>
      </c>
      <c r="G11" s="812">
        <v>50.32</v>
      </c>
      <c r="H11" s="800">
        <v>1</v>
      </c>
      <c r="I11" s="812"/>
      <c r="J11" s="812"/>
      <c r="K11" s="800">
        <v>0</v>
      </c>
      <c r="L11" s="812">
        <v>1</v>
      </c>
      <c r="M11" s="813">
        <v>50.32</v>
      </c>
    </row>
    <row r="12" spans="1:13" ht="14.4" customHeight="1" x14ac:dyDescent="0.3">
      <c r="A12" s="794" t="s">
        <v>1522</v>
      </c>
      <c r="B12" s="795" t="s">
        <v>1411</v>
      </c>
      <c r="C12" s="795" t="s">
        <v>1540</v>
      </c>
      <c r="D12" s="795" t="s">
        <v>977</v>
      </c>
      <c r="E12" s="795" t="s">
        <v>1414</v>
      </c>
      <c r="F12" s="812"/>
      <c r="G12" s="812"/>
      <c r="H12" s="800">
        <v>0</v>
      </c>
      <c r="I12" s="812">
        <v>13</v>
      </c>
      <c r="J12" s="812">
        <v>6381.57</v>
      </c>
      <c r="K12" s="800">
        <v>1</v>
      </c>
      <c r="L12" s="812">
        <v>13</v>
      </c>
      <c r="M12" s="813">
        <v>6381.57</v>
      </c>
    </row>
    <row r="13" spans="1:13" ht="14.4" customHeight="1" x14ac:dyDescent="0.3">
      <c r="A13" s="794" t="s">
        <v>1522</v>
      </c>
      <c r="B13" s="795" t="s">
        <v>1411</v>
      </c>
      <c r="C13" s="795" t="s">
        <v>1552</v>
      </c>
      <c r="D13" s="795" t="s">
        <v>977</v>
      </c>
      <c r="E13" s="795" t="s">
        <v>1413</v>
      </c>
      <c r="F13" s="812"/>
      <c r="G13" s="812"/>
      <c r="H13" s="800">
        <v>0</v>
      </c>
      <c r="I13" s="812">
        <v>10</v>
      </c>
      <c r="J13" s="812">
        <v>7363.3000000000011</v>
      </c>
      <c r="K13" s="800">
        <v>1</v>
      </c>
      <c r="L13" s="812">
        <v>10</v>
      </c>
      <c r="M13" s="813">
        <v>7363.3000000000011</v>
      </c>
    </row>
    <row r="14" spans="1:13" ht="14.4" customHeight="1" x14ac:dyDescent="0.3">
      <c r="A14" s="794" t="s">
        <v>1522</v>
      </c>
      <c r="B14" s="795" t="s">
        <v>1435</v>
      </c>
      <c r="C14" s="795" t="s">
        <v>1064</v>
      </c>
      <c r="D14" s="795" t="s">
        <v>971</v>
      </c>
      <c r="E14" s="795" t="s">
        <v>1437</v>
      </c>
      <c r="F14" s="812"/>
      <c r="G14" s="812"/>
      <c r="H14" s="800">
        <v>0</v>
      </c>
      <c r="I14" s="812">
        <v>1</v>
      </c>
      <c r="J14" s="812">
        <v>154.36000000000001</v>
      </c>
      <c r="K14" s="800">
        <v>1</v>
      </c>
      <c r="L14" s="812">
        <v>1</v>
      </c>
      <c r="M14" s="813">
        <v>154.36000000000001</v>
      </c>
    </row>
    <row r="15" spans="1:13" ht="14.4" customHeight="1" x14ac:dyDescent="0.3">
      <c r="A15" s="794" t="s">
        <v>1522</v>
      </c>
      <c r="B15" s="795" t="s">
        <v>1446</v>
      </c>
      <c r="C15" s="795" t="s">
        <v>1574</v>
      </c>
      <c r="D15" s="795" t="s">
        <v>622</v>
      </c>
      <c r="E15" s="795" t="s">
        <v>1448</v>
      </c>
      <c r="F15" s="812"/>
      <c r="G15" s="812"/>
      <c r="H15" s="800">
        <v>0</v>
      </c>
      <c r="I15" s="812">
        <v>1</v>
      </c>
      <c r="J15" s="812">
        <v>48.42</v>
      </c>
      <c r="K15" s="800">
        <v>1</v>
      </c>
      <c r="L15" s="812">
        <v>1</v>
      </c>
      <c r="M15" s="813">
        <v>48.42</v>
      </c>
    </row>
    <row r="16" spans="1:13" ht="14.4" customHeight="1" x14ac:dyDescent="0.3">
      <c r="A16" s="794" t="s">
        <v>1522</v>
      </c>
      <c r="B16" s="795" t="s">
        <v>1452</v>
      </c>
      <c r="C16" s="795" t="s">
        <v>929</v>
      </c>
      <c r="D16" s="795" t="s">
        <v>1453</v>
      </c>
      <c r="E16" s="795" t="s">
        <v>1454</v>
      </c>
      <c r="F16" s="812"/>
      <c r="G16" s="812"/>
      <c r="H16" s="800"/>
      <c r="I16" s="812">
        <v>5</v>
      </c>
      <c r="J16" s="812">
        <v>0</v>
      </c>
      <c r="K16" s="800"/>
      <c r="L16" s="812">
        <v>5</v>
      </c>
      <c r="M16" s="813">
        <v>0</v>
      </c>
    </row>
    <row r="17" spans="1:13" ht="14.4" customHeight="1" x14ac:dyDescent="0.3">
      <c r="A17" s="794" t="s">
        <v>1523</v>
      </c>
      <c r="B17" s="795" t="s">
        <v>1411</v>
      </c>
      <c r="C17" s="795" t="s">
        <v>1540</v>
      </c>
      <c r="D17" s="795" t="s">
        <v>977</v>
      </c>
      <c r="E17" s="795" t="s">
        <v>1414</v>
      </c>
      <c r="F17" s="812"/>
      <c r="G17" s="812"/>
      <c r="H17" s="800">
        <v>0</v>
      </c>
      <c r="I17" s="812">
        <v>30</v>
      </c>
      <c r="J17" s="812">
        <v>14726.7</v>
      </c>
      <c r="K17" s="800">
        <v>1</v>
      </c>
      <c r="L17" s="812">
        <v>30</v>
      </c>
      <c r="M17" s="813">
        <v>14726.7</v>
      </c>
    </row>
    <row r="18" spans="1:13" ht="14.4" customHeight="1" x14ac:dyDescent="0.3">
      <c r="A18" s="794" t="s">
        <v>1523</v>
      </c>
      <c r="B18" s="795" t="s">
        <v>1411</v>
      </c>
      <c r="C18" s="795" t="s">
        <v>1552</v>
      </c>
      <c r="D18" s="795" t="s">
        <v>977</v>
      </c>
      <c r="E18" s="795" t="s">
        <v>1413</v>
      </c>
      <c r="F18" s="812"/>
      <c r="G18" s="812"/>
      <c r="H18" s="800">
        <v>0</v>
      </c>
      <c r="I18" s="812">
        <v>85</v>
      </c>
      <c r="J18" s="812">
        <v>62588.05000000001</v>
      </c>
      <c r="K18" s="800">
        <v>1</v>
      </c>
      <c r="L18" s="812">
        <v>85</v>
      </c>
      <c r="M18" s="813">
        <v>62588.05000000001</v>
      </c>
    </row>
    <row r="19" spans="1:13" ht="14.4" customHeight="1" x14ac:dyDescent="0.3">
      <c r="A19" s="794" t="s">
        <v>1523</v>
      </c>
      <c r="B19" s="795" t="s">
        <v>1411</v>
      </c>
      <c r="C19" s="795" t="s">
        <v>1571</v>
      </c>
      <c r="D19" s="795" t="s">
        <v>977</v>
      </c>
      <c r="E19" s="795" t="s">
        <v>1572</v>
      </c>
      <c r="F19" s="812"/>
      <c r="G19" s="812"/>
      <c r="H19" s="800">
        <v>0</v>
      </c>
      <c r="I19" s="812">
        <v>1</v>
      </c>
      <c r="J19" s="812">
        <v>923.74</v>
      </c>
      <c r="K19" s="800">
        <v>1</v>
      </c>
      <c r="L19" s="812">
        <v>1</v>
      </c>
      <c r="M19" s="813">
        <v>923.74</v>
      </c>
    </row>
    <row r="20" spans="1:13" ht="14.4" customHeight="1" x14ac:dyDescent="0.3">
      <c r="A20" s="794" t="s">
        <v>1523</v>
      </c>
      <c r="B20" s="795" t="s">
        <v>1411</v>
      </c>
      <c r="C20" s="795" t="s">
        <v>982</v>
      </c>
      <c r="D20" s="795" t="s">
        <v>977</v>
      </c>
      <c r="E20" s="795" t="s">
        <v>1413</v>
      </c>
      <c r="F20" s="812"/>
      <c r="G20" s="812"/>
      <c r="H20" s="800">
        <v>0</v>
      </c>
      <c r="I20" s="812">
        <v>6</v>
      </c>
      <c r="J20" s="812">
        <v>4417.9800000000005</v>
      </c>
      <c r="K20" s="800">
        <v>1</v>
      </c>
      <c r="L20" s="812">
        <v>6</v>
      </c>
      <c r="M20" s="813">
        <v>4417.9800000000005</v>
      </c>
    </row>
    <row r="21" spans="1:13" ht="14.4" customHeight="1" x14ac:dyDescent="0.3">
      <c r="A21" s="794" t="s">
        <v>1523</v>
      </c>
      <c r="B21" s="795" t="s">
        <v>1411</v>
      </c>
      <c r="C21" s="795" t="s">
        <v>976</v>
      </c>
      <c r="D21" s="795" t="s">
        <v>977</v>
      </c>
      <c r="E21" s="795" t="s">
        <v>1414</v>
      </c>
      <c r="F21" s="812"/>
      <c r="G21" s="812"/>
      <c r="H21" s="800">
        <v>0</v>
      </c>
      <c r="I21" s="812">
        <v>2</v>
      </c>
      <c r="J21" s="812">
        <v>981.78</v>
      </c>
      <c r="K21" s="800">
        <v>1</v>
      </c>
      <c r="L21" s="812">
        <v>2</v>
      </c>
      <c r="M21" s="813">
        <v>981.78</v>
      </c>
    </row>
    <row r="22" spans="1:13" ht="14.4" customHeight="1" x14ac:dyDescent="0.3">
      <c r="A22" s="794" t="s">
        <v>1523</v>
      </c>
      <c r="B22" s="795" t="s">
        <v>1435</v>
      </c>
      <c r="C22" s="795" t="s">
        <v>1064</v>
      </c>
      <c r="D22" s="795" t="s">
        <v>971</v>
      </c>
      <c r="E22" s="795" t="s">
        <v>1437</v>
      </c>
      <c r="F22" s="812"/>
      <c r="G22" s="812"/>
      <c r="H22" s="800">
        <v>0</v>
      </c>
      <c r="I22" s="812">
        <v>3</v>
      </c>
      <c r="J22" s="812">
        <v>463.08000000000004</v>
      </c>
      <c r="K22" s="800">
        <v>1</v>
      </c>
      <c r="L22" s="812">
        <v>3</v>
      </c>
      <c r="M22" s="813">
        <v>463.08000000000004</v>
      </c>
    </row>
    <row r="23" spans="1:13" ht="14.4" customHeight="1" x14ac:dyDescent="0.3">
      <c r="A23" s="794" t="s">
        <v>1523</v>
      </c>
      <c r="B23" s="795" t="s">
        <v>1435</v>
      </c>
      <c r="C23" s="795" t="s">
        <v>970</v>
      </c>
      <c r="D23" s="795" t="s">
        <v>971</v>
      </c>
      <c r="E23" s="795" t="s">
        <v>1436</v>
      </c>
      <c r="F23" s="812"/>
      <c r="G23" s="812"/>
      <c r="H23" s="800">
        <v>0</v>
      </c>
      <c r="I23" s="812">
        <v>1</v>
      </c>
      <c r="J23" s="812">
        <v>225.06</v>
      </c>
      <c r="K23" s="800">
        <v>1</v>
      </c>
      <c r="L23" s="812">
        <v>1</v>
      </c>
      <c r="M23" s="813">
        <v>225.06</v>
      </c>
    </row>
    <row r="24" spans="1:13" ht="14.4" customHeight="1" x14ac:dyDescent="0.3">
      <c r="A24" s="794" t="s">
        <v>1523</v>
      </c>
      <c r="B24" s="795" t="s">
        <v>1446</v>
      </c>
      <c r="C24" s="795" t="s">
        <v>1574</v>
      </c>
      <c r="D24" s="795" t="s">
        <v>622</v>
      </c>
      <c r="E24" s="795" t="s">
        <v>1448</v>
      </c>
      <c r="F24" s="812"/>
      <c r="G24" s="812"/>
      <c r="H24" s="800">
        <v>0</v>
      </c>
      <c r="I24" s="812">
        <v>2</v>
      </c>
      <c r="J24" s="812">
        <v>96.84</v>
      </c>
      <c r="K24" s="800">
        <v>1</v>
      </c>
      <c r="L24" s="812">
        <v>2</v>
      </c>
      <c r="M24" s="813">
        <v>96.84</v>
      </c>
    </row>
    <row r="25" spans="1:13" ht="14.4" customHeight="1" x14ac:dyDescent="0.3">
      <c r="A25" s="794" t="s">
        <v>1524</v>
      </c>
      <c r="B25" s="795" t="s">
        <v>1411</v>
      </c>
      <c r="C25" s="795" t="s">
        <v>1540</v>
      </c>
      <c r="D25" s="795" t="s">
        <v>977</v>
      </c>
      <c r="E25" s="795" t="s">
        <v>1414</v>
      </c>
      <c r="F25" s="812"/>
      <c r="G25" s="812"/>
      <c r="H25" s="800">
        <v>0</v>
      </c>
      <c r="I25" s="812">
        <v>12</v>
      </c>
      <c r="J25" s="812">
        <v>5890.68</v>
      </c>
      <c r="K25" s="800">
        <v>1</v>
      </c>
      <c r="L25" s="812">
        <v>12</v>
      </c>
      <c r="M25" s="813">
        <v>5890.68</v>
      </c>
    </row>
    <row r="26" spans="1:13" ht="14.4" customHeight="1" x14ac:dyDescent="0.3">
      <c r="A26" s="794" t="s">
        <v>1524</v>
      </c>
      <c r="B26" s="795" t="s">
        <v>1411</v>
      </c>
      <c r="C26" s="795" t="s">
        <v>1552</v>
      </c>
      <c r="D26" s="795" t="s">
        <v>977</v>
      </c>
      <c r="E26" s="795" t="s">
        <v>1413</v>
      </c>
      <c r="F26" s="812"/>
      <c r="G26" s="812"/>
      <c r="H26" s="800">
        <v>0</v>
      </c>
      <c r="I26" s="812">
        <v>8</v>
      </c>
      <c r="J26" s="812">
        <v>5890.6400000000012</v>
      </c>
      <c r="K26" s="800">
        <v>1</v>
      </c>
      <c r="L26" s="812">
        <v>8</v>
      </c>
      <c r="M26" s="813">
        <v>5890.6400000000012</v>
      </c>
    </row>
    <row r="27" spans="1:13" ht="14.4" customHeight="1" x14ac:dyDescent="0.3">
      <c r="A27" s="794" t="s">
        <v>1524</v>
      </c>
      <c r="B27" s="795" t="s">
        <v>1435</v>
      </c>
      <c r="C27" s="795" t="s">
        <v>970</v>
      </c>
      <c r="D27" s="795" t="s">
        <v>971</v>
      </c>
      <c r="E27" s="795" t="s">
        <v>1436</v>
      </c>
      <c r="F27" s="812"/>
      <c r="G27" s="812"/>
      <c r="H27" s="800">
        <v>0</v>
      </c>
      <c r="I27" s="812">
        <v>1</v>
      </c>
      <c r="J27" s="812">
        <v>225.06</v>
      </c>
      <c r="K27" s="800">
        <v>1</v>
      </c>
      <c r="L27" s="812">
        <v>1</v>
      </c>
      <c r="M27" s="813">
        <v>225.06</v>
      </c>
    </row>
    <row r="28" spans="1:13" ht="14.4" customHeight="1" x14ac:dyDescent="0.3">
      <c r="A28" s="794" t="s">
        <v>1524</v>
      </c>
      <c r="B28" s="795" t="s">
        <v>1446</v>
      </c>
      <c r="C28" s="795" t="s">
        <v>1574</v>
      </c>
      <c r="D28" s="795" t="s">
        <v>622</v>
      </c>
      <c r="E28" s="795" t="s">
        <v>1448</v>
      </c>
      <c r="F28" s="812"/>
      <c r="G28" s="812"/>
      <c r="H28" s="800">
        <v>0</v>
      </c>
      <c r="I28" s="812">
        <v>6</v>
      </c>
      <c r="J28" s="812">
        <v>290.52</v>
      </c>
      <c r="K28" s="800">
        <v>1</v>
      </c>
      <c r="L28" s="812">
        <v>6</v>
      </c>
      <c r="M28" s="813">
        <v>290.52</v>
      </c>
    </row>
    <row r="29" spans="1:13" ht="14.4" customHeight="1" x14ac:dyDescent="0.3">
      <c r="A29" s="794" t="s">
        <v>1524</v>
      </c>
      <c r="B29" s="795" t="s">
        <v>1452</v>
      </c>
      <c r="C29" s="795" t="s">
        <v>929</v>
      </c>
      <c r="D29" s="795" t="s">
        <v>1453</v>
      </c>
      <c r="E29" s="795" t="s">
        <v>1454</v>
      </c>
      <c r="F29" s="812"/>
      <c r="G29" s="812"/>
      <c r="H29" s="800"/>
      <c r="I29" s="812">
        <v>6</v>
      </c>
      <c r="J29" s="812">
        <v>0</v>
      </c>
      <c r="K29" s="800"/>
      <c r="L29" s="812">
        <v>6</v>
      </c>
      <c r="M29" s="813">
        <v>0</v>
      </c>
    </row>
    <row r="30" spans="1:13" ht="14.4" customHeight="1" x14ac:dyDescent="0.3">
      <c r="A30" s="794" t="s">
        <v>1525</v>
      </c>
      <c r="B30" s="795" t="s">
        <v>1411</v>
      </c>
      <c r="C30" s="795" t="s">
        <v>1552</v>
      </c>
      <c r="D30" s="795" t="s">
        <v>977</v>
      </c>
      <c r="E30" s="795" t="s">
        <v>1413</v>
      </c>
      <c r="F30" s="812"/>
      <c r="G30" s="812"/>
      <c r="H30" s="800">
        <v>0</v>
      </c>
      <c r="I30" s="812">
        <v>1</v>
      </c>
      <c r="J30" s="812">
        <v>736.33</v>
      </c>
      <c r="K30" s="800">
        <v>1</v>
      </c>
      <c r="L30" s="812">
        <v>1</v>
      </c>
      <c r="M30" s="813">
        <v>736.33</v>
      </c>
    </row>
    <row r="31" spans="1:13" ht="14.4" customHeight="1" x14ac:dyDescent="0.3">
      <c r="A31" s="794" t="s">
        <v>1526</v>
      </c>
      <c r="B31" s="795" t="s">
        <v>1411</v>
      </c>
      <c r="C31" s="795" t="s">
        <v>1540</v>
      </c>
      <c r="D31" s="795" t="s">
        <v>977</v>
      </c>
      <c r="E31" s="795" t="s">
        <v>1414</v>
      </c>
      <c r="F31" s="812"/>
      <c r="G31" s="812"/>
      <c r="H31" s="800">
        <v>0</v>
      </c>
      <c r="I31" s="812">
        <v>20</v>
      </c>
      <c r="J31" s="812">
        <v>9817.8000000000011</v>
      </c>
      <c r="K31" s="800">
        <v>1</v>
      </c>
      <c r="L31" s="812">
        <v>20</v>
      </c>
      <c r="M31" s="813">
        <v>9817.8000000000011</v>
      </c>
    </row>
    <row r="32" spans="1:13" ht="14.4" customHeight="1" x14ac:dyDescent="0.3">
      <c r="A32" s="794" t="s">
        <v>1526</v>
      </c>
      <c r="B32" s="795" t="s">
        <v>1411</v>
      </c>
      <c r="C32" s="795" t="s">
        <v>1552</v>
      </c>
      <c r="D32" s="795" t="s">
        <v>977</v>
      </c>
      <c r="E32" s="795" t="s">
        <v>1413</v>
      </c>
      <c r="F32" s="812"/>
      <c r="G32" s="812"/>
      <c r="H32" s="800">
        <v>0</v>
      </c>
      <c r="I32" s="812">
        <v>7</v>
      </c>
      <c r="J32" s="812">
        <v>5154.3100000000004</v>
      </c>
      <c r="K32" s="800">
        <v>1</v>
      </c>
      <c r="L32" s="812">
        <v>7</v>
      </c>
      <c r="M32" s="813">
        <v>5154.3100000000004</v>
      </c>
    </row>
    <row r="33" spans="1:13" ht="14.4" customHeight="1" x14ac:dyDescent="0.3">
      <c r="A33" s="794" t="s">
        <v>1527</v>
      </c>
      <c r="B33" s="795" t="s">
        <v>1411</v>
      </c>
      <c r="C33" s="795" t="s">
        <v>1540</v>
      </c>
      <c r="D33" s="795" t="s">
        <v>977</v>
      </c>
      <c r="E33" s="795" t="s">
        <v>1414</v>
      </c>
      <c r="F33" s="812"/>
      <c r="G33" s="812"/>
      <c r="H33" s="800">
        <v>0</v>
      </c>
      <c r="I33" s="812">
        <v>21</v>
      </c>
      <c r="J33" s="812">
        <v>10308.69</v>
      </c>
      <c r="K33" s="800">
        <v>1</v>
      </c>
      <c r="L33" s="812">
        <v>21</v>
      </c>
      <c r="M33" s="813">
        <v>10308.69</v>
      </c>
    </row>
    <row r="34" spans="1:13" ht="14.4" customHeight="1" x14ac:dyDescent="0.3">
      <c r="A34" s="794" t="s">
        <v>1527</v>
      </c>
      <c r="B34" s="795" t="s">
        <v>1411</v>
      </c>
      <c r="C34" s="795" t="s">
        <v>1552</v>
      </c>
      <c r="D34" s="795" t="s">
        <v>977</v>
      </c>
      <c r="E34" s="795" t="s">
        <v>1413</v>
      </c>
      <c r="F34" s="812"/>
      <c r="G34" s="812"/>
      <c r="H34" s="800">
        <v>0</v>
      </c>
      <c r="I34" s="812">
        <v>7</v>
      </c>
      <c r="J34" s="812">
        <v>5154.3100000000004</v>
      </c>
      <c r="K34" s="800">
        <v>1</v>
      </c>
      <c r="L34" s="812">
        <v>7</v>
      </c>
      <c r="M34" s="813">
        <v>5154.3100000000004</v>
      </c>
    </row>
    <row r="35" spans="1:13" ht="14.4" customHeight="1" x14ac:dyDescent="0.3">
      <c r="A35" s="794" t="s">
        <v>1527</v>
      </c>
      <c r="B35" s="795" t="s">
        <v>1411</v>
      </c>
      <c r="C35" s="795" t="s">
        <v>1571</v>
      </c>
      <c r="D35" s="795" t="s">
        <v>977</v>
      </c>
      <c r="E35" s="795" t="s">
        <v>1572</v>
      </c>
      <c r="F35" s="812"/>
      <c r="G35" s="812"/>
      <c r="H35" s="800">
        <v>0</v>
      </c>
      <c r="I35" s="812">
        <v>2</v>
      </c>
      <c r="J35" s="812">
        <v>1847.48</v>
      </c>
      <c r="K35" s="800">
        <v>1</v>
      </c>
      <c r="L35" s="812">
        <v>2</v>
      </c>
      <c r="M35" s="813">
        <v>1847.48</v>
      </c>
    </row>
    <row r="36" spans="1:13" ht="14.4" customHeight="1" x14ac:dyDescent="0.3">
      <c r="A36" s="794" t="s">
        <v>1527</v>
      </c>
      <c r="B36" s="795" t="s">
        <v>2066</v>
      </c>
      <c r="C36" s="795" t="s">
        <v>1811</v>
      </c>
      <c r="D36" s="795" t="s">
        <v>1812</v>
      </c>
      <c r="E36" s="795" t="s">
        <v>1813</v>
      </c>
      <c r="F36" s="812"/>
      <c r="G36" s="812"/>
      <c r="H36" s="800">
        <v>0</v>
      </c>
      <c r="I36" s="812">
        <v>2</v>
      </c>
      <c r="J36" s="812">
        <v>141.08000000000001</v>
      </c>
      <c r="K36" s="800">
        <v>1</v>
      </c>
      <c r="L36" s="812">
        <v>2</v>
      </c>
      <c r="M36" s="813">
        <v>141.08000000000001</v>
      </c>
    </row>
    <row r="37" spans="1:13" ht="14.4" customHeight="1" x14ac:dyDescent="0.3">
      <c r="A37" s="794" t="s">
        <v>1527</v>
      </c>
      <c r="B37" s="795" t="s">
        <v>1446</v>
      </c>
      <c r="C37" s="795" t="s">
        <v>1574</v>
      </c>
      <c r="D37" s="795" t="s">
        <v>622</v>
      </c>
      <c r="E37" s="795" t="s">
        <v>1448</v>
      </c>
      <c r="F37" s="812"/>
      <c r="G37" s="812"/>
      <c r="H37" s="800">
        <v>0</v>
      </c>
      <c r="I37" s="812">
        <v>1</v>
      </c>
      <c r="J37" s="812">
        <v>48.42</v>
      </c>
      <c r="K37" s="800">
        <v>1</v>
      </c>
      <c r="L37" s="812">
        <v>1</v>
      </c>
      <c r="M37" s="813">
        <v>48.42</v>
      </c>
    </row>
    <row r="38" spans="1:13" ht="14.4" customHeight="1" x14ac:dyDescent="0.3">
      <c r="A38" s="794" t="s">
        <v>1527</v>
      </c>
      <c r="B38" s="795" t="s">
        <v>1452</v>
      </c>
      <c r="C38" s="795" t="s">
        <v>929</v>
      </c>
      <c r="D38" s="795" t="s">
        <v>1453</v>
      </c>
      <c r="E38" s="795" t="s">
        <v>1454</v>
      </c>
      <c r="F38" s="812"/>
      <c r="G38" s="812"/>
      <c r="H38" s="800"/>
      <c r="I38" s="812">
        <v>21</v>
      </c>
      <c r="J38" s="812">
        <v>0</v>
      </c>
      <c r="K38" s="800"/>
      <c r="L38" s="812">
        <v>21</v>
      </c>
      <c r="M38" s="813">
        <v>0</v>
      </c>
    </row>
    <row r="39" spans="1:13" ht="14.4" customHeight="1" x14ac:dyDescent="0.3">
      <c r="A39" s="794" t="s">
        <v>1527</v>
      </c>
      <c r="B39" s="795" t="s">
        <v>2067</v>
      </c>
      <c r="C39" s="795" t="s">
        <v>1823</v>
      </c>
      <c r="D39" s="795" t="s">
        <v>1824</v>
      </c>
      <c r="E39" s="795" t="s">
        <v>1643</v>
      </c>
      <c r="F39" s="812"/>
      <c r="G39" s="812"/>
      <c r="H39" s="800">
        <v>0</v>
      </c>
      <c r="I39" s="812">
        <v>1</v>
      </c>
      <c r="J39" s="812">
        <v>848.49</v>
      </c>
      <c r="K39" s="800">
        <v>1</v>
      </c>
      <c r="L39" s="812">
        <v>1</v>
      </c>
      <c r="M39" s="813">
        <v>848.49</v>
      </c>
    </row>
    <row r="40" spans="1:13" ht="14.4" customHeight="1" x14ac:dyDescent="0.3">
      <c r="A40" s="794" t="s">
        <v>1527</v>
      </c>
      <c r="B40" s="795" t="s">
        <v>2068</v>
      </c>
      <c r="C40" s="795" t="s">
        <v>1840</v>
      </c>
      <c r="D40" s="795" t="s">
        <v>1841</v>
      </c>
      <c r="E40" s="795" t="s">
        <v>1842</v>
      </c>
      <c r="F40" s="812"/>
      <c r="G40" s="812"/>
      <c r="H40" s="800">
        <v>0</v>
      </c>
      <c r="I40" s="812">
        <v>2</v>
      </c>
      <c r="J40" s="812">
        <v>1604.96</v>
      </c>
      <c r="K40" s="800">
        <v>1</v>
      </c>
      <c r="L40" s="812">
        <v>2</v>
      </c>
      <c r="M40" s="813">
        <v>1604.96</v>
      </c>
    </row>
    <row r="41" spans="1:13" ht="14.4" customHeight="1" x14ac:dyDescent="0.3">
      <c r="A41" s="794" t="s">
        <v>1527</v>
      </c>
      <c r="B41" s="795" t="s">
        <v>2069</v>
      </c>
      <c r="C41" s="795" t="s">
        <v>1817</v>
      </c>
      <c r="D41" s="795" t="s">
        <v>1818</v>
      </c>
      <c r="E41" s="795" t="s">
        <v>1819</v>
      </c>
      <c r="F41" s="812"/>
      <c r="G41" s="812"/>
      <c r="H41" s="800">
        <v>0</v>
      </c>
      <c r="I41" s="812">
        <v>1</v>
      </c>
      <c r="J41" s="812">
        <v>207.45</v>
      </c>
      <c r="K41" s="800">
        <v>1</v>
      </c>
      <c r="L41" s="812">
        <v>1</v>
      </c>
      <c r="M41" s="813">
        <v>207.45</v>
      </c>
    </row>
    <row r="42" spans="1:13" ht="14.4" customHeight="1" x14ac:dyDescent="0.3">
      <c r="A42" s="794" t="s">
        <v>1528</v>
      </c>
      <c r="B42" s="795" t="s">
        <v>1411</v>
      </c>
      <c r="C42" s="795" t="s">
        <v>1540</v>
      </c>
      <c r="D42" s="795" t="s">
        <v>977</v>
      </c>
      <c r="E42" s="795" t="s">
        <v>1414</v>
      </c>
      <c r="F42" s="812"/>
      <c r="G42" s="812"/>
      <c r="H42" s="800">
        <v>0</v>
      </c>
      <c r="I42" s="812">
        <v>10</v>
      </c>
      <c r="J42" s="812">
        <v>4908.8999999999996</v>
      </c>
      <c r="K42" s="800">
        <v>1</v>
      </c>
      <c r="L42" s="812">
        <v>10</v>
      </c>
      <c r="M42" s="813">
        <v>4908.8999999999996</v>
      </c>
    </row>
    <row r="43" spans="1:13" ht="14.4" customHeight="1" x14ac:dyDescent="0.3">
      <c r="A43" s="794" t="s">
        <v>1528</v>
      </c>
      <c r="B43" s="795" t="s">
        <v>1411</v>
      </c>
      <c r="C43" s="795" t="s">
        <v>1552</v>
      </c>
      <c r="D43" s="795" t="s">
        <v>977</v>
      </c>
      <c r="E43" s="795" t="s">
        <v>1413</v>
      </c>
      <c r="F43" s="812"/>
      <c r="G43" s="812"/>
      <c r="H43" s="800">
        <v>0</v>
      </c>
      <c r="I43" s="812">
        <v>4</v>
      </c>
      <c r="J43" s="812">
        <v>2945.32</v>
      </c>
      <c r="K43" s="800">
        <v>1</v>
      </c>
      <c r="L43" s="812">
        <v>4</v>
      </c>
      <c r="M43" s="813">
        <v>2945.32</v>
      </c>
    </row>
    <row r="44" spans="1:13" ht="14.4" customHeight="1" x14ac:dyDescent="0.3">
      <c r="A44" s="794" t="s">
        <v>1528</v>
      </c>
      <c r="B44" s="795" t="s">
        <v>1435</v>
      </c>
      <c r="C44" s="795" t="s">
        <v>970</v>
      </c>
      <c r="D44" s="795" t="s">
        <v>971</v>
      </c>
      <c r="E44" s="795" t="s">
        <v>1436</v>
      </c>
      <c r="F44" s="812"/>
      <c r="G44" s="812"/>
      <c r="H44" s="800">
        <v>0</v>
      </c>
      <c r="I44" s="812">
        <v>2</v>
      </c>
      <c r="J44" s="812">
        <v>450.12</v>
      </c>
      <c r="K44" s="800">
        <v>1</v>
      </c>
      <c r="L44" s="812">
        <v>2</v>
      </c>
      <c r="M44" s="813">
        <v>450.12</v>
      </c>
    </row>
    <row r="45" spans="1:13" ht="14.4" customHeight="1" x14ac:dyDescent="0.3">
      <c r="A45" s="794" t="s">
        <v>1528</v>
      </c>
      <c r="B45" s="795" t="s">
        <v>1452</v>
      </c>
      <c r="C45" s="795" t="s">
        <v>929</v>
      </c>
      <c r="D45" s="795" t="s">
        <v>1453</v>
      </c>
      <c r="E45" s="795" t="s">
        <v>1454</v>
      </c>
      <c r="F45" s="812"/>
      <c r="G45" s="812"/>
      <c r="H45" s="800"/>
      <c r="I45" s="812">
        <v>5</v>
      </c>
      <c r="J45" s="812">
        <v>0</v>
      </c>
      <c r="K45" s="800"/>
      <c r="L45" s="812">
        <v>5</v>
      </c>
      <c r="M45" s="813">
        <v>0</v>
      </c>
    </row>
    <row r="46" spans="1:13" ht="14.4" customHeight="1" x14ac:dyDescent="0.3">
      <c r="A46" s="794" t="s">
        <v>1529</v>
      </c>
      <c r="B46" s="795" t="s">
        <v>1411</v>
      </c>
      <c r="C46" s="795" t="s">
        <v>1540</v>
      </c>
      <c r="D46" s="795" t="s">
        <v>977</v>
      </c>
      <c r="E46" s="795" t="s">
        <v>1414</v>
      </c>
      <c r="F46" s="812"/>
      <c r="G46" s="812"/>
      <c r="H46" s="800">
        <v>0</v>
      </c>
      <c r="I46" s="812">
        <v>21</v>
      </c>
      <c r="J46" s="812">
        <v>10308.69</v>
      </c>
      <c r="K46" s="800">
        <v>1</v>
      </c>
      <c r="L46" s="812">
        <v>21</v>
      </c>
      <c r="M46" s="813">
        <v>10308.69</v>
      </c>
    </row>
    <row r="47" spans="1:13" ht="14.4" customHeight="1" x14ac:dyDescent="0.3">
      <c r="A47" s="794" t="s">
        <v>1529</v>
      </c>
      <c r="B47" s="795" t="s">
        <v>1411</v>
      </c>
      <c r="C47" s="795" t="s">
        <v>1552</v>
      </c>
      <c r="D47" s="795" t="s">
        <v>977</v>
      </c>
      <c r="E47" s="795" t="s">
        <v>1413</v>
      </c>
      <c r="F47" s="812"/>
      <c r="G47" s="812"/>
      <c r="H47" s="800">
        <v>0</v>
      </c>
      <c r="I47" s="812">
        <v>3</v>
      </c>
      <c r="J47" s="812">
        <v>2208.9900000000002</v>
      </c>
      <c r="K47" s="800">
        <v>1</v>
      </c>
      <c r="L47" s="812">
        <v>3</v>
      </c>
      <c r="M47" s="813">
        <v>2208.9900000000002</v>
      </c>
    </row>
    <row r="48" spans="1:13" ht="14.4" customHeight="1" x14ac:dyDescent="0.3">
      <c r="A48" s="794" t="s">
        <v>1529</v>
      </c>
      <c r="B48" s="795" t="s">
        <v>1411</v>
      </c>
      <c r="C48" s="795" t="s">
        <v>976</v>
      </c>
      <c r="D48" s="795" t="s">
        <v>977</v>
      </c>
      <c r="E48" s="795" t="s">
        <v>1414</v>
      </c>
      <c r="F48" s="812"/>
      <c r="G48" s="812"/>
      <c r="H48" s="800">
        <v>0</v>
      </c>
      <c r="I48" s="812">
        <v>1</v>
      </c>
      <c r="J48" s="812">
        <v>490.89</v>
      </c>
      <c r="K48" s="800">
        <v>1</v>
      </c>
      <c r="L48" s="812">
        <v>1</v>
      </c>
      <c r="M48" s="813">
        <v>490.89</v>
      </c>
    </row>
    <row r="49" spans="1:13" ht="14.4" customHeight="1" x14ac:dyDescent="0.3">
      <c r="A49" s="794" t="s">
        <v>1529</v>
      </c>
      <c r="B49" s="795" t="s">
        <v>1446</v>
      </c>
      <c r="C49" s="795" t="s">
        <v>1574</v>
      </c>
      <c r="D49" s="795" t="s">
        <v>622</v>
      </c>
      <c r="E49" s="795" t="s">
        <v>1448</v>
      </c>
      <c r="F49" s="812"/>
      <c r="G49" s="812"/>
      <c r="H49" s="800">
        <v>0</v>
      </c>
      <c r="I49" s="812">
        <v>4</v>
      </c>
      <c r="J49" s="812">
        <v>193.68</v>
      </c>
      <c r="K49" s="800">
        <v>1</v>
      </c>
      <c r="L49" s="812">
        <v>4</v>
      </c>
      <c r="M49" s="813">
        <v>193.68</v>
      </c>
    </row>
    <row r="50" spans="1:13" ht="14.4" customHeight="1" x14ac:dyDescent="0.3">
      <c r="A50" s="794" t="s">
        <v>1529</v>
      </c>
      <c r="B50" s="795" t="s">
        <v>1452</v>
      </c>
      <c r="C50" s="795" t="s">
        <v>929</v>
      </c>
      <c r="D50" s="795" t="s">
        <v>1453</v>
      </c>
      <c r="E50" s="795" t="s">
        <v>1454</v>
      </c>
      <c r="F50" s="812"/>
      <c r="G50" s="812"/>
      <c r="H50" s="800"/>
      <c r="I50" s="812">
        <v>1</v>
      </c>
      <c r="J50" s="812">
        <v>0</v>
      </c>
      <c r="K50" s="800"/>
      <c r="L50" s="812">
        <v>1</v>
      </c>
      <c r="M50" s="813">
        <v>0</v>
      </c>
    </row>
    <row r="51" spans="1:13" ht="14.4" customHeight="1" x14ac:dyDescent="0.3">
      <c r="A51" s="794" t="s">
        <v>1529</v>
      </c>
      <c r="B51" s="795" t="s">
        <v>1449</v>
      </c>
      <c r="C51" s="795" t="s">
        <v>1692</v>
      </c>
      <c r="D51" s="795" t="s">
        <v>1546</v>
      </c>
      <c r="E51" s="795" t="s">
        <v>1693</v>
      </c>
      <c r="F51" s="812">
        <v>1</v>
      </c>
      <c r="G51" s="812">
        <v>33.549999999999997</v>
      </c>
      <c r="H51" s="800">
        <v>1</v>
      </c>
      <c r="I51" s="812"/>
      <c r="J51" s="812"/>
      <c r="K51" s="800">
        <v>0</v>
      </c>
      <c r="L51" s="812">
        <v>1</v>
      </c>
      <c r="M51" s="813">
        <v>33.549999999999997</v>
      </c>
    </row>
    <row r="52" spans="1:13" ht="14.4" customHeight="1" x14ac:dyDescent="0.3">
      <c r="A52" s="794" t="s">
        <v>1530</v>
      </c>
      <c r="B52" s="795" t="s">
        <v>1411</v>
      </c>
      <c r="C52" s="795" t="s">
        <v>1540</v>
      </c>
      <c r="D52" s="795" t="s">
        <v>977</v>
      </c>
      <c r="E52" s="795" t="s">
        <v>1414</v>
      </c>
      <c r="F52" s="812"/>
      <c r="G52" s="812"/>
      <c r="H52" s="800">
        <v>0</v>
      </c>
      <c r="I52" s="812">
        <v>53</v>
      </c>
      <c r="J52" s="812">
        <v>26017.169999999987</v>
      </c>
      <c r="K52" s="800">
        <v>1</v>
      </c>
      <c r="L52" s="812">
        <v>53</v>
      </c>
      <c r="M52" s="813">
        <v>26017.169999999987</v>
      </c>
    </row>
    <row r="53" spans="1:13" ht="14.4" customHeight="1" x14ac:dyDescent="0.3">
      <c r="A53" s="794" t="s">
        <v>1530</v>
      </c>
      <c r="B53" s="795" t="s">
        <v>1411</v>
      </c>
      <c r="C53" s="795" t="s">
        <v>1552</v>
      </c>
      <c r="D53" s="795" t="s">
        <v>977</v>
      </c>
      <c r="E53" s="795" t="s">
        <v>1413</v>
      </c>
      <c r="F53" s="812"/>
      <c r="G53" s="812"/>
      <c r="H53" s="800">
        <v>0</v>
      </c>
      <c r="I53" s="812">
        <v>36</v>
      </c>
      <c r="J53" s="812">
        <v>26507.880000000005</v>
      </c>
      <c r="K53" s="800">
        <v>1</v>
      </c>
      <c r="L53" s="812">
        <v>36</v>
      </c>
      <c r="M53" s="813">
        <v>26507.880000000005</v>
      </c>
    </row>
    <row r="54" spans="1:13" ht="14.4" customHeight="1" x14ac:dyDescent="0.3">
      <c r="A54" s="794" t="s">
        <v>1530</v>
      </c>
      <c r="B54" s="795" t="s">
        <v>1435</v>
      </c>
      <c r="C54" s="795" t="s">
        <v>1064</v>
      </c>
      <c r="D54" s="795" t="s">
        <v>971</v>
      </c>
      <c r="E54" s="795" t="s">
        <v>1437</v>
      </c>
      <c r="F54" s="812"/>
      <c r="G54" s="812"/>
      <c r="H54" s="800">
        <v>0</v>
      </c>
      <c r="I54" s="812">
        <v>2</v>
      </c>
      <c r="J54" s="812">
        <v>308.72000000000003</v>
      </c>
      <c r="K54" s="800">
        <v>1</v>
      </c>
      <c r="L54" s="812">
        <v>2</v>
      </c>
      <c r="M54" s="813">
        <v>308.72000000000003</v>
      </c>
    </row>
    <row r="55" spans="1:13" ht="14.4" customHeight="1" x14ac:dyDescent="0.3">
      <c r="A55" s="794" t="s">
        <v>1530</v>
      </c>
      <c r="B55" s="795" t="s">
        <v>1435</v>
      </c>
      <c r="C55" s="795" t="s">
        <v>1901</v>
      </c>
      <c r="D55" s="795" t="s">
        <v>1902</v>
      </c>
      <c r="E55" s="795" t="s">
        <v>1903</v>
      </c>
      <c r="F55" s="812"/>
      <c r="G55" s="812"/>
      <c r="H55" s="800">
        <v>0</v>
      </c>
      <c r="I55" s="812">
        <v>1</v>
      </c>
      <c r="J55" s="812">
        <v>111.22</v>
      </c>
      <c r="K55" s="800">
        <v>1</v>
      </c>
      <c r="L55" s="812">
        <v>1</v>
      </c>
      <c r="M55" s="813">
        <v>111.22</v>
      </c>
    </row>
    <row r="56" spans="1:13" ht="14.4" customHeight="1" x14ac:dyDescent="0.3">
      <c r="A56" s="794" t="s">
        <v>1530</v>
      </c>
      <c r="B56" s="795" t="s">
        <v>1446</v>
      </c>
      <c r="C56" s="795" t="s">
        <v>1574</v>
      </c>
      <c r="D56" s="795" t="s">
        <v>622</v>
      </c>
      <c r="E56" s="795" t="s">
        <v>1448</v>
      </c>
      <c r="F56" s="812"/>
      <c r="G56" s="812"/>
      <c r="H56" s="800">
        <v>0</v>
      </c>
      <c r="I56" s="812">
        <v>2</v>
      </c>
      <c r="J56" s="812">
        <v>96.84</v>
      </c>
      <c r="K56" s="800">
        <v>1</v>
      </c>
      <c r="L56" s="812">
        <v>2</v>
      </c>
      <c r="M56" s="813">
        <v>96.84</v>
      </c>
    </row>
    <row r="57" spans="1:13" ht="14.4" customHeight="1" x14ac:dyDescent="0.3">
      <c r="A57" s="794" t="s">
        <v>1530</v>
      </c>
      <c r="B57" s="795" t="s">
        <v>1452</v>
      </c>
      <c r="C57" s="795" t="s">
        <v>929</v>
      </c>
      <c r="D57" s="795" t="s">
        <v>1453</v>
      </c>
      <c r="E57" s="795" t="s">
        <v>1454</v>
      </c>
      <c r="F57" s="812"/>
      <c r="G57" s="812"/>
      <c r="H57" s="800"/>
      <c r="I57" s="812">
        <v>98</v>
      </c>
      <c r="J57" s="812">
        <v>0</v>
      </c>
      <c r="K57" s="800"/>
      <c r="L57" s="812">
        <v>98</v>
      </c>
      <c r="M57" s="813">
        <v>0</v>
      </c>
    </row>
    <row r="58" spans="1:13" ht="14.4" customHeight="1" x14ac:dyDescent="0.3">
      <c r="A58" s="794" t="s">
        <v>1530</v>
      </c>
      <c r="B58" s="795" t="s">
        <v>1460</v>
      </c>
      <c r="C58" s="795" t="s">
        <v>1777</v>
      </c>
      <c r="D58" s="795" t="s">
        <v>1776</v>
      </c>
      <c r="E58" s="795" t="s">
        <v>1462</v>
      </c>
      <c r="F58" s="812">
        <v>2</v>
      </c>
      <c r="G58" s="812">
        <v>0</v>
      </c>
      <c r="H58" s="800"/>
      <c r="I58" s="812"/>
      <c r="J58" s="812"/>
      <c r="K58" s="800"/>
      <c r="L58" s="812">
        <v>2</v>
      </c>
      <c r="M58" s="813">
        <v>0</v>
      </c>
    </row>
    <row r="59" spans="1:13" ht="14.4" customHeight="1" x14ac:dyDescent="0.3">
      <c r="A59" s="794" t="s">
        <v>1530</v>
      </c>
      <c r="B59" s="795" t="s">
        <v>1449</v>
      </c>
      <c r="C59" s="795" t="s">
        <v>1648</v>
      </c>
      <c r="D59" s="795" t="s">
        <v>1546</v>
      </c>
      <c r="E59" s="795" t="s">
        <v>1649</v>
      </c>
      <c r="F59" s="812">
        <v>3</v>
      </c>
      <c r="G59" s="812">
        <v>50.31</v>
      </c>
      <c r="H59" s="800">
        <v>1</v>
      </c>
      <c r="I59" s="812"/>
      <c r="J59" s="812"/>
      <c r="K59" s="800">
        <v>0</v>
      </c>
      <c r="L59" s="812">
        <v>3</v>
      </c>
      <c r="M59" s="813">
        <v>50.31</v>
      </c>
    </row>
    <row r="60" spans="1:13" ht="14.4" customHeight="1" x14ac:dyDescent="0.3">
      <c r="A60" s="794" t="s">
        <v>1530</v>
      </c>
      <c r="B60" s="795" t="s">
        <v>1449</v>
      </c>
      <c r="C60" s="795" t="s">
        <v>1545</v>
      </c>
      <c r="D60" s="795" t="s">
        <v>1546</v>
      </c>
      <c r="E60" s="795" t="s">
        <v>1547</v>
      </c>
      <c r="F60" s="812">
        <v>6</v>
      </c>
      <c r="G60" s="812">
        <v>301.92</v>
      </c>
      <c r="H60" s="800">
        <v>1</v>
      </c>
      <c r="I60" s="812"/>
      <c r="J60" s="812"/>
      <c r="K60" s="800">
        <v>0</v>
      </c>
      <c r="L60" s="812">
        <v>6</v>
      </c>
      <c r="M60" s="813">
        <v>301.92</v>
      </c>
    </row>
    <row r="61" spans="1:13" ht="14.4" customHeight="1" x14ac:dyDescent="0.3">
      <c r="A61" s="794" t="s">
        <v>1531</v>
      </c>
      <c r="B61" s="795" t="s">
        <v>1411</v>
      </c>
      <c r="C61" s="795" t="s">
        <v>1540</v>
      </c>
      <c r="D61" s="795" t="s">
        <v>977</v>
      </c>
      <c r="E61" s="795" t="s">
        <v>1414</v>
      </c>
      <c r="F61" s="812"/>
      <c r="G61" s="812"/>
      <c r="H61" s="800">
        <v>0</v>
      </c>
      <c r="I61" s="812">
        <v>4</v>
      </c>
      <c r="J61" s="812">
        <v>1963.56</v>
      </c>
      <c r="K61" s="800">
        <v>1</v>
      </c>
      <c r="L61" s="812">
        <v>4</v>
      </c>
      <c r="M61" s="813">
        <v>1963.56</v>
      </c>
    </row>
    <row r="62" spans="1:13" ht="14.4" customHeight="1" x14ac:dyDescent="0.3">
      <c r="A62" s="794" t="s">
        <v>1531</v>
      </c>
      <c r="B62" s="795" t="s">
        <v>1411</v>
      </c>
      <c r="C62" s="795" t="s">
        <v>1552</v>
      </c>
      <c r="D62" s="795" t="s">
        <v>977</v>
      </c>
      <c r="E62" s="795" t="s">
        <v>1413</v>
      </c>
      <c r="F62" s="812"/>
      <c r="G62" s="812"/>
      <c r="H62" s="800">
        <v>0</v>
      </c>
      <c r="I62" s="812">
        <v>11</v>
      </c>
      <c r="J62" s="812">
        <v>8099.63</v>
      </c>
      <c r="K62" s="800">
        <v>1</v>
      </c>
      <c r="L62" s="812">
        <v>11</v>
      </c>
      <c r="M62" s="813">
        <v>8099.63</v>
      </c>
    </row>
    <row r="63" spans="1:13" ht="14.4" customHeight="1" x14ac:dyDescent="0.3">
      <c r="A63" s="794" t="s">
        <v>1531</v>
      </c>
      <c r="B63" s="795" t="s">
        <v>1411</v>
      </c>
      <c r="C63" s="795" t="s">
        <v>1571</v>
      </c>
      <c r="D63" s="795" t="s">
        <v>977</v>
      </c>
      <c r="E63" s="795" t="s">
        <v>1572</v>
      </c>
      <c r="F63" s="812"/>
      <c r="G63" s="812"/>
      <c r="H63" s="800">
        <v>0</v>
      </c>
      <c r="I63" s="812">
        <v>1</v>
      </c>
      <c r="J63" s="812">
        <v>923.74</v>
      </c>
      <c r="K63" s="800">
        <v>1</v>
      </c>
      <c r="L63" s="812">
        <v>1</v>
      </c>
      <c r="M63" s="813">
        <v>923.74</v>
      </c>
    </row>
    <row r="64" spans="1:13" ht="14.4" customHeight="1" x14ac:dyDescent="0.3">
      <c r="A64" s="794" t="s">
        <v>1531</v>
      </c>
      <c r="B64" s="795" t="s">
        <v>1411</v>
      </c>
      <c r="C64" s="795" t="s">
        <v>982</v>
      </c>
      <c r="D64" s="795" t="s">
        <v>977</v>
      </c>
      <c r="E64" s="795" t="s">
        <v>1413</v>
      </c>
      <c r="F64" s="812"/>
      <c r="G64" s="812"/>
      <c r="H64" s="800">
        <v>0</v>
      </c>
      <c r="I64" s="812">
        <v>6</v>
      </c>
      <c r="J64" s="812">
        <v>4417.9800000000005</v>
      </c>
      <c r="K64" s="800">
        <v>1</v>
      </c>
      <c r="L64" s="812">
        <v>6</v>
      </c>
      <c r="M64" s="813">
        <v>4417.9800000000005</v>
      </c>
    </row>
    <row r="65" spans="1:13" ht="14.4" customHeight="1" x14ac:dyDescent="0.3">
      <c r="A65" s="794" t="s">
        <v>1531</v>
      </c>
      <c r="B65" s="795" t="s">
        <v>1435</v>
      </c>
      <c r="C65" s="795" t="s">
        <v>1064</v>
      </c>
      <c r="D65" s="795" t="s">
        <v>971</v>
      </c>
      <c r="E65" s="795" t="s">
        <v>1437</v>
      </c>
      <c r="F65" s="812"/>
      <c r="G65" s="812"/>
      <c r="H65" s="800">
        <v>0</v>
      </c>
      <c r="I65" s="812">
        <v>1</v>
      </c>
      <c r="J65" s="812">
        <v>154.36000000000001</v>
      </c>
      <c r="K65" s="800">
        <v>1</v>
      </c>
      <c r="L65" s="812">
        <v>1</v>
      </c>
      <c r="M65" s="813">
        <v>154.36000000000001</v>
      </c>
    </row>
    <row r="66" spans="1:13" ht="14.4" customHeight="1" x14ac:dyDescent="0.3">
      <c r="A66" s="794" t="s">
        <v>1531</v>
      </c>
      <c r="B66" s="795" t="s">
        <v>1435</v>
      </c>
      <c r="C66" s="795" t="s">
        <v>1068</v>
      </c>
      <c r="D66" s="795" t="s">
        <v>1438</v>
      </c>
      <c r="E66" s="795" t="s">
        <v>1439</v>
      </c>
      <c r="F66" s="812"/>
      <c r="G66" s="812"/>
      <c r="H66" s="800">
        <v>0</v>
      </c>
      <c r="I66" s="812">
        <v>1</v>
      </c>
      <c r="J66" s="812">
        <v>149.52000000000001</v>
      </c>
      <c r="K66" s="800">
        <v>1</v>
      </c>
      <c r="L66" s="812">
        <v>1</v>
      </c>
      <c r="M66" s="813">
        <v>149.52000000000001</v>
      </c>
    </row>
    <row r="67" spans="1:13" ht="14.4" customHeight="1" x14ac:dyDescent="0.3">
      <c r="A67" s="794" t="s">
        <v>1531</v>
      </c>
      <c r="B67" s="795" t="s">
        <v>1452</v>
      </c>
      <c r="C67" s="795" t="s">
        <v>929</v>
      </c>
      <c r="D67" s="795" t="s">
        <v>1453</v>
      </c>
      <c r="E67" s="795" t="s">
        <v>1454</v>
      </c>
      <c r="F67" s="812"/>
      <c r="G67" s="812"/>
      <c r="H67" s="800"/>
      <c r="I67" s="812">
        <v>6</v>
      </c>
      <c r="J67" s="812">
        <v>0</v>
      </c>
      <c r="K67" s="800"/>
      <c r="L67" s="812">
        <v>6</v>
      </c>
      <c r="M67" s="813">
        <v>0</v>
      </c>
    </row>
    <row r="68" spans="1:13" ht="14.4" customHeight="1" x14ac:dyDescent="0.3">
      <c r="A68" s="794" t="s">
        <v>1532</v>
      </c>
      <c r="B68" s="795" t="s">
        <v>1411</v>
      </c>
      <c r="C68" s="795" t="s">
        <v>1670</v>
      </c>
      <c r="D68" s="795" t="s">
        <v>977</v>
      </c>
      <c r="E68" s="795" t="s">
        <v>1671</v>
      </c>
      <c r="F68" s="812"/>
      <c r="G68" s="812"/>
      <c r="H68" s="800">
        <v>0</v>
      </c>
      <c r="I68" s="812">
        <v>5</v>
      </c>
      <c r="J68" s="812">
        <v>1840.8000000000002</v>
      </c>
      <c r="K68" s="800">
        <v>1</v>
      </c>
      <c r="L68" s="812">
        <v>5</v>
      </c>
      <c r="M68" s="813">
        <v>1840.8000000000002</v>
      </c>
    </row>
    <row r="69" spans="1:13" ht="14.4" customHeight="1" x14ac:dyDescent="0.3">
      <c r="A69" s="794" t="s">
        <v>1532</v>
      </c>
      <c r="B69" s="795" t="s">
        <v>1411</v>
      </c>
      <c r="C69" s="795" t="s">
        <v>1540</v>
      </c>
      <c r="D69" s="795" t="s">
        <v>977</v>
      </c>
      <c r="E69" s="795" t="s">
        <v>1414</v>
      </c>
      <c r="F69" s="812"/>
      <c r="G69" s="812"/>
      <c r="H69" s="800">
        <v>0</v>
      </c>
      <c r="I69" s="812">
        <v>12</v>
      </c>
      <c r="J69" s="812">
        <v>5890.68</v>
      </c>
      <c r="K69" s="800">
        <v>1</v>
      </c>
      <c r="L69" s="812">
        <v>12</v>
      </c>
      <c r="M69" s="813">
        <v>5890.68</v>
      </c>
    </row>
    <row r="70" spans="1:13" ht="14.4" customHeight="1" x14ac:dyDescent="0.3">
      <c r="A70" s="794" t="s">
        <v>1532</v>
      </c>
      <c r="B70" s="795" t="s">
        <v>1411</v>
      </c>
      <c r="C70" s="795" t="s">
        <v>1964</v>
      </c>
      <c r="D70" s="795" t="s">
        <v>977</v>
      </c>
      <c r="E70" s="795" t="s">
        <v>1965</v>
      </c>
      <c r="F70" s="812"/>
      <c r="G70" s="812"/>
      <c r="H70" s="800">
        <v>0</v>
      </c>
      <c r="I70" s="812">
        <v>2</v>
      </c>
      <c r="J70" s="812">
        <v>294.52</v>
      </c>
      <c r="K70" s="800">
        <v>1</v>
      </c>
      <c r="L70" s="812">
        <v>2</v>
      </c>
      <c r="M70" s="813">
        <v>294.52</v>
      </c>
    </row>
    <row r="71" spans="1:13" ht="14.4" customHeight="1" x14ac:dyDescent="0.3">
      <c r="A71" s="794" t="s">
        <v>1532</v>
      </c>
      <c r="B71" s="795" t="s">
        <v>1411</v>
      </c>
      <c r="C71" s="795" t="s">
        <v>1552</v>
      </c>
      <c r="D71" s="795" t="s">
        <v>977</v>
      </c>
      <c r="E71" s="795" t="s">
        <v>1413</v>
      </c>
      <c r="F71" s="812"/>
      <c r="G71" s="812"/>
      <c r="H71" s="800">
        <v>0</v>
      </c>
      <c r="I71" s="812">
        <v>6</v>
      </c>
      <c r="J71" s="812">
        <v>4417.9800000000005</v>
      </c>
      <c r="K71" s="800">
        <v>1</v>
      </c>
      <c r="L71" s="812">
        <v>6</v>
      </c>
      <c r="M71" s="813">
        <v>4417.9800000000005</v>
      </c>
    </row>
    <row r="72" spans="1:13" ht="14.4" customHeight="1" x14ac:dyDescent="0.3">
      <c r="A72" s="794" t="s">
        <v>1532</v>
      </c>
      <c r="B72" s="795" t="s">
        <v>1411</v>
      </c>
      <c r="C72" s="795" t="s">
        <v>1571</v>
      </c>
      <c r="D72" s="795" t="s">
        <v>977</v>
      </c>
      <c r="E72" s="795" t="s">
        <v>1572</v>
      </c>
      <c r="F72" s="812"/>
      <c r="G72" s="812"/>
      <c r="H72" s="800">
        <v>0</v>
      </c>
      <c r="I72" s="812">
        <v>1</v>
      </c>
      <c r="J72" s="812">
        <v>923.74</v>
      </c>
      <c r="K72" s="800">
        <v>1</v>
      </c>
      <c r="L72" s="812">
        <v>1</v>
      </c>
      <c r="M72" s="813">
        <v>923.74</v>
      </c>
    </row>
    <row r="73" spans="1:13" ht="14.4" customHeight="1" x14ac:dyDescent="0.3">
      <c r="A73" s="794" t="s">
        <v>1532</v>
      </c>
      <c r="B73" s="795" t="s">
        <v>1435</v>
      </c>
      <c r="C73" s="795" t="s">
        <v>1064</v>
      </c>
      <c r="D73" s="795" t="s">
        <v>971</v>
      </c>
      <c r="E73" s="795" t="s">
        <v>1437</v>
      </c>
      <c r="F73" s="812"/>
      <c r="G73" s="812"/>
      <c r="H73" s="800">
        <v>0</v>
      </c>
      <c r="I73" s="812">
        <v>1</v>
      </c>
      <c r="J73" s="812">
        <v>154.36000000000001</v>
      </c>
      <c r="K73" s="800">
        <v>1</v>
      </c>
      <c r="L73" s="812">
        <v>1</v>
      </c>
      <c r="M73" s="813">
        <v>154.36000000000001</v>
      </c>
    </row>
    <row r="74" spans="1:13" ht="14.4" customHeight="1" x14ac:dyDescent="0.3">
      <c r="A74" s="794" t="s">
        <v>1532</v>
      </c>
      <c r="B74" s="795" t="s">
        <v>1452</v>
      </c>
      <c r="C74" s="795" t="s">
        <v>929</v>
      </c>
      <c r="D74" s="795" t="s">
        <v>1453</v>
      </c>
      <c r="E74" s="795" t="s">
        <v>1454</v>
      </c>
      <c r="F74" s="812"/>
      <c r="G74" s="812"/>
      <c r="H74" s="800"/>
      <c r="I74" s="812">
        <v>7</v>
      </c>
      <c r="J74" s="812">
        <v>0</v>
      </c>
      <c r="K74" s="800"/>
      <c r="L74" s="812">
        <v>7</v>
      </c>
      <c r="M74" s="813">
        <v>0</v>
      </c>
    </row>
    <row r="75" spans="1:13" ht="14.4" customHeight="1" x14ac:dyDescent="0.3">
      <c r="A75" s="794" t="s">
        <v>1533</v>
      </c>
      <c r="B75" s="795" t="s">
        <v>1411</v>
      </c>
      <c r="C75" s="795" t="s">
        <v>1540</v>
      </c>
      <c r="D75" s="795" t="s">
        <v>977</v>
      </c>
      <c r="E75" s="795" t="s">
        <v>1414</v>
      </c>
      <c r="F75" s="812"/>
      <c r="G75" s="812"/>
      <c r="H75" s="800">
        <v>0</v>
      </c>
      <c r="I75" s="812">
        <v>8</v>
      </c>
      <c r="J75" s="812">
        <v>3927.12</v>
      </c>
      <c r="K75" s="800">
        <v>1</v>
      </c>
      <c r="L75" s="812">
        <v>8</v>
      </c>
      <c r="M75" s="813">
        <v>3927.12</v>
      </c>
    </row>
    <row r="76" spans="1:13" ht="14.4" customHeight="1" x14ac:dyDescent="0.3">
      <c r="A76" s="794" t="s">
        <v>1533</v>
      </c>
      <c r="B76" s="795" t="s">
        <v>1411</v>
      </c>
      <c r="C76" s="795" t="s">
        <v>1964</v>
      </c>
      <c r="D76" s="795" t="s">
        <v>977</v>
      </c>
      <c r="E76" s="795" t="s">
        <v>1965</v>
      </c>
      <c r="F76" s="812"/>
      <c r="G76" s="812"/>
      <c r="H76" s="800">
        <v>0</v>
      </c>
      <c r="I76" s="812">
        <v>3</v>
      </c>
      <c r="J76" s="812">
        <v>441.78</v>
      </c>
      <c r="K76" s="800">
        <v>1</v>
      </c>
      <c r="L76" s="812">
        <v>3</v>
      </c>
      <c r="M76" s="813">
        <v>441.78</v>
      </c>
    </row>
    <row r="77" spans="1:13" ht="14.4" customHeight="1" x14ac:dyDescent="0.3">
      <c r="A77" s="794" t="s">
        <v>1533</v>
      </c>
      <c r="B77" s="795" t="s">
        <v>1411</v>
      </c>
      <c r="C77" s="795" t="s">
        <v>1552</v>
      </c>
      <c r="D77" s="795" t="s">
        <v>977</v>
      </c>
      <c r="E77" s="795" t="s">
        <v>1413</v>
      </c>
      <c r="F77" s="812"/>
      <c r="G77" s="812"/>
      <c r="H77" s="800">
        <v>0</v>
      </c>
      <c r="I77" s="812">
        <v>3</v>
      </c>
      <c r="J77" s="812">
        <v>2208.9900000000002</v>
      </c>
      <c r="K77" s="800">
        <v>1</v>
      </c>
      <c r="L77" s="812">
        <v>3</v>
      </c>
      <c r="M77" s="813">
        <v>2208.9900000000002</v>
      </c>
    </row>
    <row r="78" spans="1:13" ht="14.4" customHeight="1" x14ac:dyDescent="0.3">
      <c r="A78" s="794" t="s">
        <v>1533</v>
      </c>
      <c r="B78" s="795" t="s">
        <v>1435</v>
      </c>
      <c r="C78" s="795" t="s">
        <v>1068</v>
      </c>
      <c r="D78" s="795" t="s">
        <v>1438</v>
      </c>
      <c r="E78" s="795" t="s">
        <v>1439</v>
      </c>
      <c r="F78" s="812"/>
      <c r="G78" s="812"/>
      <c r="H78" s="800">
        <v>0</v>
      </c>
      <c r="I78" s="812">
        <v>1</v>
      </c>
      <c r="J78" s="812">
        <v>149.52000000000001</v>
      </c>
      <c r="K78" s="800">
        <v>1</v>
      </c>
      <c r="L78" s="812">
        <v>1</v>
      </c>
      <c r="M78" s="813">
        <v>149.52000000000001</v>
      </c>
    </row>
    <row r="79" spans="1:13" ht="14.4" customHeight="1" x14ac:dyDescent="0.3">
      <c r="A79" s="794" t="s">
        <v>1533</v>
      </c>
      <c r="B79" s="795" t="s">
        <v>2066</v>
      </c>
      <c r="C79" s="795" t="s">
        <v>1991</v>
      </c>
      <c r="D79" s="795" t="s">
        <v>1812</v>
      </c>
      <c r="E79" s="795" t="s">
        <v>1992</v>
      </c>
      <c r="F79" s="812"/>
      <c r="G79" s="812"/>
      <c r="H79" s="800">
        <v>0</v>
      </c>
      <c r="I79" s="812">
        <v>1</v>
      </c>
      <c r="J79" s="812">
        <v>141.09</v>
      </c>
      <c r="K79" s="800">
        <v>1</v>
      </c>
      <c r="L79" s="812">
        <v>1</v>
      </c>
      <c r="M79" s="813">
        <v>141.09</v>
      </c>
    </row>
    <row r="80" spans="1:13" ht="14.4" customHeight="1" x14ac:dyDescent="0.3">
      <c r="A80" s="794" t="s">
        <v>1534</v>
      </c>
      <c r="B80" s="795" t="s">
        <v>1411</v>
      </c>
      <c r="C80" s="795" t="s">
        <v>1540</v>
      </c>
      <c r="D80" s="795" t="s">
        <v>977</v>
      </c>
      <c r="E80" s="795" t="s">
        <v>1414</v>
      </c>
      <c r="F80" s="812"/>
      <c r="G80" s="812"/>
      <c r="H80" s="800">
        <v>0</v>
      </c>
      <c r="I80" s="812">
        <v>9</v>
      </c>
      <c r="J80" s="812">
        <v>4418.01</v>
      </c>
      <c r="K80" s="800">
        <v>1</v>
      </c>
      <c r="L80" s="812">
        <v>9</v>
      </c>
      <c r="M80" s="813">
        <v>4418.01</v>
      </c>
    </row>
    <row r="81" spans="1:13" ht="14.4" customHeight="1" x14ac:dyDescent="0.3">
      <c r="A81" s="794" t="s">
        <v>1534</v>
      </c>
      <c r="B81" s="795" t="s">
        <v>1411</v>
      </c>
      <c r="C81" s="795" t="s">
        <v>1552</v>
      </c>
      <c r="D81" s="795" t="s">
        <v>977</v>
      </c>
      <c r="E81" s="795" t="s">
        <v>1413</v>
      </c>
      <c r="F81" s="812"/>
      <c r="G81" s="812"/>
      <c r="H81" s="800">
        <v>0</v>
      </c>
      <c r="I81" s="812">
        <v>4</v>
      </c>
      <c r="J81" s="812">
        <v>2945.32</v>
      </c>
      <c r="K81" s="800">
        <v>1</v>
      </c>
      <c r="L81" s="812">
        <v>4</v>
      </c>
      <c r="M81" s="813">
        <v>2945.32</v>
      </c>
    </row>
    <row r="82" spans="1:13" ht="14.4" customHeight="1" x14ac:dyDescent="0.3">
      <c r="A82" s="794" t="s">
        <v>1534</v>
      </c>
      <c r="B82" s="795" t="s">
        <v>2070</v>
      </c>
      <c r="C82" s="795" t="s">
        <v>2021</v>
      </c>
      <c r="D82" s="795" t="s">
        <v>2022</v>
      </c>
      <c r="E82" s="795" t="s">
        <v>2023</v>
      </c>
      <c r="F82" s="812"/>
      <c r="G82" s="812"/>
      <c r="H82" s="800">
        <v>0</v>
      </c>
      <c r="I82" s="812">
        <v>1</v>
      </c>
      <c r="J82" s="812">
        <v>351.51</v>
      </c>
      <c r="K82" s="800">
        <v>1</v>
      </c>
      <c r="L82" s="812">
        <v>1</v>
      </c>
      <c r="M82" s="813">
        <v>351.51</v>
      </c>
    </row>
    <row r="83" spans="1:13" ht="14.4" customHeight="1" x14ac:dyDescent="0.3">
      <c r="A83" s="794" t="s">
        <v>1534</v>
      </c>
      <c r="B83" s="795" t="s">
        <v>1420</v>
      </c>
      <c r="C83" s="795" t="s">
        <v>2025</v>
      </c>
      <c r="D83" s="795" t="s">
        <v>1421</v>
      </c>
      <c r="E83" s="795" t="s">
        <v>2026</v>
      </c>
      <c r="F83" s="812"/>
      <c r="G83" s="812"/>
      <c r="H83" s="800"/>
      <c r="I83" s="812">
        <v>2</v>
      </c>
      <c r="J83" s="812">
        <v>0</v>
      </c>
      <c r="K83" s="800"/>
      <c r="L83" s="812">
        <v>2</v>
      </c>
      <c r="M83" s="813">
        <v>0</v>
      </c>
    </row>
    <row r="84" spans="1:13" ht="14.4" customHeight="1" x14ac:dyDescent="0.3">
      <c r="A84" s="794" t="s">
        <v>1534</v>
      </c>
      <c r="B84" s="795" t="s">
        <v>2066</v>
      </c>
      <c r="C84" s="795" t="s">
        <v>1811</v>
      </c>
      <c r="D84" s="795" t="s">
        <v>1812</v>
      </c>
      <c r="E84" s="795" t="s">
        <v>1813</v>
      </c>
      <c r="F84" s="812"/>
      <c r="G84" s="812"/>
      <c r="H84" s="800">
        <v>0</v>
      </c>
      <c r="I84" s="812">
        <v>1</v>
      </c>
      <c r="J84" s="812">
        <v>70.540000000000006</v>
      </c>
      <c r="K84" s="800">
        <v>1</v>
      </c>
      <c r="L84" s="812">
        <v>1</v>
      </c>
      <c r="M84" s="813">
        <v>70.540000000000006</v>
      </c>
    </row>
    <row r="85" spans="1:13" ht="14.4" customHeight="1" x14ac:dyDescent="0.3">
      <c r="A85" s="794" t="s">
        <v>1534</v>
      </c>
      <c r="B85" s="795" t="s">
        <v>1496</v>
      </c>
      <c r="C85" s="795" t="s">
        <v>2018</v>
      </c>
      <c r="D85" s="795" t="s">
        <v>1323</v>
      </c>
      <c r="E85" s="795" t="s">
        <v>2019</v>
      </c>
      <c r="F85" s="812"/>
      <c r="G85" s="812"/>
      <c r="H85" s="800">
        <v>0</v>
      </c>
      <c r="I85" s="812">
        <v>2</v>
      </c>
      <c r="J85" s="812">
        <v>387.36</v>
      </c>
      <c r="K85" s="800">
        <v>1</v>
      </c>
      <c r="L85" s="812">
        <v>2</v>
      </c>
      <c r="M85" s="813">
        <v>387.36</v>
      </c>
    </row>
    <row r="86" spans="1:13" ht="14.4" customHeight="1" x14ac:dyDescent="0.3">
      <c r="A86" s="794" t="s">
        <v>1534</v>
      </c>
      <c r="B86" s="795" t="s">
        <v>1446</v>
      </c>
      <c r="C86" s="795" t="s">
        <v>1574</v>
      </c>
      <c r="D86" s="795" t="s">
        <v>622</v>
      </c>
      <c r="E86" s="795" t="s">
        <v>1448</v>
      </c>
      <c r="F86" s="812"/>
      <c r="G86" s="812"/>
      <c r="H86" s="800">
        <v>0</v>
      </c>
      <c r="I86" s="812">
        <v>1</v>
      </c>
      <c r="J86" s="812">
        <v>48.42</v>
      </c>
      <c r="K86" s="800">
        <v>1</v>
      </c>
      <c r="L86" s="812">
        <v>1</v>
      </c>
      <c r="M86" s="813">
        <v>48.42</v>
      </c>
    </row>
    <row r="87" spans="1:13" ht="14.4" customHeight="1" x14ac:dyDescent="0.3">
      <c r="A87" s="794" t="s">
        <v>1534</v>
      </c>
      <c r="B87" s="795" t="s">
        <v>1452</v>
      </c>
      <c r="C87" s="795" t="s">
        <v>929</v>
      </c>
      <c r="D87" s="795" t="s">
        <v>1453</v>
      </c>
      <c r="E87" s="795" t="s">
        <v>1454</v>
      </c>
      <c r="F87" s="812"/>
      <c r="G87" s="812"/>
      <c r="H87" s="800"/>
      <c r="I87" s="812">
        <v>6</v>
      </c>
      <c r="J87" s="812">
        <v>0</v>
      </c>
      <c r="K87" s="800"/>
      <c r="L87" s="812">
        <v>6</v>
      </c>
      <c r="M87" s="813">
        <v>0</v>
      </c>
    </row>
    <row r="88" spans="1:13" ht="14.4" customHeight="1" x14ac:dyDescent="0.3">
      <c r="A88" s="794" t="s">
        <v>1534</v>
      </c>
      <c r="B88" s="795" t="s">
        <v>1460</v>
      </c>
      <c r="C88" s="795" t="s">
        <v>1777</v>
      </c>
      <c r="D88" s="795" t="s">
        <v>1776</v>
      </c>
      <c r="E88" s="795" t="s">
        <v>1462</v>
      </c>
      <c r="F88" s="812">
        <v>2</v>
      </c>
      <c r="G88" s="812">
        <v>0</v>
      </c>
      <c r="H88" s="800"/>
      <c r="I88" s="812"/>
      <c r="J88" s="812"/>
      <c r="K88" s="800"/>
      <c r="L88" s="812">
        <v>2</v>
      </c>
      <c r="M88" s="813">
        <v>0</v>
      </c>
    </row>
    <row r="89" spans="1:13" ht="14.4" customHeight="1" x14ac:dyDescent="0.3">
      <c r="A89" s="794" t="s">
        <v>1534</v>
      </c>
      <c r="B89" s="795" t="s">
        <v>2071</v>
      </c>
      <c r="C89" s="795" t="s">
        <v>2012</v>
      </c>
      <c r="D89" s="795" t="s">
        <v>2013</v>
      </c>
      <c r="E89" s="795" t="s">
        <v>2014</v>
      </c>
      <c r="F89" s="812"/>
      <c r="G89" s="812"/>
      <c r="H89" s="800">
        <v>0</v>
      </c>
      <c r="I89" s="812">
        <v>1</v>
      </c>
      <c r="J89" s="812">
        <v>69.16</v>
      </c>
      <c r="K89" s="800">
        <v>1</v>
      </c>
      <c r="L89" s="812">
        <v>1</v>
      </c>
      <c r="M89" s="813">
        <v>69.16</v>
      </c>
    </row>
    <row r="90" spans="1:13" ht="14.4" customHeight="1" x14ac:dyDescent="0.3">
      <c r="A90" s="794" t="s">
        <v>1534</v>
      </c>
      <c r="B90" s="795" t="s">
        <v>2071</v>
      </c>
      <c r="C90" s="795" t="s">
        <v>2015</v>
      </c>
      <c r="D90" s="795" t="s">
        <v>2013</v>
      </c>
      <c r="E90" s="795" t="s">
        <v>2016</v>
      </c>
      <c r="F90" s="812"/>
      <c r="G90" s="812"/>
      <c r="H90" s="800">
        <v>0</v>
      </c>
      <c r="I90" s="812">
        <v>1</v>
      </c>
      <c r="J90" s="812">
        <v>207.45</v>
      </c>
      <c r="K90" s="800">
        <v>1</v>
      </c>
      <c r="L90" s="812">
        <v>1</v>
      </c>
      <c r="M90" s="813">
        <v>207.45</v>
      </c>
    </row>
    <row r="91" spans="1:13" ht="14.4" customHeight="1" x14ac:dyDescent="0.3">
      <c r="A91" s="794" t="s">
        <v>1535</v>
      </c>
      <c r="B91" s="795" t="s">
        <v>1411</v>
      </c>
      <c r="C91" s="795" t="s">
        <v>1670</v>
      </c>
      <c r="D91" s="795" t="s">
        <v>977</v>
      </c>
      <c r="E91" s="795" t="s">
        <v>1671</v>
      </c>
      <c r="F91" s="812"/>
      <c r="G91" s="812"/>
      <c r="H91" s="800">
        <v>0</v>
      </c>
      <c r="I91" s="812">
        <v>7</v>
      </c>
      <c r="J91" s="812">
        <v>2577.1200000000003</v>
      </c>
      <c r="K91" s="800">
        <v>1</v>
      </c>
      <c r="L91" s="812">
        <v>7</v>
      </c>
      <c r="M91" s="813">
        <v>2577.1200000000003</v>
      </c>
    </row>
    <row r="92" spans="1:13" ht="14.4" customHeight="1" x14ac:dyDescent="0.3">
      <c r="A92" s="794" t="s">
        <v>1535</v>
      </c>
      <c r="B92" s="795" t="s">
        <v>1411</v>
      </c>
      <c r="C92" s="795" t="s">
        <v>1540</v>
      </c>
      <c r="D92" s="795" t="s">
        <v>977</v>
      </c>
      <c r="E92" s="795" t="s">
        <v>1414</v>
      </c>
      <c r="F92" s="812"/>
      <c r="G92" s="812"/>
      <c r="H92" s="800">
        <v>0</v>
      </c>
      <c r="I92" s="812">
        <v>14</v>
      </c>
      <c r="J92" s="812">
        <v>6872.46</v>
      </c>
      <c r="K92" s="800">
        <v>1</v>
      </c>
      <c r="L92" s="812">
        <v>14</v>
      </c>
      <c r="M92" s="813">
        <v>6872.46</v>
      </c>
    </row>
    <row r="93" spans="1:13" ht="14.4" customHeight="1" x14ac:dyDescent="0.3">
      <c r="A93" s="794" t="s">
        <v>1535</v>
      </c>
      <c r="B93" s="795" t="s">
        <v>1411</v>
      </c>
      <c r="C93" s="795" t="s">
        <v>1552</v>
      </c>
      <c r="D93" s="795" t="s">
        <v>977</v>
      </c>
      <c r="E93" s="795" t="s">
        <v>1413</v>
      </c>
      <c r="F93" s="812"/>
      <c r="G93" s="812"/>
      <c r="H93" s="800">
        <v>0</v>
      </c>
      <c r="I93" s="812">
        <v>6</v>
      </c>
      <c r="J93" s="812">
        <v>4417.9800000000005</v>
      </c>
      <c r="K93" s="800">
        <v>1</v>
      </c>
      <c r="L93" s="812">
        <v>6</v>
      </c>
      <c r="M93" s="813">
        <v>4417.9800000000005</v>
      </c>
    </row>
    <row r="94" spans="1:13" ht="14.4" customHeight="1" x14ac:dyDescent="0.3">
      <c r="A94" s="794" t="s">
        <v>1535</v>
      </c>
      <c r="B94" s="795" t="s">
        <v>1435</v>
      </c>
      <c r="C94" s="795" t="s">
        <v>1068</v>
      </c>
      <c r="D94" s="795" t="s">
        <v>1438</v>
      </c>
      <c r="E94" s="795" t="s">
        <v>1439</v>
      </c>
      <c r="F94" s="812"/>
      <c r="G94" s="812"/>
      <c r="H94" s="800">
        <v>0</v>
      </c>
      <c r="I94" s="812">
        <v>1</v>
      </c>
      <c r="J94" s="812">
        <v>149.52000000000001</v>
      </c>
      <c r="K94" s="800">
        <v>1</v>
      </c>
      <c r="L94" s="812">
        <v>1</v>
      </c>
      <c r="M94" s="813">
        <v>149.52000000000001</v>
      </c>
    </row>
    <row r="95" spans="1:13" ht="14.4" customHeight="1" x14ac:dyDescent="0.3">
      <c r="A95" s="794" t="s">
        <v>1535</v>
      </c>
      <c r="B95" s="795" t="s">
        <v>1452</v>
      </c>
      <c r="C95" s="795" t="s">
        <v>929</v>
      </c>
      <c r="D95" s="795" t="s">
        <v>1453</v>
      </c>
      <c r="E95" s="795" t="s">
        <v>1454</v>
      </c>
      <c r="F95" s="812"/>
      <c r="G95" s="812"/>
      <c r="H95" s="800"/>
      <c r="I95" s="812">
        <v>15</v>
      </c>
      <c r="J95" s="812">
        <v>0</v>
      </c>
      <c r="K95" s="800"/>
      <c r="L95" s="812">
        <v>15</v>
      </c>
      <c r="M95" s="813">
        <v>0</v>
      </c>
    </row>
    <row r="96" spans="1:13" ht="14.4" customHeight="1" x14ac:dyDescent="0.3">
      <c r="A96" s="794" t="s">
        <v>1536</v>
      </c>
      <c r="B96" s="795" t="s">
        <v>1411</v>
      </c>
      <c r="C96" s="795" t="s">
        <v>1540</v>
      </c>
      <c r="D96" s="795" t="s">
        <v>977</v>
      </c>
      <c r="E96" s="795" t="s">
        <v>1414</v>
      </c>
      <c r="F96" s="812"/>
      <c r="G96" s="812"/>
      <c r="H96" s="800">
        <v>0</v>
      </c>
      <c r="I96" s="812">
        <v>17</v>
      </c>
      <c r="J96" s="812">
        <v>8345.130000000001</v>
      </c>
      <c r="K96" s="800">
        <v>1</v>
      </c>
      <c r="L96" s="812">
        <v>17</v>
      </c>
      <c r="M96" s="813">
        <v>8345.130000000001</v>
      </c>
    </row>
    <row r="97" spans="1:13" ht="14.4" customHeight="1" x14ac:dyDescent="0.3">
      <c r="A97" s="794" t="s">
        <v>1536</v>
      </c>
      <c r="B97" s="795" t="s">
        <v>1411</v>
      </c>
      <c r="C97" s="795" t="s">
        <v>1552</v>
      </c>
      <c r="D97" s="795" t="s">
        <v>977</v>
      </c>
      <c r="E97" s="795" t="s">
        <v>1413</v>
      </c>
      <c r="F97" s="812"/>
      <c r="G97" s="812"/>
      <c r="H97" s="800">
        <v>0</v>
      </c>
      <c r="I97" s="812">
        <v>16</v>
      </c>
      <c r="J97" s="812">
        <v>11781.28</v>
      </c>
      <c r="K97" s="800">
        <v>1</v>
      </c>
      <c r="L97" s="812">
        <v>16</v>
      </c>
      <c r="M97" s="813">
        <v>11781.28</v>
      </c>
    </row>
    <row r="98" spans="1:13" ht="14.4" customHeight="1" x14ac:dyDescent="0.3">
      <c r="A98" s="794" t="s">
        <v>1536</v>
      </c>
      <c r="B98" s="795" t="s">
        <v>1420</v>
      </c>
      <c r="C98" s="795" t="s">
        <v>2025</v>
      </c>
      <c r="D98" s="795" t="s">
        <v>1421</v>
      </c>
      <c r="E98" s="795" t="s">
        <v>2026</v>
      </c>
      <c r="F98" s="812"/>
      <c r="G98" s="812"/>
      <c r="H98" s="800"/>
      <c r="I98" s="812">
        <v>1</v>
      </c>
      <c r="J98" s="812">
        <v>0</v>
      </c>
      <c r="K98" s="800"/>
      <c r="L98" s="812">
        <v>1</v>
      </c>
      <c r="M98" s="813">
        <v>0</v>
      </c>
    </row>
    <row r="99" spans="1:13" ht="14.4" customHeight="1" x14ac:dyDescent="0.3">
      <c r="A99" s="794" t="s">
        <v>1536</v>
      </c>
      <c r="B99" s="795" t="s">
        <v>1435</v>
      </c>
      <c r="C99" s="795" t="s">
        <v>970</v>
      </c>
      <c r="D99" s="795" t="s">
        <v>971</v>
      </c>
      <c r="E99" s="795" t="s">
        <v>1436</v>
      </c>
      <c r="F99" s="812"/>
      <c r="G99" s="812"/>
      <c r="H99" s="800">
        <v>0</v>
      </c>
      <c r="I99" s="812">
        <v>1</v>
      </c>
      <c r="J99" s="812">
        <v>225.06</v>
      </c>
      <c r="K99" s="800">
        <v>1</v>
      </c>
      <c r="L99" s="812">
        <v>1</v>
      </c>
      <c r="M99" s="813">
        <v>225.06</v>
      </c>
    </row>
    <row r="100" spans="1:13" ht="14.4" customHeight="1" x14ac:dyDescent="0.3">
      <c r="A100" s="794" t="s">
        <v>1536</v>
      </c>
      <c r="B100" s="795" t="s">
        <v>1452</v>
      </c>
      <c r="C100" s="795" t="s">
        <v>929</v>
      </c>
      <c r="D100" s="795" t="s">
        <v>1453</v>
      </c>
      <c r="E100" s="795" t="s">
        <v>1454</v>
      </c>
      <c r="F100" s="812"/>
      <c r="G100" s="812"/>
      <c r="H100" s="800"/>
      <c r="I100" s="812">
        <v>15</v>
      </c>
      <c r="J100" s="812">
        <v>0</v>
      </c>
      <c r="K100" s="800"/>
      <c r="L100" s="812">
        <v>15</v>
      </c>
      <c r="M100" s="813">
        <v>0</v>
      </c>
    </row>
    <row r="101" spans="1:13" ht="14.4" customHeight="1" x14ac:dyDescent="0.3">
      <c r="A101" s="794" t="s">
        <v>1536</v>
      </c>
      <c r="B101" s="795" t="s">
        <v>2072</v>
      </c>
      <c r="C101" s="795" t="s">
        <v>2050</v>
      </c>
      <c r="D101" s="795" t="s">
        <v>2051</v>
      </c>
      <c r="E101" s="795" t="s">
        <v>2052</v>
      </c>
      <c r="F101" s="812">
        <v>1</v>
      </c>
      <c r="G101" s="812">
        <v>0</v>
      </c>
      <c r="H101" s="800"/>
      <c r="I101" s="812"/>
      <c r="J101" s="812"/>
      <c r="K101" s="800"/>
      <c r="L101" s="812">
        <v>1</v>
      </c>
      <c r="M101" s="813">
        <v>0</v>
      </c>
    </row>
    <row r="102" spans="1:13" ht="14.4" customHeight="1" x14ac:dyDescent="0.3">
      <c r="A102" s="794" t="s">
        <v>1536</v>
      </c>
      <c r="B102" s="795" t="s">
        <v>2067</v>
      </c>
      <c r="C102" s="795" t="s">
        <v>2047</v>
      </c>
      <c r="D102" s="795" t="s">
        <v>1824</v>
      </c>
      <c r="E102" s="795" t="s">
        <v>2048</v>
      </c>
      <c r="F102" s="812"/>
      <c r="G102" s="812"/>
      <c r="H102" s="800">
        <v>0</v>
      </c>
      <c r="I102" s="812">
        <v>1</v>
      </c>
      <c r="J102" s="812">
        <v>537.12</v>
      </c>
      <c r="K102" s="800">
        <v>1</v>
      </c>
      <c r="L102" s="812">
        <v>1</v>
      </c>
      <c r="M102" s="813">
        <v>537.12</v>
      </c>
    </row>
    <row r="103" spans="1:13" ht="14.4" customHeight="1" thickBot="1" x14ac:dyDescent="0.35">
      <c r="A103" s="802" t="s">
        <v>1536</v>
      </c>
      <c r="B103" s="803" t="s">
        <v>1449</v>
      </c>
      <c r="C103" s="803" t="s">
        <v>1545</v>
      </c>
      <c r="D103" s="803" t="s">
        <v>1546</v>
      </c>
      <c r="E103" s="803" t="s">
        <v>1547</v>
      </c>
      <c r="F103" s="814">
        <v>1</v>
      </c>
      <c r="G103" s="814">
        <v>50.32</v>
      </c>
      <c r="H103" s="808">
        <v>1</v>
      </c>
      <c r="I103" s="814"/>
      <c r="J103" s="814"/>
      <c r="K103" s="808">
        <v>0</v>
      </c>
      <c r="L103" s="814">
        <v>1</v>
      </c>
      <c r="M103" s="815">
        <v>50.32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8" t="s">
        <v>178</v>
      </c>
      <c r="B1" s="549"/>
      <c r="C1" s="549"/>
      <c r="D1" s="549"/>
      <c r="E1" s="549"/>
      <c r="F1" s="549"/>
      <c r="G1" s="519"/>
      <c r="H1" s="550"/>
      <c r="I1" s="550"/>
    </row>
    <row r="2" spans="1:10" ht="14.4" customHeight="1" thickBot="1" x14ac:dyDescent="0.35">
      <c r="A2" s="374" t="s">
        <v>353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505"/>
      <c r="C3" s="434">
        <v>2015</v>
      </c>
      <c r="D3" s="435">
        <v>2016</v>
      </c>
      <c r="E3" s="11"/>
      <c r="F3" s="527">
        <v>2017</v>
      </c>
      <c r="G3" s="545"/>
      <c r="H3" s="545"/>
      <c r="I3" s="528"/>
    </row>
    <row r="4" spans="1:10" ht="14.4" customHeight="1" thickBot="1" x14ac:dyDescent="0.35">
      <c r="A4" s="439" t="s">
        <v>0</v>
      </c>
      <c r="B4" s="440" t="s">
        <v>279</v>
      </c>
      <c r="C4" s="546" t="s">
        <v>94</v>
      </c>
      <c r="D4" s="547"/>
      <c r="E4" s="441"/>
      <c r="F4" s="436" t="s">
        <v>94</v>
      </c>
      <c r="G4" s="437" t="s">
        <v>95</v>
      </c>
      <c r="H4" s="437" t="s">
        <v>69</v>
      </c>
      <c r="I4" s="438" t="s">
        <v>96</v>
      </c>
    </row>
    <row r="5" spans="1:10" ht="14.4" customHeight="1" x14ac:dyDescent="0.3">
      <c r="A5" s="696" t="s">
        <v>591</v>
      </c>
      <c r="B5" s="697" t="s">
        <v>592</v>
      </c>
      <c r="C5" s="698" t="s">
        <v>593</v>
      </c>
      <c r="D5" s="698" t="s">
        <v>593</v>
      </c>
      <c r="E5" s="698"/>
      <c r="F5" s="698" t="s">
        <v>593</v>
      </c>
      <c r="G5" s="698" t="s">
        <v>593</v>
      </c>
      <c r="H5" s="698" t="s">
        <v>593</v>
      </c>
      <c r="I5" s="699" t="s">
        <v>593</v>
      </c>
      <c r="J5" s="700" t="s">
        <v>74</v>
      </c>
    </row>
    <row r="6" spans="1:10" ht="14.4" customHeight="1" x14ac:dyDescent="0.3">
      <c r="A6" s="696" t="s">
        <v>591</v>
      </c>
      <c r="B6" s="697" t="s">
        <v>374</v>
      </c>
      <c r="C6" s="698">
        <v>0</v>
      </c>
      <c r="D6" s="698">
        <v>-64.174599999999998</v>
      </c>
      <c r="E6" s="698"/>
      <c r="F6" s="698">
        <v>-52.85745</v>
      </c>
      <c r="G6" s="698">
        <v>33.333333333333336</v>
      </c>
      <c r="H6" s="698">
        <v>-86.190783333333343</v>
      </c>
      <c r="I6" s="699">
        <v>-1.5857234999999998</v>
      </c>
      <c r="J6" s="700" t="s">
        <v>1</v>
      </c>
    </row>
    <row r="7" spans="1:10" ht="14.4" customHeight="1" x14ac:dyDescent="0.3">
      <c r="A7" s="696" t="s">
        <v>591</v>
      </c>
      <c r="B7" s="697" t="s">
        <v>375</v>
      </c>
      <c r="C7" s="698">
        <v>1824.8839800000019</v>
      </c>
      <c r="D7" s="698">
        <v>2653.3949300000004</v>
      </c>
      <c r="E7" s="698"/>
      <c r="F7" s="698">
        <v>2135.6600800000001</v>
      </c>
      <c r="G7" s="698">
        <v>2150</v>
      </c>
      <c r="H7" s="698">
        <v>-14.339919999999893</v>
      </c>
      <c r="I7" s="699">
        <v>0.99333026976744188</v>
      </c>
      <c r="J7" s="700" t="s">
        <v>1</v>
      </c>
    </row>
    <row r="8" spans="1:10" ht="14.4" customHeight="1" x14ac:dyDescent="0.3">
      <c r="A8" s="696" t="s">
        <v>591</v>
      </c>
      <c r="B8" s="697" t="s">
        <v>376</v>
      </c>
      <c r="C8" s="698">
        <v>71.892699999999991</v>
      </c>
      <c r="D8" s="698">
        <v>73.194640000000007</v>
      </c>
      <c r="E8" s="698"/>
      <c r="F8" s="698">
        <v>47.155169999999998</v>
      </c>
      <c r="G8" s="698">
        <v>35</v>
      </c>
      <c r="H8" s="698">
        <v>12.155169999999998</v>
      </c>
      <c r="I8" s="699">
        <v>1.3472905714285714</v>
      </c>
      <c r="J8" s="700" t="s">
        <v>1</v>
      </c>
    </row>
    <row r="9" spans="1:10" ht="14.4" customHeight="1" x14ac:dyDescent="0.3">
      <c r="A9" s="696" t="s">
        <v>591</v>
      </c>
      <c r="B9" s="697" t="s">
        <v>377</v>
      </c>
      <c r="C9" s="698">
        <v>0.98909000000000002</v>
      </c>
      <c r="D9" s="698">
        <v>0.85668</v>
      </c>
      <c r="E9" s="698"/>
      <c r="F9" s="698">
        <v>3.0728499999999999</v>
      </c>
      <c r="G9" s="698">
        <v>1.6666666666665</v>
      </c>
      <c r="H9" s="698">
        <v>1.4061833333334999</v>
      </c>
      <c r="I9" s="699">
        <v>1.8437100000001843</v>
      </c>
      <c r="J9" s="700" t="s">
        <v>1</v>
      </c>
    </row>
    <row r="10" spans="1:10" ht="14.4" customHeight="1" x14ac:dyDescent="0.3">
      <c r="A10" s="696" t="s">
        <v>591</v>
      </c>
      <c r="B10" s="697" t="s">
        <v>378</v>
      </c>
      <c r="C10" s="698">
        <v>0</v>
      </c>
      <c r="D10" s="698">
        <v>0.94799999999999995</v>
      </c>
      <c r="E10" s="698"/>
      <c r="F10" s="698">
        <v>0.19639000000000001</v>
      </c>
      <c r="G10" s="698">
        <v>0.33333333333333331</v>
      </c>
      <c r="H10" s="698">
        <v>-0.13694333333333331</v>
      </c>
      <c r="I10" s="699">
        <v>0.58917000000000008</v>
      </c>
      <c r="J10" s="700" t="s">
        <v>1</v>
      </c>
    </row>
    <row r="11" spans="1:10" ht="14.4" customHeight="1" x14ac:dyDescent="0.3">
      <c r="A11" s="696" t="s">
        <v>591</v>
      </c>
      <c r="B11" s="697" t="s">
        <v>379</v>
      </c>
      <c r="C11" s="698">
        <v>157.87093999999999</v>
      </c>
      <c r="D11" s="698">
        <v>87.667820000000006</v>
      </c>
      <c r="E11" s="698"/>
      <c r="F11" s="698">
        <v>108.97153999999999</v>
      </c>
      <c r="G11" s="698">
        <v>139.16666666666666</v>
      </c>
      <c r="H11" s="698">
        <v>-30.195126666666667</v>
      </c>
      <c r="I11" s="699">
        <v>0.78302902994011969</v>
      </c>
      <c r="J11" s="700" t="s">
        <v>1</v>
      </c>
    </row>
    <row r="12" spans="1:10" ht="14.4" customHeight="1" x14ac:dyDescent="0.3">
      <c r="A12" s="696" t="s">
        <v>591</v>
      </c>
      <c r="B12" s="697" t="s">
        <v>380</v>
      </c>
      <c r="C12" s="698">
        <v>162.36887000000002</v>
      </c>
      <c r="D12" s="698">
        <v>202.92962</v>
      </c>
      <c r="E12" s="698"/>
      <c r="F12" s="698">
        <v>158.96397999999999</v>
      </c>
      <c r="G12" s="698">
        <v>223.33333333333283</v>
      </c>
      <c r="H12" s="698">
        <v>-64.369353333332839</v>
      </c>
      <c r="I12" s="699">
        <v>0.71177901492537465</v>
      </c>
      <c r="J12" s="700" t="s">
        <v>1</v>
      </c>
    </row>
    <row r="13" spans="1:10" ht="14.4" customHeight="1" x14ac:dyDescent="0.3">
      <c r="A13" s="696" t="s">
        <v>591</v>
      </c>
      <c r="B13" s="697" t="s">
        <v>381</v>
      </c>
      <c r="C13" s="698">
        <v>11.169499999999999</v>
      </c>
      <c r="D13" s="698">
        <v>11.4231</v>
      </c>
      <c r="E13" s="698"/>
      <c r="F13" s="698">
        <v>14.6934</v>
      </c>
      <c r="G13" s="698">
        <v>14.999999999999833</v>
      </c>
      <c r="H13" s="698">
        <v>-0.30659999999983256</v>
      </c>
      <c r="I13" s="699">
        <v>0.97956000000001098</v>
      </c>
      <c r="J13" s="700" t="s">
        <v>1</v>
      </c>
    </row>
    <row r="14" spans="1:10" ht="14.4" customHeight="1" x14ac:dyDescent="0.3">
      <c r="A14" s="696" t="s">
        <v>591</v>
      </c>
      <c r="B14" s="697" t="s">
        <v>382</v>
      </c>
      <c r="C14" s="698">
        <v>19.347490000000001</v>
      </c>
      <c r="D14" s="698">
        <v>2.42144</v>
      </c>
      <c r="E14" s="698"/>
      <c r="F14" s="698">
        <v>18.824360000000002</v>
      </c>
      <c r="G14" s="698">
        <v>14.999999999999833</v>
      </c>
      <c r="H14" s="698">
        <v>3.8243600000001692</v>
      </c>
      <c r="I14" s="699">
        <v>1.2549573333333475</v>
      </c>
      <c r="J14" s="700" t="s">
        <v>1</v>
      </c>
    </row>
    <row r="15" spans="1:10" ht="14.4" customHeight="1" x14ac:dyDescent="0.3">
      <c r="A15" s="696" t="s">
        <v>591</v>
      </c>
      <c r="B15" s="697" t="s">
        <v>383</v>
      </c>
      <c r="C15" s="698">
        <v>2.7047999999999996</v>
      </c>
      <c r="D15" s="698">
        <v>1.9940000000000002</v>
      </c>
      <c r="E15" s="698"/>
      <c r="F15" s="698">
        <v>1.4820000000000002</v>
      </c>
      <c r="G15" s="698">
        <v>3.3333333333331665</v>
      </c>
      <c r="H15" s="698">
        <v>-1.8513333333331663</v>
      </c>
      <c r="I15" s="699">
        <v>0.44460000000002231</v>
      </c>
      <c r="J15" s="700" t="s">
        <v>1</v>
      </c>
    </row>
    <row r="16" spans="1:10" ht="14.4" customHeight="1" x14ac:dyDescent="0.3">
      <c r="A16" s="696" t="s">
        <v>591</v>
      </c>
      <c r="B16" s="697" t="s">
        <v>384</v>
      </c>
      <c r="C16" s="698">
        <v>14.647000000000002</v>
      </c>
      <c r="D16" s="698">
        <v>16.463699999999999</v>
      </c>
      <c r="E16" s="698"/>
      <c r="F16" s="698">
        <v>14.1411</v>
      </c>
      <c r="G16" s="698">
        <v>15.833333333333165</v>
      </c>
      <c r="H16" s="698">
        <v>-1.6922333333331654</v>
      </c>
      <c r="I16" s="699">
        <v>0.89312210526316738</v>
      </c>
      <c r="J16" s="700" t="s">
        <v>1</v>
      </c>
    </row>
    <row r="17" spans="1:10" ht="14.4" customHeight="1" x14ac:dyDescent="0.3">
      <c r="A17" s="696" t="s">
        <v>591</v>
      </c>
      <c r="B17" s="697" t="s">
        <v>385</v>
      </c>
      <c r="C17" s="698">
        <v>5.3557000000000006</v>
      </c>
      <c r="D17" s="698">
        <v>5.3557000000000006</v>
      </c>
      <c r="E17" s="698"/>
      <c r="F17" s="698">
        <v>2.6779000000000002</v>
      </c>
      <c r="G17" s="698">
        <v>6.6666666666665</v>
      </c>
      <c r="H17" s="698">
        <v>-3.9887666666664998</v>
      </c>
      <c r="I17" s="699">
        <v>0.40168500000001006</v>
      </c>
      <c r="J17" s="700" t="s">
        <v>1</v>
      </c>
    </row>
    <row r="18" spans="1:10" ht="14.4" customHeight="1" x14ac:dyDescent="0.3">
      <c r="A18" s="696" t="s">
        <v>591</v>
      </c>
      <c r="B18" s="697" t="s">
        <v>386</v>
      </c>
      <c r="C18" s="698">
        <v>0.98249999999999993</v>
      </c>
      <c r="D18" s="698">
        <v>0.70440000000000003</v>
      </c>
      <c r="E18" s="698"/>
      <c r="F18" s="698">
        <v>2.8451</v>
      </c>
      <c r="G18" s="698">
        <v>1.6666666666665</v>
      </c>
      <c r="H18" s="698">
        <v>1.1784333333335</v>
      </c>
      <c r="I18" s="699">
        <v>1.7070600000001708</v>
      </c>
      <c r="J18" s="700" t="s">
        <v>1</v>
      </c>
    </row>
    <row r="19" spans="1:10" ht="14.4" customHeight="1" x14ac:dyDescent="0.3">
      <c r="A19" s="696" t="s">
        <v>591</v>
      </c>
      <c r="B19" s="697" t="s">
        <v>387</v>
      </c>
      <c r="C19" s="698">
        <v>75.698809999999995</v>
      </c>
      <c r="D19" s="698">
        <v>23.770690000000002</v>
      </c>
      <c r="E19" s="698"/>
      <c r="F19" s="698">
        <v>82.291629999999998</v>
      </c>
      <c r="G19" s="698">
        <v>33.333333333333336</v>
      </c>
      <c r="H19" s="698">
        <v>48.958296666666662</v>
      </c>
      <c r="I19" s="699">
        <v>2.4687488999999996</v>
      </c>
      <c r="J19" s="700" t="s">
        <v>1</v>
      </c>
    </row>
    <row r="20" spans="1:10" ht="14.4" customHeight="1" x14ac:dyDescent="0.3">
      <c r="A20" s="696" t="s">
        <v>591</v>
      </c>
      <c r="B20" s="697" t="s">
        <v>594</v>
      </c>
      <c r="C20" s="698">
        <v>2347.9113800000018</v>
      </c>
      <c r="D20" s="698">
        <v>3016.9501200000004</v>
      </c>
      <c r="E20" s="698"/>
      <c r="F20" s="698">
        <v>2538.1180500000005</v>
      </c>
      <c r="G20" s="698">
        <v>2673.6666666666656</v>
      </c>
      <c r="H20" s="698">
        <v>-135.54861666666511</v>
      </c>
      <c r="I20" s="699">
        <v>0.9493023500810378</v>
      </c>
      <c r="J20" s="700" t="s">
        <v>595</v>
      </c>
    </row>
    <row r="22" spans="1:10" ht="14.4" customHeight="1" x14ac:dyDescent="0.3">
      <c r="A22" s="696" t="s">
        <v>591</v>
      </c>
      <c r="B22" s="697" t="s">
        <v>592</v>
      </c>
      <c r="C22" s="698" t="s">
        <v>593</v>
      </c>
      <c r="D22" s="698" t="s">
        <v>593</v>
      </c>
      <c r="E22" s="698"/>
      <c r="F22" s="698" t="s">
        <v>593</v>
      </c>
      <c r="G22" s="698" t="s">
        <v>593</v>
      </c>
      <c r="H22" s="698" t="s">
        <v>593</v>
      </c>
      <c r="I22" s="699" t="s">
        <v>593</v>
      </c>
      <c r="J22" s="700" t="s">
        <v>74</v>
      </c>
    </row>
    <row r="23" spans="1:10" ht="14.4" customHeight="1" x14ac:dyDescent="0.3">
      <c r="A23" s="696" t="s">
        <v>596</v>
      </c>
      <c r="B23" s="697" t="s">
        <v>597</v>
      </c>
      <c r="C23" s="698" t="s">
        <v>593</v>
      </c>
      <c r="D23" s="698" t="s">
        <v>593</v>
      </c>
      <c r="E23" s="698"/>
      <c r="F23" s="698" t="s">
        <v>593</v>
      </c>
      <c r="G23" s="698" t="s">
        <v>593</v>
      </c>
      <c r="H23" s="698" t="s">
        <v>593</v>
      </c>
      <c r="I23" s="699" t="s">
        <v>593</v>
      </c>
      <c r="J23" s="700" t="s">
        <v>0</v>
      </c>
    </row>
    <row r="24" spans="1:10" ht="14.4" customHeight="1" x14ac:dyDescent="0.3">
      <c r="A24" s="696" t="s">
        <v>596</v>
      </c>
      <c r="B24" s="697" t="s">
        <v>377</v>
      </c>
      <c r="C24" s="698">
        <v>0.83662999999999998</v>
      </c>
      <c r="D24" s="698">
        <v>0.14277999999999999</v>
      </c>
      <c r="E24" s="698"/>
      <c r="F24" s="698">
        <v>0</v>
      </c>
      <c r="G24" s="698">
        <v>0.58056871546933331</v>
      </c>
      <c r="H24" s="698">
        <v>-0.58056871546933331</v>
      </c>
      <c r="I24" s="699">
        <v>0</v>
      </c>
      <c r="J24" s="700" t="s">
        <v>1</v>
      </c>
    </row>
    <row r="25" spans="1:10" ht="14.4" customHeight="1" x14ac:dyDescent="0.3">
      <c r="A25" s="696" t="s">
        <v>596</v>
      </c>
      <c r="B25" s="697" t="s">
        <v>379</v>
      </c>
      <c r="C25" s="698">
        <v>89.175029999999992</v>
      </c>
      <c r="D25" s="698">
        <v>52.333730000000003</v>
      </c>
      <c r="E25" s="698"/>
      <c r="F25" s="698">
        <v>61.703900000000004</v>
      </c>
      <c r="G25" s="698">
        <v>80.013830732130998</v>
      </c>
      <c r="H25" s="698">
        <v>-18.309930732130994</v>
      </c>
      <c r="I25" s="699">
        <v>0.77116542771925667</v>
      </c>
      <c r="J25" s="700" t="s">
        <v>1</v>
      </c>
    </row>
    <row r="26" spans="1:10" ht="14.4" customHeight="1" x14ac:dyDescent="0.3">
      <c r="A26" s="696" t="s">
        <v>596</v>
      </c>
      <c r="B26" s="697" t="s">
        <v>380</v>
      </c>
      <c r="C26" s="698">
        <v>18.358309999999999</v>
      </c>
      <c r="D26" s="698">
        <v>11.6617</v>
      </c>
      <c r="E26" s="698"/>
      <c r="F26" s="698">
        <v>20.233350000000002</v>
      </c>
      <c r="G26" s="698">
        <v>22.785667762750165</v>
      </c>
      <c r="H26" s="698">
        <v>-2.5523177627501639</v>
      </c>
      <c r="I26" s="699">
        <v>0.88798582559328487</v>
      </c>
      <c r="J26" s="700" t="s">
        <v>1</v>
      </c>
    </row>
    <row r="27" spans="1:10" ht="14.4" customHeight="1" x14ac:dyDescent="0.3">
      <c r="A27" s="696" t="s">
        <v>596</v>
      </c>
      <c r="B27" s="697" t="s">
        <v>381</v>
      </c>
      <c r="C27" s="698">
        <v>6.5359999999999996</v>
      </c>
      <c r="D27" s="698">
        <v>6.8864999999999998</v>
      </c>
      <c r="E27" s="698"/>
      <c r="F27" s="698">
        <v>7.6985000000000001</v>
      </c>
      <c r="G27" s="698">
        <v>9.2167312471291662</v>
      </c>
      <c r="H27" s="698">
        <v>-1.5182312471291661</v>
      </c>
      <c r="I27" s="699">
        <v>0.8352744366282715</v>
      </c>
      <c r="J27" s="700" t="s">
        <v>1</v>
      </c>
    </row>
    <row r="28" spans="1:10" ht="14.4" customHeight="1" x14ac:dyDescent="0.3">
      <c r="A28" s="696" t="s">
        <v>596</v>
      </c>
      <c r="B28" s="697" t="s">
        <v>383</v>
      </c>
      <c r="C28" s="698">
        <v>1.3029999999999999</v>
      </c>
      <c r="D28" s="698">
        <v>1.35</v>
      </c>
      <c r="E28" s="698"/>
      <c r="F28" s="698">
        <v>0.93</v>
      </c>
      <c r="G28" s="698">
        <v>1.9259364037448332</v>
      </c>
      <c r="H28" s="698">
        <v>-0.99593640374483317</v>
      </c>
      <c r="I28" s="699">
        <v>0.48288198831056289</v>
      </c>
      <c r="J28" s="700" t="s">
        <v>1</v>
      </c>
    </row>
    <row r="29" spans="1:10" ht="14.4" customHeight="1" x14ac:dyDescent="0.3">
      <c r="A29" s="696" t="s">
        <v>596</v>
      </c>
      <c r="B29" s="697" t="s">
        <v>384</v>
      </c>
      <c r="C29" s="698">
        <v>5.3450000000000006</v>
      </c>
      <c r="D29" s="698">
        <v>7.7431000000000001</v>
      </c>
      <c r="E29" s="698"/>
      <c r="F29" s="698">
        <v>5.3819999999999997</v>
      </c>
      <c r="G29" s="698">
        <v>5.7421381438726664</v>
      </c>
      <c r="H29" s="698">
        <v>-0.36013814387266674</v>
      </c>
      <c r="I29" s="699">
        <v>0.93728152565312906</v>
      </c>
      <c r="J29" s="700" t="s">
        <v>1</v>
      </c>
    </row>
    <row r="30" spans="1:10" ht="14.4" customHeight="1" x14ac:dyDescent="0.3">
      <c r="A30" s="696" t="s">
        <v>596</v>
      </c>
      <c r="B30" s="697" t="s">
        <v>385</v>
      </c>
      <c r="C30" s="698">
        <v>0</v>
      </c>
      <c r="D30" s="698">
        <v>0</v>
      </c>
      <c r="E30" s="698"/>
      <c r="F30" s="698">
        <v>0</v>
      </c>
      <c r="G30" s="698">
        <v>1.2534222177701666</v>
      </c>
      <c r="H30" s="698">
        <v>-1.2534222177701666</v>
      </c>
      <c r="I30" s="699">
        <v>0</v>
      </c>
      <c r="J30" s="700" t="s">
        <v>1</v>
      </c>
    </row>
    <row r="31" spans="1:10" ht="14.4" customHeight="1" x14ac:dyDescent="0.3">
      <c r="A31" s="696" t="s">
        <v>596</v>
      </c>
      <c r="B31" s="697" t="s">
        <v>386</v>
      </c>
      <c r="C31" s="698">
        <v>0.70409999999999995</v>
      </c>
      <c r="D31" s="698">
        <v>0</v>
      </c>
      <c r="E31" s="698"/>
      <c r="F31" s="698">
        <v>0</v>
      </c>
      <c r="G31" s="698">
        <v>0.7675109036140001</v>
      </c>
      <c r="H31" s="698">
        <v>-0.7675109036140001</v>
      </c>
      <c r="I31" s="699">
        <v>0</v>
      </c>
      <c r="J31" s="700" t="s">
        <v>1</v>
      </c>
    </row>
    <row r="32" spans="1:10" ht="14.4" customHeight="1" x14ac:dyDescent="0.3">
      <c r="A32" s="696" t="s">
        <v>596</v>
      </c>
      <c r="B32" s="697" t="s">
        <v>598</v>
      </c>
      <c r="C32" s="698">
        <v>122.25806999999999</v>
      </c>
      <c r="D32" s="698">
        <v>80.117809999999992</v>
      </c>
      <c r="E32" s="698"/>
      <c r="F32" s="698">
        <v>95.947750000000013</v>
      </c>
      <c r="G32" s="698">
        <v>122.28580612648132</v>
      </c>
      <c r="H32" s="698">
        <v>-26.338056126481305</v>
      </c>
      <c r="I32" s="699">
        <v>0.78461886165889427</v>
      </c>
      <c r="J32" s="700" t="s">
        <v>599</v>
      </c>
    </row>
    <row r="33" spans="1:10" ht="14.4" customHeight="1" x14ac:dyDescent="0.3">
      <c r="A33" s="696" t="s">
        <v>593</v>
      </c>
      <c r="B33" s="697" t="s">
        <v>593</v>
      </c>
      <c r="C33" s="698" t="s">
        <v>593</v>
      </c>
      <c r="D33" s="698" t="s">
        <v>593</v>
      </c>
      <c r="E33" s="698"/>
      <c r="F33" s="698" t="s">
        <v>593</v>
      </c>
      <c r="G33" s="698" t="s">
        <v>593</v>
      </c>
      <c r="H33" s="698" t="s">
        <v>593</v>
      </c>
      <c r="I33" s="699" t="s">
        <v>593</v>
      </c>
      <c r="J33" s="700" t="s">
        <v>600</v>
      </c>
    </row>
    <row r="34" spans="1:10" ht="14.4" customHeight="1" x14ac:dyDescent="0.3">
      <c r="A34" s="696" t="s">
        <v>601</v>
      </c>
      <c r="B34" s="697" t="s">
        <v>602</v>
      </c>
      <c r="C34" s="698" t="s">
        <v>593</v>
      </c>
      <c r="D34" s="698" t="s">
        <v>593</v>
      </c>
      <c r="E34" s="698"/>
      <c r="F34" s="698" t="s">
        <v>593</v>
      </c>
      <c r="G34" s="698" t="s">
        <v>593</v>
      </c>
      <c r="H34" s="698" t="s">
        <v>593</v>
      </c>
      <c r="I34" s="699" t="s">
        <v>593</v>
      </c>
      <c r="J34" s="700" t="s">
        <v>0</v>
      </c>
    </row>
    <row r="35" spans="1:10" ht="14.4" customHeight="1" x14ac:dyDescent="0.3">
      <c r="A35" s="696" t="s">
        <v>601</v>
      </c>
      <c r="B35" s="697" t="s">
        <v>379</v>
      </c>
      <c r="C35" s="698">
        <v>36.304600000000001</v>
      </c>
      <c r="D35" s="698">
        <v>26.250410000000002</v>
      </c>
      <c r="E35" s="698"/>
      <c r="F35" s="698">
        <v>34.787399999999998</v>
      </c>
      <c r="G35" s="698">
        <v>38.131539651990671</v>
      </c>
      <c r="H35" s="698">
        <v>-3.3441396519906732</v>
      </c>
      <c r="I35" s="699">
        <v>0.91229990494716118</v>
      </c>
      <c r="J35" s="700" t="s">
        <v>1</v>
      </c>
    </row>
    <row r="36" spans="1:10" ht="14.4" customHeight="1" x14ac:dyDescent="0.3">
      <c r="A36" s="696" t="s">
        <v>601</v>
      </c>
      <c r="B36" s="697" t="s">
        <v>380</v>
      </c>
      <c r="C36" s="698">
        <v>19.735500000000002</v>
      </c>
      <c r="D36" s="698">
        <v>3.1202000000000001</v>
      </c>
      <c r="E36" s="698"/>
      <c r="F36" s="698">
        <v>2.2548000000000004</v>
      </c>
      <c r="G36" s="698">
        <v>6.1278353311221672</v>
      </c>
      <c r="H36" s="698">
        <v>-3.8730353311221668</v>
      </c>
      <c r="I36" s="699">
        <v>0.36796027930911901</v>
      </c>
      <c r="J36" s="700" t="s">
        <v>1</v>
      </c>
    </row>
    <row r="37" spans="1:10" ht="14.4" customHeight="1" x14ac:dyDescent="0.3">
      <c r="A37" s="696" t="s">
        <v>601</v>
      </c>
      <c r="B37" s="697" t="s">
        <v>382</v>
      </c>
      <c r="C37" s="698">
        <v>2.484</v>
      </c>
      <c r="D37" s="698">
        <v>2.42144</v>
      </c>
      <c r="E37" s="698"/>
      <c r="F37" s="698">
        <v>0.95633999999999997</v>
      </c>
      <c r="G37" s="698">
        <v>3.7963126378786662</v>
      </c>
      <c r="H37" s="698">
        <v>-2.8399726378786663</v>
      </c>
      <c r="I37" s="699">
        <v>0.25191286683237746</v>
      </c>
      <c r="J37" s="700" t="s">
        <v>1</v>
      </c>
    </row>
    <row r="38" spans="1:10" ht="14.4" customHeight="1" x14ac:dyDescent="0.3">
      <c r="A38" s="696" t="s">
        <v>601</v>
      </c>
      <c r="B38" s="697" t="s">
        <v>383</v>
      </c>
      <c r="C38" s="698">
        <v>4.9000000000000002E-2</v>
      </c>
      <c r="D38" s="698">
        <v>4.8000000000000001E-2</v>
      </c>
      <c r="E38" s="698"/>
      <c r="F38" s="698">
        <v>0</v>
      </c>
      <c r="G38" s="698">
        <v>0.53618043993666664</v>
      </c>
      <c r="H38" s="698">
        <v>-0.53618043993666664</v>
      </c>
      <c r="I38" s="699">
        <v>0</v>
      </c>
      <c r="J38" s="700" t="s">
        <v>1</v>
      </c>
    </row>
    <row r="39" spans="1:10" ht="14.4" customHeight="1" x14ac:dyDescent="0.3">
      <c r="A39" s="696" t="s">
        <v>601</v>
      </c>
      <c r="B39" s="697" t="s">
        <v>384</v>
      </c>
      <c r="C39" s="698">
        <v>4.758</v>
      </c>
      <c r="D39" s="698">
        <v>4.0667999999999997</v>
      </c>
      <c r="E39" s="698"/>
      <c r="F39" s="698">
        <v>3.9350999999999998</v>
      </c>
      <c r="G39" s="698">
        <v>5.2835790801258335</v>
      </c>
      <c r="H39" s="698">
        <v>-1.3484790801258337</v>
      </c>
      <c r="I39" s="699">
        <v>0.74477923777120447</v>
      </c>
      <c r="J39" s="700" t="s">
        <v>1</v>
      </c>
    </row>
    <row r="40" spans="1:10" ht="14.4" customHeight="1" x14ac:dyDescent="0.3">
      <c r="A40" s="696" t="s">
        <v>601</v>
      </c>
      <c r="B40" s="697" t="s">
        <v>603</v>
      </c>
      <c r="C40" s="698">
        <v>63.331100000000006</v>
      </c>
      <c r="D40" s="698">
        <v>35.906849999999999</v>
      </c>
      <c r="E40" s="698"/>
      <c r="F40" s="698">
        <v>41.933639999999997</v>
      </c>
      <c r="G40" s="698">
        <v>53.875447141053996</v>
      </c>
      <c r="H40" s="698">
        <v>-11.941807141053999</v>
      </c>
      <c r="I40" s="699">
        <v>0.77834416650336913</v>
      </c>
      <c r="J40" s="700" t="s">
        <v>599</v>
      </c>
    </row>
    <row r="41" spans="1:10" ht="14.4" customHeight="1" x14ac:dyDescent="0.3">
      <c r="A41" s="696" t="s">
        <v>593</v>
      </c>
      <c r="B41" s="697" t="s">
        <v>593</v>
      </c>
      <c r="C41" s="698" t="s">
        <v>593</v>
      </c>
      <c r="D41" s="698" t="s">
        <v>593</v>
      </c>
      <c r="E41" s="698"/>
      <c r="F41" s="698" t="s">
        <v>593</v>
      </c>
      <c r="G41" s="698" t="s">
        <v>593</v>
      </c>
      <c r="H41" s="698" t="s">
        <v>593</v>
      </c>
      <c r="I41" s="699" t="s">
        <v>593</v>
      </c>
      <c r="J41" s="700" t="s">
        <v>600</v>
      </c>
    </row>
    <row r="42" spans="1:10" ht="14.4" customHeight="1" x14ac:dyDescent="0.3">
      <c r="A42" s="696" t="s">
        <v>604</v>
      </c>
      <c r="B42" s="697" t="s">
        <v>605</v>
      </c>
      <c r="C42" s="698" t="s">
        <v>593</v>
      </c>
      <c r="D42" s="698" t="s">
        <v>593</v>
      </c>
      <c r="E42" s="698"/>
      <c r="F42" s="698" t="s">
        <v>593</v>
      </c>
      <c r="G42" s="698" t="s">
        <v>593</v>
      </c>
      <c r="H42" s="698" t="s">
        <v>593</v>
      </c>
      <c r="I42" s="699" t="s">
        <v>593</v>
      </c>
      <c r="J42" s="700" t="s">
        <v>0</v>
      </c>
    </row>
    <row r="43" spans="1:10" ht="14.4" customHeight="1" x14ac:dyDescent="0.3">
      <c r="A43" s="696" t="s">
        <v>604</v>
      </c>
      <c r="B43" s="697" t="s">
        <v>377</v>
      </c>
      <c r="C43" s="698">
        <v>0.15246000000000001</v>
      </c>
      <c r="D43" s="698">
        <v>0.71389999999999998</v>
      </c>
      <c r="E43" s="698"/>
      <c r="F43" s="698">
        <v>3.0728499999999999</v>
      </c>
      <c r="G43" s="698">
        <v>1.0860979511971667</v>
      </c>
      <c r="H43" s="698">
        <v>1.9867520488028332</v>
      </c>
      <c r="I43" s="699">
        <v>2.8292567872104977</v>
      </c>
      <c r="J43" s="700" t="s">
        <v>1</v>
      </c>
    </row>
    <row r="44" spans="1:10" ht="14.4" customHeight="1" x14ac:dyDescent="0.3">
      <c r="A44" s="696" t="s">
        <v>604</v>
      </c>
      <c r="B44" s="697" t="s">
        <v>378</v>
      </c>
      <c r="C44" s="698">
        <v>0</v>
      </c>
      <c r="D44" s="698">
        <v>0.94799999999999995</v>
      </c>
      <c r="E44" s="698"/>
      <c r="F44" s="698">
        <v>0.19639000000000001</v>
      </c>
      <c r="G44" s="698">
        <v>0.33333333333333331</v>
      </c>
      <c r="H44" s="698">
        <v>-0.13694333333333331</v>
      </c>
      <c r="I44" s="699">
        <v>0.58917000000000008</v>
      </c>
      <c r="J44" s="700" t="s">
        <v>1</v>
      </c>
    </row>
    <row r="45" spans="1:10" ht="14.4" customHeight="1" x14ac:dyDescent="0.3">
      <c r="A45" s="696" t="s">
        <v>604</v>
      </c>
      <c r="B45" s="697" t="s">
        <v>379</v>
      </c>
      <c r="C45" s="698">
        <v>32.391310000000004</v>
      </c>
      <c r="D45" s="698">
        <v>9.0836800000000011</v>
      </c>
      <c r="E45" s="698"/>
      <c r="F45" s="698">
        <v>12.48024</v>
      </c>
      <c r="G45" s="698">
        <v>21.021296282544998</v>
      </c>
      <c r="H45" s="698">
        <v>-8.5410562825449983</v>
      </c>
      <c r="I45" s="699">
        <v>0.59369507152434497</v>
      </c>
      <c r="J45" s="700" t="s">
        <v>1</v>
      </c>
    </row>
    <row r="46" spans="1:10" ht="14.4" customHeight="1" x14ac:dyDescent="0.3">
      <c r="A46" s="696" t="s">
        <v>604</v>
      </c>
      <c r="B46" s="697" t="s">
        <v>380</v>
      </c>
      <c r="C46" s="698">
        <v>27.208890000000004</v>
      </c>
      <c r="D46" s="698">
        <v>18.273989999999998</v>
      </c>
      <c r="E46" s="698"/>
      <c r="F46" s="698">
        <v>23.99211</v>
      </c>
      <c r="G46" s="698">
        <v>22.591417590598834</v>
      </c>
      <c r="H46" s="698">
        <v>1.4006924094011666</v>
      </c>
      <c r="I46" s="699">
        <v>1.0620010853140995</v>
      </c>
      <c r="J46" s="700" t="s">
        <v>1</v>
      </c>
    </row>
    <row r="47" spans="1:10" ht="14.4" customHeight="1" x14ac:dyDescent="0.3">
      <c r="A47" s="696" t="s">
        <v>604</v>
      </c>
      <c r="B47" s="697" t="s">
        <v>381</v>
      </c>
      <c r="C47" s="698">
        <v>4.6334999999999997</v>
      </c>
      <c r="D47" s="698">
        <v>4.5366</v>
      </c>
      <c r="E47" s="698"/>
      <c r="F47" s="698">
        <v>6.9948999999999995</v>
      </c>
      <c r="G47" s="698">
        <v>5.7832687528706659</v>
      </c>
      <c r="H47" s="698">
        <v>1.2116312471293336</v>
      </c>
      <c r="I47" s="699">
        <v>1.2095063015233229</v>
      </c>
      <c r="J47" s="700" t="s">
        <v>1</v>
      </c>
    </row>
    <row r="48" spans="1:10" ht="14.4" customHeight="1" x14ac:dyDescent="0.3">
      <c r="A48" s="696" t="s">
        <v>604</v>
      </c>
      <c r="B48" s="697" t="s">
        <v>382</v>
      </c>
      <c r="C48" s="698">
        <v>0</v>
      </c>
      <c r="D48" s="698">
        <v>0</v>
      </c>
      <c r="E48" s="698"/>
      <c r="F48" s="698" t="s">
        <v>593</v>
      </c>
      <c r="G48" s="698" t="s">
        <v>593</v>
      </c>
      <c r="H48" s="698" t="s">
        <v>593</v>
      </c>
      <c r="I48" s="699" t="s">
        <v>593</v>
      </c>
      <c r="J48" s="700" t="s">
        <v>1</v>
      </c>
    </row>
    <row r="49" spans="1:10" ht="14.4" customHeight="1" x14ac:dyDescent="0.3">
      <c r="A49" s="696" t="s">
        <v>604</v>
      </c>
      <c r="B49" s="697" t="s">
        <v>383</v>
      </c>
      <c r="C49" s="698">
        <v>1.3528</v>
      </c>
      <c r="D49" s="698">
        <v>0.59599999999999997</v>
      </c>
      <c r="E49" s="698"/>
      <c r="F49" s="698">
        <v>0.55200000000000005</v>
      </c>
      <c r="G49" s="698">
        <v>0.87121648965166665</v>
      </c>
      <c r="H49" s="698">
        <v>-0.3192164896516666</v>
      </c>
      <c r="I49" s="699">
        <v>0.63359682301319042</v>
      </c>
      <c r="J49" s="700" t="s">
        <v>1</v>
      </c>
    </row>
    <row r="50" spans="1:10" ht="14.4" customHeight="1" x14ac:dyDescent="0.3">
      <c r="A50" s="696" t="s">
        <v>604</v>
      </c>
      <c r="B50" s="697" t="s">
        <v>384</v>
      </c>
      <c r="C50" s="698">
        <v>4.5439999999999996</v>
      </c>
      <c r="D50" s="698">
        <v>4.6538000000000004</v>
      </c>
      <c r="E50" s="698"/>
      <c r="F50" s="698">
        <v>4.8239999999999998</v>
      </c>
      <c r="G50" s="698">
        <v>4.8076161093346661</v>
      </c>
      <c r="H50" s="698">
        <v>1.6383890665333745E-2</v>
      </c>
      <c r="I50" s="699">
        <v>1.0034079032711289</v>
      </c>
      <c r="J50" s="700" t="s">
        <v>1</v>
      </c>
    </row>
    <row r="51" spans="1:10" ht="14.4" customHeight="1" x14ac:dyDescent="0.3">
      <c r="A51" s="696" t="s">
        <v>604</v>
      </c>
      <c r="B51" s="697" t="s">
        <v>385</v>
      </c>
      <c r="C51" s="698">
        <v>5.3557000000000006</v>
      </c>
      <c r="D51" s="698">
        <v>5.3557000000000006</v>
      </c>
      <c r="E51" s="698"/>
      <c r="F51" s="698">
        <v>2.6779000000000002</v>
      </c>
      <c r="G51" s="698">
        <v>5.4132444488963332</v>
      </c>
      <c r="H51" s="698">
        <v>-2.735344448896333</v>
      </c>
      <c r="I51" s="699">
        <v>0.49469408323985398</v>
      </c>
      <c r="J51" s="700" t="s">
        <v>1</v>
      </c>
    </row>
    <row r="52" spans="1:10" ht="14.4" customHeight="1" x14ac:dyDescent="0.3">
      <c r="A52" s="696" t="s">
        <v>604</v>
      </c>
      <c r="B52" s="697" t="s">
        <v>386</v>
      </c>
      <c r="C52" s="698">
        <v>0.27839999999999998</v>
      </c>
      <c r="D52" s="698">
        <v>0.70440000000000003</v>
      </c>
      <c r="E52" s="698"/>
      <c r="F52" s="698">
        <v>2.8451</v>
      </c>
      <c r="G52" s="698">
        <v>0.89915576305249989</v>
      </c>
      <c r="H52" s="698">
        <v>1.9459442369475002</v>
      </c>
      <c r="I52" s="699">
        <v>3.1641903626812216</v>
      </c>
      <c r="J52" s="700" t="s">
        <v>1</v>
      </c>
    </row>
    <row r="53" spans="1:10" ht="14.4" customHeight="1" x14ac:dyDescent="0.3">
      <c r="A53" s="696" t="s">
        <v>604</v>
      </c>
      <c r="B53" s="697" t="s">
        <v>606</v>
      </c>
      <c r="C53" s="698">
        <v>75.917060000000006</v>
      </c>
      <c r="D53" s="698">
        <v>44.866069999999986</v>
      </c>
      <c r="E53" s="698"/>
      <c r="F53" s="698">
        <v>57.635490000000004</v>
      </c>
      <c r="G53" s="698">
        <v>62.80664672148017</v>
      </c>
      <c r="H53" s="698">
        <v>-5.1711567214801661</v>
      </c>
      <c r="I53" s="699">
        <v>0.9176654543521171</v>
      </c>
      <c r="J53" s="700" t="s">
        <v>599</v>
      </c>
    </row>
    <row r="54" spans="1:10" ht="14.4" customHeight="1" x14ac:dyDescent="0.3">
      <c r="A54" s="696" t="s">
        <v>593</v>
      </c>
      <c r="B54" s="697" t="s">
        <v>593</v>
      </c>
      <c r="C54" s="698" t="s">
        <v>593</v>
      </c>
      <c r="D54" s="698" t="s">
        <v>593</v>
      </c>
      <c r="E54" s="698"/>
      <c r="F54" s="698" t="s">
        <v>593</v>
      </c>
      <c r="G54" s="698" t="s">
        <v>593</v>
      </c>
      <c r="H54" s="698" t="s">
        <v>593</v>
      </c>
      <c r="I54" s="699" t="s">
        <v>593</v>
      </c>
      <c r="J54" s="700" t="s">
        <v>600</v>
      </c>
    </row>
    <row r="55" spans="1:10" ht="14.4" customHeight="1" x14ac:dyDescent="0.3">
      <c r="A55" s="696" t="s">
        <v>2074</v>
      </c>
      <c r="B55" s="697" t="s">
        <v>2075</v>
      </c>
      <c r="C55" s="698" t="s">
        <v>593</v>
      </c>
      <c r="D55" s="698" t="s">
        <v>593</v>
      </c>
      <c r="E55" s="698"/>
      <c r="F55" s="698" t="s">
        <v>593</v>
      </c>
      <c r="G55" s="698" t="s">
        <v>593</v>
      </c>
      <c r="H55" s="698" t="s">
        <v>593</v>
      </c>
      <c r="I55" s="699" t="s">
        <v>593</v>
      </c>
      <c r="J55" s="700" t="s">
        <v>0</v>
      </c>
    </row>
    <row r="56" spans="1:10" ht="14.4" customHeight="1" x14ac:dyDescent="0.3">
      <c r="A56" s="696" t="s">
        <v>2074</v>
      </c>
      <c r="B56" s="697" t="s">
        <v>374</v>
      </c>
      <c r="C56" s="698">
        <v>0</v>
      </c>
      <c r="D56" s="698">
        <v>-64.174599999999998</v>
      </c>
      <c r="E56" s="698"/>
      <c r="F56" s="698">
        <v>-52.85745</v>
      </c>
      <c r="G56" s="698">
        <v>33.333333333333336</v>
      </c>
      <c r="H56" s="698">
        <v>-86.190783333333343</v>
      </c>
      <c r="I56" s="699">
        <v>-1.5857234999999998</v>
      </c>
      <c r="J56" s="700" t="s">
        <v>1</v>
      </c>
    </row>
    <row r="57" spans="1:10" ht="14.4" customHeight="1" x14ac:dyDescent="0.3">
      <c r="A57" s="696" t="s">
        <v>2074</v>
      </c>
      <c r="B57" s="697" t="s">
        <v>375</v>
      </c>
      <c r="C57" s="698">
        <v>1824.8839800000019</v>
      </c>
      <c r="D57" s="698">
        <v>2653.3949300000004</v>
      </c>
      <c r="E57" s="698"/>
      <c r="F57" s="698">
        <v>2135.6600800000001</v>
      </c>
      <c r="G57" s="698">
        <v>2150</v>
      </c>
      <c r="H57" s="698">
        <v>-14.339919999999893</v>
      </c>
      <c r="I57" s="699">
        <v>0.99333026976744188</v>
      </c>
      <c r="J57" s="700" t="s">
        <v>1</v>
      </c>
    </row>
    <row r="58" spans="1:10" ht="14.4" customHeight="1" x14ac:dyDescent="0.3">
      <c r="A58" s="696" t="s">
        <v>2074</v>
      </c>
      <c r="B58" s="697" t="s">
        <v>376</v>
      </c>
      <c r="C58" s="698">
        <v>71.892699999999991</v>
      </c>
      <c r="D58" s="698">
        <v>73.194640000000007</v>
      </c>
      <c r="E58" s="698"/>
      <c r="F58" s="698">
        <v>47.155169999999998</v>
      </c>
      <c r="G58" s="698">
        <v>35</v>
      </c>
      <c r="H58" s="698">
        <v>12.155169999999998</v>
      </c>
      <c r="I58" s="699">
        <v>1.3472905714285714</v>
      </c>
      <c r="J58" s="700" t="s">
        <v>1</v>
      </c>
    </row>
    <row r="59" spans="1:10" ht="14.4" customHeight="1" x14ac:dyDescent="0.3">
      <c r="A59" s="696" t="s">
        <v>2074</v>
      </c>
      <c r="B59" s="697" t="s">
        <v>379</v>
      </c>
      <c r="C59" s="698">
        <v>0</v>
      </c>
      <c r="D59" s="698" t="s">
        <v>593</v>
      </c>
      <c r="E59" s="698"/>
      <c r="F59" s="698" t="s">
        <v>593</v>
      </c>
      <c r="G59" s="698" t="s">
        <v>593</v>
      </c>
      <c r="H59" s="698" t="s">
        <v>593</v>
      </c>
      <c r="I59" s="699" t="s">
        <v>593</v>
      </c>
      <c r="J59" s="700" t="s">
        <v>1</v>
      </c>
    </row>
    <row r="60" spans="1:10" ht="14.4" customHeight="1" x14ac:dyDescent="0.3">
      <c r="A60" s="696" t="s">
        <v>2074</v>
      </c>
      <c r="B60" s="697" t="s">
        <v>380</v>
      </c>
      <c r="C60" s="698">
        <v>97.06617</v>
      </c>
      <c r="D60" s="698">
        <v>169.87372999999999</v>
      </c>
      <c r="E60" s="698"/>
      <c r="F60" s="698">
        <v>112.48372000000001</v>
      </c>
      <c r="G60" s="698">
        <v>171.82841264886167</v>
      </c>
      <c r="H60" s="698">
        <v>-59.344692648861667</v>
      </c>
      <c r="I60" s="699">
        <v>0.65462817392060213</v>
      </c>
      <c r="J60" s="700" t="s">
        <v>1</v>
      </c>
    </row>
    <row r="61" spans="1:10" ht="14.4" customHeight="1" x14ac:dyDescent="0.3">
      <c r="A61" s="696" t="s">
        <v>2074</v>
      </c>
      <c r="B61" s="697" t="s">
        <v>381</v>
      </c>
      <c r="C61" s="698">
        <v>0</v>
      </c>
      <c r="D61" s="698">
        <v>0</v>
      </c>
      <c r="E61" s="698"/>
      <c r="F61" s="698" t="s">
        <v>593</v>
      </c>
      <c r="G61" s="698" t="s">
        <v>593</v>
      </c>
      <c r="H61" s="698" t="s">
        <v>593</v>
      </c>
      <c r="I61" s="699" t="s">
        <v>593</v>
      </c>
      <c r="J61" s="700" t="s">
        <v>1</v>
      </c>
    </row>
    <row r="62" spans="1:10" ht="14.4" customHeight="1" x14ac:dyDescent="0.3">
      <c r="A62" s="696" t="s">
        <v>2074</v>
      </c>
      <c r="B62" s="697" t="s">
        <v>382</v>
      </c>
      <c r="C62" s="698">
        <v>16.863489999999999</v>
      </c>
      <c r="D62" s="698">
        <v>0</v>
      </c>
      <c r="E62" s="698"/>
      <c r="F62" s="698">
        <v>17.868020000000001</v>
      </c>
      <c r="G62" s="698">
        <v>11.203687362121167</v>
      </c>
      <c r="H62" s="698">
        <v>6.6643326378788341</v>
      </c>
      <c r="I62" s="699">
        <v>1.5948338633948718</v>
      </c>
      <c r="J62" s="700" t="s">
        <v>1</v>
      </c>
    </row>
    <row r="63" spans="1:10" ht="14.4" customHeight="1" x14ac:dyDescent="0.3">
      <c r="A63" s="696" t="s">
        <v>2074</v>
      </c>
      <c r="B63" s="697" t="s">
        <v>383</v>
      </c>
      <c r="C63" s="698">
        <v>0</v>
      </c>
      <c r="D63" s="698" t="s">
        <v>593</v>
      </c>
      <c r="E63" s="698"/>
      <c r="F63" s="698" t="s">
        <v>593</v>
      </c>
      <c r="G63" s="698" t="s">
        <v>593</v>
      </c>
      <c r="H63" s="698" t="s">
        <v>593</v>
      </c>
      <c r="I63" s="699" t="s">
        <v>593</v>
      </c>
      <c r="J63" s="700" t="s">
        <v>1</v>
      </c>
    </row>
    <row r="64" spans="1:10" ht="14.4" customHeight="1" x14ac:dyDescent="0.3">
      <c r="A64" s="696" t="s">
        <v>2074</v>
      </c>
      <c r="B64" s="697" t="s">
        <v>386</v>
      </c>
      <c r="C64" s="698">
        <v>0</v>
      </c>
      <c r="D64" s="698" t="s">
        <v>593</v>
      </c>
      <c r="E64" s="698"/>
      <c r="F64" s="698" t="s">
        <v>593</v>
      </c>
      <c r="G64" s="698" t="s">
        <v>593</v>
      </c>
      <c r="H64" s="698" t="s">
        <v>593</v>
      </c>
      <c r="I64" s="699" t="s">
        <v>593</v>
      </c>
      <c r="J64" s="700" t="s">
        <v>1</v>
      </c>
    </row>
    <row r="65" spans="1:10" ht="14.4" customHeight="1" x14ac:dyDescent="0.3">
      <c r="A65" s="696" t="s">
        <v>2074</v>
      </c>
      <c r="B65" s="697" t="s">
        <v>387</v>
      </c>
      <c r="C65" s="698">
        <v>75.698809999999995</v>
      </c>
      <c r="D65" s="698">
        <v>23.770690000000002</v>
      </c>
      <c r="E65" s="698"/>
      <c r="F65" s="698">
        <v>82.291629999999998</v>
      </c>
      <c r="G65" s="698">
        <v>33.333333333333336</v>
      </c>
      <c r="H65" s="698">
        <v>48.958296666666662</v>
      </c>
      <c r="I65" s="699">
        <v>2.4687488999999996</v>
      </c>
      <c r="J65" s="700" t="s">
        <v>1</v>
      </c>
    </row>
    <row r="66" spans="1:10" ht="14.4" customHeight="1" x14ac:dyDescent="0.3">
      <c r="A66" s="696" t="s">
        <v>2074</v>
      </c>
      <c r="B66" s="697" t="s">
        <v>2076</v>
      </c>
      <c r="C66" s="698">
        <v>2086.4051500000019</v>
      </c>
      <c r="D66" s="698">
        <v>2856.0593900000003</v>
      </c>
      <c r="E66" s="698"/>
      <c r="F66" s="698">
        <v>2342.6011700000004</v>
      </c>
      <c r="G66" s="698">
        <v>2434.6987666776495</v>
      </c>
      <c r="H66" s="698">
        <v>-92.097596677649108</v>
      </c>
      <c r="I66" s="699">
        <v>0.96217289878397405</v>
      </c>
      <c r="J66" s="700" t="s">
        <v>599</v>
      </c>
    </row>
    <row r="67" spans="1:10" ht="14.4" customHeight="1" x14ac:dyDescent="0.3">
      <c r="A67" s="696" t="s">
        <v>593</v>
      </c>
      <c r="B67" s="697" t="s">
        <v>593</v>
      </c>
      <c r="C67" s="698" t="s">
        <v>593</v>
      </c>
      <c r="D67" s="698" t="s">
        <v>593</v>
      </c>
      <c r="E67" s="698"/>
      <c r="F67" s="698" t="s">
        <v>593</v>
      </c>
      <c r="G67" s="698" t="s">
        <v>593</v>
      </c>
      <c r="H67" s="698" t="s">
        <v>593</v>
      </c>
      <c r="I67" s="699" t="s">
        <v>593</v>
      </c>
      <c r="J67" s="700" t="s">
        <v>600</v>
      </c>
    </row>
    <row r="68" spans="1:10" ht="14.4" customHeight="1" x14ac:dyDescent="0.3">
      <c r="A68" s="696" t="s">
        <v>591</v>
      </c>
      <c r="B68" s="697" t="s">
        <v>594</v>
      </c>
      <c r="C68" s="698">
        <v>2347.9113800000018</v>
      </c>
      <c r="D68" s="698">
        <v>3016.95012</v>
      </c>
      <c r="E68" s="698"/>
      <c r="F68" s="698">
        <v>2538.1180500000005</v>
      </c>
      <c r="G68" s="698">
        <v>2673.6666666666647</v>
      </c>
      <c r="H68" s="698">
        <v>-135.5486166666642</v>
      </c>
      <c r="I68" s="699">
        <v>0.94930235008103814</v>
      </c>
      <c r="J68" s="700" t="s">
        <v>595</v>
      </c>
    </row>
  </sheetData>
  <mergeCells count="3">
    <mergeCell ref="A1:I1"/>
    <mergeCell ref="F3:I3"/>
    <mergeCell ref="C4:D4"/>
  </mergeCells>
  <conditionalFormatting sqref="F21 F69:F65537">
    <cfRule type="cellIs" dxfId="45" priority="18" stopIfTrue="1" operator="greaterThan">
      <formula>1</formula>
    </cfRule>
  </conditionalFormatting>
  <conditionalFormatting sqref="H5:H20">
    <cfRule type="expression" dxfId="44" priority="14">
      <formula>$H5&gt;0</formula>
    </cfRule>
  </conditionalFormatting>
  <conditionalFormatting sqref="I5:I20">
    <cfRule type="expression" dxfId="43" priority="15">
      <formula>$I5&gt;1</formula>
    </cfRule>
  </conditionalFormatting>
  <conditionalFormatting sqref="B5:B20">
    <cfRule type="expression" dxfId="42" priority="11">
      <formula>OR($J5="NS",$J5="SumaNS",$J5="Účet")</formula>
    </cfRule>
  </conditionalFormatting>
  <conditionalFormatting sqref="F5:I20 B5:D20">
    <cfRule type="expression" dxfId="41" priority="17">
      <formula>AND($J5&lt;&gt;"",$J5&lt;&gt;"mezeraKL")</formula>
    </cfRule>
  </conditionalFormatting>
  <conditionalFormatting sqref="B5:D20 F5:I20">
    <cfRule type="expression" dxfId="40" priority="12">
      <formula>OR($J5="KL",$J5="SumaKL")</formula>
    </cfRule>
    <cfRule type="expression" priority="16" stopIfTrue="1">
      <formula>OR($J5="mezeraNS",$J5="mezeraKL")</formula>
    </cfRule>
  </conditionalFormatting>
  <conditionalFormatting sqref="B5:D20 F5:I20">
    <cfRule type="expression" dxfId="39" priority="13">
      <formula>OR($J5="SumaNS",$J5="NS")</formula>
    </cfRule>
  </conditionalFormatting>
  <conditionalFormatting sqref="A5:A20">
    <cfRule type="expression" dxfId="38" priority="9">
      <formula>AND($J5&lt;&gt;"mezeraKL",$J5&lt;&gt;"")</formula>
    </cfRule>
  </conditionalFormatting>
  <conditionalFormatting sqref="A5:A20">
    <cfRule type="expression" dxfId="37" priority="10">
      <formula>AND($J5&lt;&gt;"",$J5&lt;&gt;"mezeraKL")</formula>
    </cfRule>
  </conditionalFormatting>
  <conditionalFormatting sqref="H22:H68">
    <cfRule type="expression" dxfId="36" priority="5">
      <formula>$H22&gt;0</formula>
    </cfRule>
  </conditionalFormatting>
  <conditionalFormatting sqref="A22:A68">
    <cfRule type="expression" dxfId="35" priority="2">
      <formula>AND($J22&lt;&gt;"mezeraKL",$J22&lt;&gt;"")</formula>
    </cfRule>
  </conditionalFormatting>
  <conditionalFormatting sqref="I22:I68">
    <cfRule type="expression" dxfId="34" priority="6">
      <formula>$I22&gt;1</formula>
    </cfRule>
  </conditionalFormatting>
  <conditionalFormatting sqref="B22:B68">
    <cfRule type="expression" dxfId="33" priority="1">
      <formula>OR($J22="NS",$J22="SumaNS",$J22="Účet")</formula>
    </cfRule>
  </conditionalFormatting>
  <conditionalFormatting sqref="A22:D68 F22:I68">
    <cfRule type="expression" dxfId="32" priority="8">
      <formula>AND($J22&lt;&gt;"",$J22&lt;&gt;"mezeraKL")</formula>
    </cfRule>
  </conditionalFormatting>
  <conditionalFormatting sqref="B22:D68 F22:I68">
    <cfRule type="expression" dxfId="31" priority="3">
      <formula>OR($J22="KL",$J22="SumaKL")</formula>
    </cfRule>
    <cfRule type="expression" priority="7" stopIfTrue="1">
      <formula>OR($J22="mezeraNS",$J22="mezeraKL")</formula>
    </cfRule>
  </conditionalFormatting>
  <conditionalFormatting sqref="B22:D68 F22:I68">
    <cfRule type="expression" dxfId="30" priority="4">
      <formula>OR($J22="SumaNS",$J22="NS")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7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55" t="s">
        <v>3352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</row>
    <row r="2" spans="1:11" ht="14.4" customHeight="1" thickBot="1" x14ac:dyDescent="0.35">
      <c r="A2" s="374" t="s">
        <v>353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51"/>
      <c r="D3" s="552"/>
      <c r="E3" s="552"/>
      <c r="F3" s="552"/>
      <c r="G3" s="552"/>
      <c r="H3" s="260" t="s">
        <v>159</v>
      </c>
      <c r="I3" s="203">
        <f>IF(J3&lt;&gt;0,K3/J3,0)</f>
        <v>52.368510455378797</v>
      </c>
      <c r="J3" s="203">
        <f>SUBTOTAL(9,J5:J1048576)</f>
        <v>49551.05</v>
      </c>
      <c r="K3" s="204">
        <f>SUBTOTAL(9,K5:K1048576)</f>
        <v>2594914.6799999978</v>
      </c>
    </row>
    <row r="4" spans="1:11" s="330" customFormat="1" ht="14.4" customHeight="1" thickBot="1" x14ac:dyDescent="0.35">
      <c r="A4" s="823" t="s">
        <v>4</v>
      </c>
      <c r="B4" s="824" t="s">
        <v>5</v>
      </c>
      <c r="C4" s="824" t="s">
        <v>0</v>
      </c>
      <c r="D4" s="824" t="s">
        <v>6</v>
      </c>
      <c r="E4" s="824" t="s">
        <v>7</v>
      </c>
      <c r="F4" s="824" t="s">
        <v>1</v>
      </c>
      <c r="G4" s="824" t="s">
        <v>90</v>
      </c>
      <c r="H4" s="703" t="s">
        <v>11</v>
      </c>
      <c r="I4" s="704" t="s">
        <v>184</v>
      </c>
      <c r="J4" s="704" t="s">
        <v>13</v>
      </c>
      <c r="K4" s="705" t="s">
        <v>201</v>
      </c>
    </row>
    <row r="5" spans="1:11" ht="14.4" customHeight="1" x14ac:dyDescent="0.3">
      <c r="A5" s="787" t="s">
        <v>591</v>
      </c>
      <c r="B5" s="788" t="s">
        <v>592</v>
      </c>
      <c r="C5" s="791" t="s">
        <v>596</v>
      </c>
      <c r="D5" s="825" t="s">
        <v>1361</v>
      </c>
      <c r="E5" s="791" t="s">
        <v>3325</v>
      </c>
      <c r="F5" s="825" t="s">
        <v>3326</v>
      </c>
      <c r="G5" s="791" t="s">
        <v>2077</v>
      </c>
      <c r="H5" s="791" t="s">
        <v>2078</v>
      </c>
      <c r="I5" s="225">
        <v>3.27</v>
      </c>
      <c r="J5" s="225">
        <v>100</v>
      </c>
      <c r="K5" s="811">
        <v>327</v>
      </c>
    </row>
    <row r="6" spans="1:11" ht="14.4" customHeight="1" x14ac:dyDescent="0.3">
      <c r="A6" s="794" t="s">
        <v>591</v>
      </c>
      <c r="B6" s="795" t="s">
        <v>592</v>
      </c>
      <c r="C6" s="798" t="s">
        <v>596</v>
      </c>
      <c r="D6" s="826" t="s">
        <v>1361</v>
      </c>
      <c r="E6" s="798" t="s">
        <v>3325</v>
      </c>
      <c r="F6" s="826" t="s">
        <v>3326</v>
      </c>
      <c r="G6" s="798" t="s">
        <v>2079</v>
      </c>
      <c r="H6" s="798" t="s">
        <v>2080</v>
      </c>
      <c r="I6" s="812">
        <v>10.119999999999999</v>
      </c>
      <c r="J6" s="812">
        <v>40</v>
      </c>
      <c r="K6" s="813">
        <v>404.8</v>
      </c>
    </row>
    <row r="7" spans="1:11" ht="14.4" customHeight="1" x14ac:dyDescent="0.3">
      <c r="A7" s="794" t="s">
        <v>591</v>
      </c>
      <c r="B7" s="795" t="s">
        <v>592</v>
      </c>
      <c r="C7" s="798" t="s">
        <v>596</v>
      </c>
      <c r="D7" s="826" t="s">
        <v>1361</v>
      </c>
      <c r="E7" s="798" t="s">
        <v>3325</v>
      </c>
      <c r="F7" s="826" t="s">
        <v>3326</v>
      </c>
      <c r="G7" s="798" t="s">
        <v>2081</v>
      </c>
      <c r="H7" s="798" t="s">
        <v>2082</v>
      </c>
      <c r="I7" s="812">
        <v>28.74</v>
      </c>
      <c r="J7" s="812">
        <v>44</v>
      </c>
      <c r="K7" s="813">
        <v>1264.56</v>
      </c>
    </row>
    <row r="8" spans="1:11" ht="14.4" customHeight="1" x14ac:dyDescent="0.3">
      <c r="A8" s="794" t="s">
        <v>591</v>
      </c>
      <c r="B8" s="795" t="s">
        <v>592</v>
      </c>
      <c r="C8" s="798" t="s">
        <v>596</v>
      </c>
      <c r="D8" s="826" t="s">
        <v>1361</v>
      </c>
      <c r="E8" s="798" t="s">
        <v>3325</v>
      </c>
      <c r="F8" s="826" t="s">
        <v>3326</v>
      </c>
      <c r="G8" s="798" t="s">
        <v>2083</v>
      </c>
      <c r="H8" s="798" t="s">
        <v>2084</v>
      </c>
      <c r="I8" s="812">
        <v>3.02</v>
      </c>
      <c r="J8" s="812">
        <v>1600</v>
      </c>
      <c r="K8" s="813">
        <v>4832</v>
      </c>
    </row>
    <row r="9" spans="1:11" ht="14.4" customHeight="1" x14ac:dyDescent="0.3">
      <c r="A9" s="794" t="s">
        <v>591</v>
      </c>
      <c r="B9" s="795" t="s">
        <v>592</v>
      </c>
      <c r="C9" s="798" t="s">
        <v>596</v>
      </c>
      <c r="D9" s="826" t="s">
        <v>1361</v>
      </c>
      <c r="E9" s="798" t="s">
        <v>3325</v>
      </c>
      <c r="F9" s="826" t="s">
        <v>3326</v>
      </c>
      <c r="G9" s="798" t="s">
        <v>2085</v>
      </c>
      <c r="H9" s="798" t="s">
        <v>2086</v>
      </c>
      <c r="I9" s="812">
        <v>0.88</v>
      </c>
      <c r="J9" s="812">
        <v>600</v>
      </c>
      <c r="K9" s="813">
        <v>528</v>
      </c>
    </row>
    <row r="10" spans="1:11" ht="14.4" customHeight="1" x14ac:dyDescent="0.3">
      <c r="A10" s="794" t="s">
        <v>591</v>
      </c>
      <c r="B10" s="795" t="s">
        <v>592</v>
      </c>
      <c r="C10" s="798" t="s">
        <v>596</v>
      </c>
      <c r="D10" s="826" t="s">
        <v>1361</v>
      </c>
      <c r="E10" s="798" t="s">
        <v>3325</v>
      </c>
      <c r="F10" s="826" t="s">
        <v>3326</v>
      </c>
      <c r="G10" s="798" t="s">
        <v>2087</v>
      </c>
      <c r="H10" s="798" t="s">
        <v>2088</v>
      </c>
      <c r="I10" s="812">
        <v>0.14000000000000001</v>
      </c>
      <c r="J10" s="812">
        <v>100</v>
      </c>
      <c r="K10" s="813">
        <v>14</v>
      </c>
    </row>
    <row r="11" spans="1:11" ht="14.4" customHeight="1" x14ac:dyDescent="0.3">
      <c r="A11" s="794" t="s">
        <v>591</v>
      </c>
      <c r="B11" s="795" t="s">
        <v>592</v>
      </c>
      <c r="C11" s="798" t="s">
        <v>596</v>
      </c>
      <c r="D11" s="826" t="s">
        <v>1361</v>
      </c>
      <c r="E11" s="798" t="s">
        <v>3325</v>
      </c>
      <c r="F11" s="826" t="s">
        <v>3326</v>
      </c>
      <c r="G11" s="798" t="s">
        <v>2089</v>
      </c>
      <c r="H11" s="798" t="s">
        <v>2090</v>
      </c>
      <c r="I11" s="812">
        <v>233.8</v>
      </c>
      <c r="J11" s="812">
        <v>5</v>
      </c>
      <c r="K11" s="813">
        <v>1168.98</v>
      </c>
    </row>
    <row r="12" spans="1:11" ht="14.4" customHeight="1" x14ac:dyDescent="0.3">
      <c r="A12" s="794" t="s">
        <v>591</v>
      </c>
      <c r="B12" s="795" t="s">
        <v>592</v>
      </c>
      <c r="C12" s="798" t="s">
        <v>596</v>
      </c>
      <c r="D12" s="826" t="s">
        <v>1361</v>
      </c>
      <c r="E12" s="798" t="s">
        <v>3325</v>
      </c>
      <c r="F12" s="826" t="s">
        <v>3326</v>
      </c>
      <c r="G12" s="798" t="s">
        <v>2091</v>
      </c>
      <c r="H12" s="798" t="s">
        <v>2092</v>
      </c>
      <c r="I12" s="812">
        <v>22.145</v>
      </c>
      <c r="J12" s="812">
        <v>100</v>
      </c>
      <c r="K12" s="813">
        <v>2214.5</v>
      </c>
    </row>
    <row r="13" spans="1:11" ht="14.4" customHeight="1" x14ac:dyDescent="0.3">
      <c r="A13" s="794" t="s">
        <v>591</v>
      </c>
      <c r="B13" s="795" t="s">
        <v>592</v>
      </c>
      <c r="C13" s="798" t="s">
        <v>596</v>
      </c>
      <c r="D13" s="826" t="s">
        <v>1361</v>
      </c>
      <c r="E13" s="798" t="s">
        <v>3325</v>
      </c>
      <c r="F13" s="826" t="s">
        <v>3326</v>
      </c>
      <c r="G13" s="798" t="s">
        <v>2093</v>
      </c>
      <c r="H13" s="798" t="s">
        <v>2094</v>
      </c>
      <c r="I13" s="812">
        <v>30.17</v>
      </c>
      <c r="J13" s="812">
        <v>100</v>
      </c>
      <c r="K13" s="813">
        <v>3017</v>
      </c>
    </row>
    <row r="14" spans="1:11" ht="14.4" customHeight="1" x14ac:dyDescent="0.3">
      <c r="A14" s="794" t="s">
        <v>591</v>
      </c>
      <c r="B14" s="795" t="s">
        <v>592</v>
      </c>
      <c r="C14" s="798" t="s">
        <v>596</v>
      </c>
      <c r="D14" s="826" t="s">
        <v>1361</v>
      </c>
      <c r="E14" s="798" t="s">
        <v>3325</v>
      </c>
      <c r="F14" s="826" t="s">
        <v>3326</v>
      </c>
      <c r="G14" s="798" t="s">
        <v>2095</v>
      </c>
      <c r="H14" s="798" t="s">
        <v>2096</v>
      </c>
      <c r="I14" s="812">
        <v>1.38</v>
      </c>
      <c r="J14" s="812">
        <v>100</v>
      </c>
      <c r="K14" s="813">
        <v>138</v>
      </c>
    </row>
    <row r="15" spans="1:11" ht="14.4" customHeight="1" x14ac:dyDescent="0.3">
      <c r="A15" s="794" t="s">
        <v>591</v>
      </c>
      <c r="B15" s="795" t="s">
        <v>592</v>
      </c>
      <c r="C15" s="798" t="s">
        <v>596</v>
      </c>
      <c r="D15" s="826" t="s">
        <v>1361</v>
      </c>
      <c r="E15" s="798" t="s">
        <v>3325</v>
      </c>
      <c r="F15" s="826" t="s">
        <v>3326</v>
      </c>
      <c r="G15" s="798" t="s">
        <v>2097</v>
      </c>
      <c r="H15" s="798" t="s">
        <v>2098</v>
      </c>
      <c r="I15" s="812">
        <v>8.59</v>
      </c>
      <c r="J15" s="812">
        <v>100</v>
      </c>
      <c r="K15" s="813">
        <v>859</v>
      </c>
    </row>
    <row r="16" spans="1:11" ht="14.4" customHeight="1" x14ac:dyDescent="0.3">
      <c r="A16" s="794" t="s">
        <v>591</v>
      </c>
      <c r="B16" s="795" t="s">
        <v>592</v>
      </c>
      <c r="C16" s="798" t="s">
        <v>596</v>
      </c>
      <c r="D16" s="826" t="s">
        <v>1361</v>
      </c>
      <c r="E16" s="798" t="s">
        <v>3325</v>
      </c>
      <c r="F16" s="826" t="s">
        <v>3326</v>
      </c>
      <c r="G16" s="798" t="s">
        <v>2099</v>
      </c>
      <c r="H16" s="798" t="s">
        <v>2100</v>
      </c>
      <c r="I16" s="812">
        <v>39.1</v>
      </c>
      <c r="J16" s="812">
        <v>20</v>
      </c>
      <c r="K16" s="813">
        <v>782</v>
      </c>
    </row>
    <row r="17" spans="1:11" ht="14.4" customHeight="1" x14ac:dyDescent="0.3">
      <c r="A17" s="794" t="s">
        <v>591</v>
      </c>
      <c r="B17" s="795" t="s">
        <v>592</v>
      </c>
      <c r="C17" s="798" t="s">
        <v>596</v>
      </c>
      <c r="D17" s="826" t="s">
        <v>1361</v>
      </c>
      <c r="E17" s="798" t="s">
        <v>3325</v>
      </c>
      <c r="F17" s="826" t="s">
        <v>3326</v>
      </c>
      <c r="G17" s="798" t="s">
        <v>2101</v>
      </c>
      <c r="H17" s="798" t="s">
        <v>2102</v>
      </c>
      <c r="I17" s="812">
        <v>0.67</v>
      </c>
      <c r="J17" s="812">
        <v>1000</v>
      </c>
      <c r="K17" s="813">
        <v>670</v>
      </c>
    </row>
    <row r="18" spans="1:11" ht="14.4" customHeight="1" x14ac:dyDescent="0.3">
      <c r="A18" s="794" t="s">
        <v>591</v>
      </c>
      <c r="B18" s="795" t="s">
        <v>592</v>
      </c>
      <c r="C18" s="798" t="s">
        <v>596</v>
      </c>
      <c r="D18" s="826" t="s">
        <v>1361</v>
      </c>
      <c r="E18" s="798" t="s">
        <v>3325</v>
      </c>
      <c r="F18" s="826" t="s">
        <v>3326</v>
      </c>
      <c r="G18" s="798" t="s">
        <v>2103</v>
      </c>
      <c r="H18" s="798" t="s">
        <v>2104</v>
      </c>
      <c r="I18" s="812">
        <v>8.58</v>
      </c>
      <c r="J18" s="812">
        <v>84</v>
      </c>
      <c r="K18" s="813">
        <v>720.72</v>
      </c>
    </row>
    <row r="19" spans="1:11" ht="14.4" customHeight="1" x14ac:dyDescent="0.3">
      <c r="A19" s="794" t="s">
        <v>591</v>
      </c>
      <c r="B19" s="795" t="s">
        <v>592</v>
      </c>
      <c r="C19" s="798" t="s">
        <v>596</v>
      </c>
      <c r="D19" s="826" t="s">
        <v>1361</v>
      </c>
      <c r="E19" s="798" t="s">
        <v>3325</v>
      </c>
      <c r="F19" s="826" t="s">
        <v>3326</v>
      </c>
      <c r="G19" s="798" t="s">
        <v>2105</v>
      </c>
      <c r="H19" s="798" t="s">
        <v>2106</v>
      </c>
      <c r="I19" s="812">
        <v>27.88</v>
      </c>
      <c r="J19" s="812">
        <v>7</v>
      </c>
      <c r="K19" s="813">
        <v>195.16</v>
      </c>
    </row>
    <row r="20" spans="1:11" ht="14.4" customHeight="1" x14ac:dyDescent="0.3">
      <c r="A20" s="794" t="s">
        <v>591</v>
      </c>
      <c r="B20" s="795" t="s">
        <v>592</v>
      </c>
      <c r="C20" s="798" t="s">
        <v>596</v>
      </c>
      <c r="D20" s="826" t="s">
        <v>1361</v>
      </c>
      <c r="E20" s="798" t="s">
        <v>3325</v>
      </c>
      <c r="F20" s="826" t="s">
        <v>3326</v>
      </c>
      <c r="G20" s="798" t="s">
        <v>2107</v>
      </c>
      <c r="H20" s="798" t="s">
        <v>2108</v>
      </c>
      <c r="I20" s="812">
        <v>1.1749999999999998</v>
      </c>
      <c r="J20" s="812">
        <v>800</v>
      </c>
      <c r="K20" s="813">
        <v>940</v>
      </c>
    </row>
    <row r="21" spans="1:11" ht="14.4" customHeight="1" x14ac:dyDescent="0.3">
      <c r="A21" s="794" t="s">
        <v>591</v>
      </c>
      <c r="B21" s="795" t="s">
        <v>592</v>
      </c>
      <c r="C21" s="798" t="s">
        <v>596</v>
      </c>
      <c r="D21" s="826" t="s">
        <v>1361</v>
      </c>
      <c r="E21" s="798" t="s">
        <v>3325</v>
      </c>
      <c r="F21" s="826" t="s">
        <v>3326</v>
      </c>
      <c r="G21" s="798" t="s">
        <v>2109</v>
      </c>
      <c r="H21" s="798" t="s">
        <v>2110</v>
      </c>
      <c r="I21" s="812">
        <v>124.41</v>
      </c>
      <c r="J21" s="812">
        <v>5</v>
      </c>
      <c r="K21" s="813">
        <v>622.04</v>
      </c>
    </row>
    <row r="22" spans="1:11" ht="14.4" customHeight="1" x14ac:dyDescent="0.3">
      <c r="A22" s="794" t="s">
        <v>591</v>
      </c>
      <c r="B22" s="795" t="s">
        <v>592</v>
      </c>
      <c r="C22" s="798" t="s">
        <v>596</v>
      </c>
      <c r="D22" s="826" t="s">
        <v>1361</v>
      </c>
      <c r="E22" s="798" t="s">
        <v>3325</v>
      </c>
      <c r="F22" s="826" t="s">
        <v>3326</v>
      </c>
      <c r="G22" s="798" t="s">
        <v>2111</v>
      </c>
      <c r="H22" s="798" t="s">
        <v>2112</v>
      </c>
      <c r="I22" s="812">
        <v>0.85</v>
      </c>
      <c r="J22" s="812">
        <v>100</v>
      </c>
      <c r="K22" s="813">
        <v>85</v>
      </c>
    </row>
    <row r="23" spans="1:11" ht="14.4" customHeight="1" x14ac:dyDescent="0.3">
      <c r="A23" s="794" t="s">
        <v>591</v>
      </c>
      <c r="B23" s="795" t="s">
        <v>592</v>
      </c>
      <c r="C23" s="798" t="s">
        <v>596</v>
      </c>
      <c r="D23" s="826" t="s">
        <v>1361</v>
      </c>
      <c r="E23" s="798" t="s">
        <v>3325</v>
      </c>
      <c r="F23" s="826" t="s">
        <v>3326</v>
      </c>
      <c r="G23" s="798" t="s">
        <v>2113</v>
      </c>
      <c r="H23" s="798" t="s">
        <v>2114</v>
      </c>
      <c r="I23" s="812">
        <v>1.52</v>
      </c>
      <c r="J23" s="812">
        <v>200</v>
      </c>
      <c r="K23" s="813">
        <v>304</v>
      </c>
    </row>
    <row r="24" spans="1:11" ht="14.4" customHeight="1" x14ac:dyDescent="0.3">
      <c r="A24" s="794" t="s">
        <v>591</v>
      </c>
      <c r="B24" s="795" t="s">
        <v>592</v>
      </c>
      <c r="C24" s="798" t="s">
        <v>596</v>
      </c>
      <c r="D24" s="826" t="s">
        <v>1361</v>
      </c>
      <c r="E24" s="798" t="s">
        <v>3325</v>
      </c>
      <c r="F24" s="826" t="s">
        <v>3326</v>
      </c>
      <c r="G24" s="798" t="s">
        <v>2115</v>
      </c>
      <c r="H24" s="798" t="s">
        <v>2116</v>
      </c>
      <c r="I24" s="812">
        <v>3.37</v>
      </c>
      <c r="J24" s="812">
        <v>50</v>
      </c>
      <c r="K24" s="813">
        <v>168.5</v>
      </c>
    </row>
    <row r="25" spans="1:11" ht="14.4" customHeight="1" x14ac:dyDescent="0.3">
      <c r="A25" s="794" t="s">
        <v>591</v>
      </c>
      <c r="B25" s="795" t="s">
        <v>592</v>
      </c>
      <c r="C25" s="798" t="s">
        <v>596</v>
      </c>
      <c r="D25" s="826" t="s">
        <v>1361</v>
      </c>
      <c r="E25" s="798" t="s">
        <v>3325</v>
      </c>
      <c r="F25" s="826" t="s">
        <v>3326</v>
      </c>
      <c r="G25" s="798" t="s">
        <v>2117</v>
      </c>
      <c r="H25" s="798" t="s">
        <v>2118</v>
      </c>
      <c r="I25" s="812">
        <v>165.745</v>
      </c>
      <c r="J25" s="812">
        <v>25</v>
      </c>
      <c r="K25" s="813">
        <v>4270.5499999999993</v>
      </c>
    </row>
    <row r="26" spans="1:11" ht="14.4" customHeight="1" x14ac:dyDescent="0.3">
      <c r="A26" s="794" t="s">
        <v>591</v>
      </c>
      <c r="B26" s="795" t="s">
        <v>592</v>
      </c>
      <c r="C26" s="798" t="s">
        <v>596</v>
      </c>
      <c r="D26" s="826" t="s">
        <v>1361</v>
      </c>
      <c r="E26" s="798" t="s">
        <v>3325</v>
      </c>
      <c r="F26" s="826" t="s">
        <v>3326</v>
      </c>
      <c r="G26" s="798" t="s">
        <v>2119</v>
      </c>
      <c r="H26" s="798" t="s">
        <v>2120</v>
      </c>
      <c r="I26" s="812">
        <v>685.05333333333328</v>
      </c>
      <c r="J26" s="812">
        <v>28</v>
      </c>
      <c r="K26" s="813">
        <v>19181.48</v>
      </c>
    </row>
    <row r="27" spans="1:11" ht="14.4" customHeight="1" x14ac:dyDescent="0.3">
      <c r="A27" s="794" t="s">
        <v>591</v>
      </c>
      <c r="B27" s="795" t="s">
        <v>592</v>
      </c>
      <c r="C27" s="798" t="s">
        <v>596</v>
      </c>
      <c r="D27" s="826" t="s">
        <v>1361</v>
      </c>
      <c r="E27" s="798" t="s">
        <v>3325</v>
      </c>
      <c r="F27" s="826" t="s">
        <v>3326</v>
      </c>
      <c r="G27" s="798" t="s">
        <v>2121</v>
      </c>
      <c r="H27" s="798" t="s">
        <v>2122</v>
      </c>
      <c r="I27" s="812">
        <v>9.33</v>
      </c>
      <c r="J27" s="812">
        <v>1</v>
      </c>
      <c r="K27" s="813">
        <v>9.33</v>
      </c>
    </row>
    <row r="28" spans="1:11" ht="14.4" customHeight="1" x14ac:dyDescent="0.3">
      <c r="A28" s="794" t="s">
        <v>591</v>
      </c>
      <c r="B28" s="795" t="s">
        <v>592</v>
      </c>
      <c r="C28" s="798" t="s">
        <v>596</v>
      </c>
      <c r="D28" s="826" t="s">
        <v>1361</v>
      </c>
      <c r="E28" s="798" t="s">
        <v>3325</v>
      </c>
      <c r="F28" s="826" t="s">
        <v>3326</v>
      </c>
      <c r="G28" s="798" t="s">
        <v>2123</v>
      </c>
      <c r="H28" s="798" t="s">
        <v>2124</v>
      </c>
      <c r="I28" s="812">
        <v>591.69000000000005</v>
      </c>
      <c r="J28" s="812">
        <v>14</v>
      </c>
      <c r="K28" s="813">
        <v>8283.66</v>
      </c>
    </row>
    <row r="29" spans="1:11" ht="14.4" customHeight="1" x14ac:dyDescent="0.3">
      <c r="A29" s="794" t="s">
        <v>591</v>
      </c>
      <c r="B29" s="795" t="s">
        <v>592</v>
      </c>
      <c r="C29" s="798" t="s">
        <v>596</v>
      </c>
      <c r="D29" s="826" t="s">
        <v>1361</v>
      </c>
      <c r="E29" s="798" t="s">
        <v>3325</v>
      </c>
      <c r="F29" s="826" t="s">
        <v>3326</v>
      </c>
      <c r="G29" s="798" t="s">
        <v>2125</v>
      </c>
      <c r="H29" s="798" t="s">
        <v>2126</v>
      </c>
      <c r="I29" s="812">
        <v>713.57249999999999</v>
      </c>
      <c r="J29" s="812">
        <v>15</v>
      </c>
      <c r="K29" s="813">
        <v>10703.619999999999</v>
      </c>
    </row>
    <row r="30" spans="1:11" ht="14.4" customHeight="1" x14ac:dyDescent="0.3">
      <c r="A30" s="794" t="s">
        <v>591</v>
      </c>
      <c r="B30" s="795" t="s">
        <v>592</v>
      </c>
      <c r="C30" s="798" t="s">
        <v>596</v>
      </c>
      <c r="D30" s="826" t="s">
        <v>1361</v>
      </c>
      <c r="E30" s="798" t="s">
        <v>3327</v>
      </c>
      <c r="F30" s="826" t="s">
        <v>3328</v>
      </c>
      <c r="G30" s="798" t="s">
        <v>2127</v>
      </c>
      <c r="H30" s="798" t="s">
        <v>2128</v>
      </c>
      <c r="I30" s="812">
        <v>11.15</v>
      </c>
      <c r="J30" s="812">
        <v>50</v>
      </c>
      <c r="K30" s="813">
        <v>557.5</v>
      </c>
    </row>
    <row r="31" spans="1:11" ht="14.4" customHeight="1" x14ac:dyDescent="0.3">
      <c r="A31" s="794" t="s">
        <v>591</v>
      </c>
      <c r="B31" s="795" t="s">
        <v>592</v>
      </c>
      <c r="C31" s="798" t="s">
        <v>596</v>
      </c>
      <c r="D31" s="826" t="s">
        <v>1361</v>
      </c>
      <c r="E31" s="798" t="s">
        <v>3327</v>
      </c>
      <c r="F31" s="826" t="s">
        <v>3328</v>
      </c>
      <c r="G31" s="798" t="s">
        <v>2129</v>
      </c>
      <c r="H31" s="798" t="s">
        <v>2130</v>
      </c>
      <c r="I31" s="812">
        <v>2.75</v>
      </c>
      <c r="J31" s="812">
        <v>200</v>
      </c>
      <c r="K31" s="813">
        <v>550</v>
      </c>
    </row>
    <row r="32" spans="1:11" ht="14.4" customHeight="1" x14ac:dyDescent="0.3">
      <c r="A32" s="794" t="s">
        <v>591</v>
      </c>
      <c r="B32" s="795" t="s">
        <v>592</v>
      </c>
      <c r="C32" s="798" t="s">
        <v>596</v>
      </c>
      <c r="D32" s="826" t="s">
        <v>1361</v>
      </c>
      <c r="E32" s="798" t="s">
        <v>3327</v>
      </c>
      <c r="F32" s="826" t="s">
        <v>3328</v>
      </c>
      <c r="G32" s="798" t="s">
        <v>2131</v>
      </c>
      <c r="H32" s="798" t="s">
        <v>2132</v>
      </c>
      <c r="I32" s="812">
        <v>1.0900000000000001</v>
      </c>
      <c r="J32" s="812">
        <v>900</v>
      </c>
      <c r="K32" s="813">
        <v>981</v>
      </c>
    </row>
    <row r="33" spans="1:11" ht="14.4" customHeight="1" x14ac:dyDescent="0.3">
      <c r="A33" s="794" t="s">
        <v>591</v>
      </c>
      <c r="B33" s="795" t="s">
        <v>592</v>
      </c>
      <c r="C33" s="798" t="s">
        <v>596</v>
      </c>
      <c r="D33" s="826" t="s">
        <v>1361</v>
      </c>
      <c r="E33" s="798" t="s">
        <v>3327</v>
      </c>
      <c r="F33" s="826" t="s">
        <v>3328</v>
      </c>
      <c r="G33" s="798" t="s">
        <v>2133</v>
      </c>
      <c r="H33" s="798" t="s">
        <v>2134</v>
      </c>
      <c r="I33" s="812">
        <v>1.67</v>
      </c>
      <c r="J33" s="812">
        <v>400</v>
      </c>
      <c r="K33" s="813">
        <v>668</v>
      </c>
    </row>
    <row r="34" spans="1:11" ht="14.4" customHeight="1" x14ac:dyDescent="0.3">
      <c r="A34" s="794" t="s">
        <v>591</v>
      </c>
      <c r="B34" s="795" t="s">
        <v>592</v>
      </c>
      <c r="C34" s="798" t="s">
        <v>596</v>
      </c>
      <c r="D34" s="826" t="s">
        <v>1361</v>
      </c>
      <c r="E34" s="798" t="s">
        <v>3327</v>
      </c>
      <c r="F34" s="826" t="s">
        <v>3328</v>
      </c>
      <c r="G34" s="798" t="s">
        <v>2135</v>
      </c>
      <c r="H34" s="798" t="s">
        <v>2136</v>
      </c>
      <c r="I34" s="812">
        <v>0.48</v>
      </c>
      <c r="J34" s="812">
        <v>300</v>
      </c>
      <c r="K34" s="813">
        <v>144</v>
      </c>
    </row>
    <row r="35" spans="1:11" ht="14.4" customHeight="1" x14ac:dyDescent="0.3">
      <c r="A35" s="794" t="s">
        <v>591</v>
      </c>
      <c r="B35" s="795" t="s">
        <v>592</v>
      </c>
      <c r="C35" s="798" t="s">
        <v>596</v>
      </c>
      <c r="D35" s="826" t="s">
        <v>1361</v>
      </c>
      <c r="E35" s="798" t="s">
        <v>3327</v>
      </c>
      <c r="F35" s="826" t="s">
        <v>3328</v>
      </c>
      <c r="G35" s="798" t="s">
        <v>2137</v>
      </c>
      <c r="H35" s="798" t="s">
        <v>2138</v>
      </c>
      <c r="I35" s="812">
        <v>0.67</v>
      </c>
      <c r="J35" s="812">
        <v>1600</v>
      </c>
      <c r="K35" s="813">
        <v>1072</v>
      </c>
    </row>
    <row r="36" spans="1:11" ht="14.4" customHeight="1" x14ac:dyDescent="0.3">
      <c r="A36" s="794" t="s">
        <v>591</v>
      </c>
      <c r="B36" s="795" t="s">
        <v>592</v>
      </c>
      <c r="C36" s="798" t="s">
        <v>596</v>
      </c>
      <c r="D36" s="826" t="s">
        <v>1361</v>
      </c>
      <c r="E36" s="798" t="s">
        <v>3327</v>
      </c>
      <c r="F36" s="826" t="s">
        <v>3328</v>
      </c>
      <c r="G36" s="798" t="s">
        <v>2139</v>
      </c>
      <c r="H36" s="798" t="s">
        <v>2140</v>
      </c>
      <c r="I36" s="812">
        <v>81.739999999999995</v>
      </c>
      <c r="J36" s="812">
        <v>45</v>
      </c>
      <c r="K36" s="813">
        <v>3678.3</v>
      </c>
    </row>
    <row r="37" spans="1:11" ht="14.4" customHeight="1" x14ac:dyDescent="0.3">
      <c r="A37" s="794" t="s">
        <v>591</v>
      </c>
      <c r="B37" s="795" t="s">
        <v>592</v>
      </c>
      <c r="C37" s="798" t="s">
        <v>596</v>
      </c>
      <c r="D37" s="826" t="s">
        <v>1361</v>
      </c>
      <c r="E37" s="798" t="s">
        <v>3327</v>
      </c>
      <c r="F37" s="826" t="s">
        <v>3328</v>
      </c>
      <c r="G37" s="798" t="s">
        <v>2141</v>
      </c>
      <c r="H37" s="798" t="s">
        <v>2142</v>
      </c>
      <c r="I37" s="812">
        <v>6.17</v>
      </c>
      <c r="J37" s="812">
        <v>70</v>
      </c>
      <c r="K37" s="813">
        <v>431.9</v>
      </c>
    </row>
    <row r="38" spans="1:11" ht="14.4" customHeight="1" x14ac:dyDescent="0.3">
      <c r="A38" s="794" t="s">
        <v>591</v>
      </c>
      <c r="B38" s="795" t="s">
        <v>592</v>
      </c>
      <c r="C38" s="798" t="s">
        <v>596</v>
      </c>
      <c r="D38" s="826" t="s">
        <v>1361</v>
      </c>
      <c r="E38" s="798" t="s">
        <v>3327</v>
      </c>
      <c r="F38" s="826" t="s">
        <v>3328</v>
      </c>
      <c r="G38" s="798" t="s">
        <v>2143</v>
      </c>
      <c r="H38" s="798" t="s">
        <v>2144</v>
      </c>
      <c r="I38" s="812">
        <v>1.98</v>
      </c>
      <c r="J38" s="812">
        <v>50</v>
      </c>
      <c r="K38" s="813">
        <v>99</v>
      </c>
    </row>
    <row r="39" spans="1:11" ht="14.4" customHeight="1" x14ac:dyDescent="0.3">
      <c r="A39" s="794" t="s">
        <v>591</v>
      </c>
      <c r="B39" s="795" t="s">
        <v>592</v>
      </c>
      <c r="C39" s="798" t="s">
        <v>596</v>
      </c>
      <c r="D39" s="826" t="s">
        <v>1361</v>
      </c>
      <c r="E39" s="798" t="s">
        <v>3327</v>
      </c>
      <c r="F39" s="826" t="s">
        <v>3328</v>
      </c>
      <c r="G39" s="798" t="s">
        <v>2145</v>
      </c>
      <c r="H39" s="798" t="s">
        <v>2146</v>
      </c>
      <c r="I39" s="812">
        <v>0.01</v>
      </c>
      <c r="J39" s="812">
        <v>70</v>
      </c>
      <c r="K39" s="813">
        <v>0.7</v>
      </c>
    </row>
    <row r="40" spans="1:11" ht="14.4" customHeight="1" x14ac:dyDescent="0.3">
      <c r="A40" s="794" t="s">
        <v>591</v>
      </c>
      <c r="B40" s="795" t="s">
        <v>592</v>
      </c>
      <c r="C40" s="798" t="s">
        <v>596</v>
      </c>
      <c r="D40" s="826" t="s">
        <v>1361</v>
      </c>
      <c r="E40" s="798" t="s">
        <v>3327</v>
      </c>
      <c r="F40" s="826" t="s">
        <v>3328</v>
      </c>
      <c r="G40" s="798" t="s">
        <v>2147</v>
      </c>
      <c r="H40" s="798" t="s">
        <v>2148</v>
      </c>
      <c r="I40" s="812">
        <v>3.07</v>
      </c>
      <c r="J40" s="812">
        <v>50</v>
      </c>
      <c r="K40" s="813">
        <v>153.5</v>
      </c>
    </row>
    <row r="41" spans="1:11" ht="14.4" customHeight="1" x14ac:dyDescent="0.3">
      <c r="A41" s="794" t="s">
        <v>591</v>
      </c>
      <c r="B41" s="795" t="s">
        <v>592</v>
      </c>
      <c r="C41" s="798" t="s">
        <v>596</v>
      </c>
      <c r="D41" s="826" t="s">
        <v>1361</v>
      </c>
      <c r="E41" s="798" t="s">
        <v>3327</v>
      </c>
      <c r="F41" s="826" t="s">
        <v>3328</v>
      </c>
      <c r="G41" s="798" t="s">
        <v>2149</v>
      </c>
      <c r="H41" s="798" t="s">
        <v>2150</v>
      </c>
      <c r="I41" s="812">
        <v>2.17</v>
      </c>
      <c r="J41" s="812">
        <v>50</v>
      </c>
      <c r="K41" s="813">
        <v>108.5</v>
      </c>
    </row>
    <row r="42" spans="1:11" ht="14.4" customHeight="1" x14ac:dyDescent="0.3">
      <c r="A42" s="794" t="s">
        <v>591</v>
      </c>
      <c r="B42" s="795" t="s">
        <v>592</v>
      </c>
      <c r="C42" s="798" t="s">
        <v>596</v>
      </c>
      <c r="D42" s="826" t="s">
        <v>1361</v>
      </c>
      <c r="E42" s="798" t="s">
        <v>3327</v>
      </c>
      <c r="F42" s="826" t="s">
        <v>3328</v>
      </c>
      <c r="G42" s="798" t="s">
        <v>2151</v>
      </c>
      <c r="H42" s="798" t="s">
        <v>2152</v>
      </c>
      <c r="I42" s="812">
        <v>47.19</v>
      </c>
      <c r="J42" s="812">
        <v>20</v>
      </c>
      <c r="K42" s="813">
        <v>943.8</v>
      </c>
    </row>
    <row r="43" spans="1:11" ht="14.4" customHeight="1" x14ac:dyDescent="0.3">
      <c r="A43" s="794" t="s">
        <v>591</v>
      </c>
      <c r="B43" s="795" t="s">
        <v>592</v>
      </c>
      <c r="C43" s="798" t="s">
        <v>596</v>
      </c>
      <c r="D43" s="826" t="s">
        <v>1361</v>
      </c>
      <c r="E43" s="798" t="s">
        <v>3327</v>
      </c>
      <c r="F43" s="826" t="s">
        <v>3328</v>
      </c>
      <c r="G43" s="798" t="s">
        <v>2153</v>
      </c>
      <c r="H43" s="798" t="s">
        <v>2154</v>
      </c>
      <c r="I43" s="812">
        <v>17.98</v>
      </c>
      <c r="J43" s="812">
        <v>50</v>
      </c>
      <c r="K43" s="813">
        <v>899</v>
      </c>
    </row>
    <row r="44" spans="1:11" ht="14.4" customHeight="1" x14ac:dyDescent="0.3">
      <c r="A44" s="794" t="s">
        <v>591</v>
      </c>
      <c r="B44" s="795" t="s">
        <v>592</v>
      </c>
      <c r="C44" s="798" t="s">
        <v>596</v>
      </c>
      <c r="D44" s="826" t="s">
        <v>1361</v>
      </c>
      <c r="E44" s="798" t="s">
        <v>3327</v>
      </c>
      <c r="F44" s="826" t="s">
        <v>3328</v>
      </c>
      <c r="G44" s="798" t="s">
        <v>2155</v>
      </c>
      <c r="H44" s="798" t="s">
        <v>2156</v>
      </c>
      <c r="I44" s="812">
        <v>17.98</v>
      </c>
      <c r="J44" s="812">
        <v>200</v>
      </c>
      <c r="K44" s="813">
        <v>3596</v>
      </c>
    </row>
    <row r="45" spans="1:11" ht="14.4" customHeight="1" x14ac:dyDescent="0.3">
      <c r="A45" s="794" t="s">
        <v>591</v>
      </c>
      <c r="B45" s="795" t="s">
        <v>592</v>
      </c>
      <c r="C45" s="798" t="s">
        <v>596</v>
      </c>
      <c r="D45" s="826" t="s">
        <v>1361</v>
      </c>
      <c r="E45" s="798" t="s">
        <v>3327</v>
      </c>
      <c r="F45" s="826" t="s">
        <v>3328</v>
      </c>
      <c r="G45" s="798" t="s">
        <v>2157</v>
      </c>
      <c r="H45" s="798" t="s">
        <v>2158</v>
      </c>
      <c r="I45" s="812">
        <v>13.31</v>
      </c>
      <c r="J45" s="812">
        <v>45</v>
      </c>
      <c r="K45" s="813">
        <v>598.95000000000005</v>
      </c>
    </row>
    <row r="46" spans="1:11" ht="14.4" customHeight="1" x14ac:dyDescent="0.3">
      <c r="A46" s="794" t="s">
        <v>591</v>
      </c>
      <c r="B46" s="795" t="s">
        <v>592</v>
      </c>
      <c r="C46" s="798" t="s">
        <v>596</v>
      </c>
      <c r="D46" s="826" t="s">
        <v>1361</v>
      </c>
      <c r="E46" s="798" t="s">
        <v>3327</v>
      </c>
      <c r="F46" s="826" t="s">
        <v>3328</v>
      </c>
      <c r="G46" s="798" t="s">
        <v>2159</v>
      </c>
      <c r="H46" s="798" t="s">
        <v>2160</v>
      </c>
      <c r="I46" s="812">
        <v>2.5099999999999998</v>
      </c>
      <c r="J46" s="812">
        <v>50</v>
      </c>
      <c r="K46" s="813">
        <v>125.5</v>
      </c>
    </row>
    <row r="47" spans="1:11" ht="14.4" customHeight="1" x14ac:dyDescent="0.3">
      <c r="A47" s="794" t="s">
        <v>591</v>
      </c>
      <c r="B47" s="795" t="s">
        <v>592</v>
      </c>
      <c r="C47" s="798" t="s">
        <v>596</v>
      </c>
      <c r="D47" s="826" t="s">
        <v>1361</v>
      </c>
      <c r="E47" s="798" t="s">
        <v>3327</v>
      </c>
      <c r="F47" s="826" t="s">
        <v>3328</v>
      </c>
      <c r="G47" s="798" t="s">
        <v>2161</v>
      </c>
      <c r="H47" s="798" t="s">
        <v>2162</v>
      </c>
      <c r="I47" s="812">
        <v>13.2</v>
      </c>
      <c r="J47" s="812">
        <v>10</v>
      </c>
      <c r="K47" s="813">
        <v>132</v>
      </c>
    </row>
    <row r="48" spans="1:11" ht="14.4" customHeight="1" x14ac:dyDescent="0.3">
      <c r="A48" s="794" t="s">
        <v>591</v>
      </c>
      <c r="B48" s="795" t="s">
        <v>592</v>
      </c>
      <c r="C48" s="798" t="s">
        <v>596</v>
      </c>
      <c r="D48" s="826" t="s">
        <v>1361</v>
      </c>
      <c r="E48" s="798" t="s">
        <v>3327</v>
      </c>
      <c r="F48" s="826" t="s">
        <v>3328</v>
      </c>
      <c r="G48" s="798" t="s">
        <v>2163</v>
      </c>
      <c r="H48" s="798" t="s">
        <v>2164</v>
      </c>
      <c r="I48" s="812">
        <v>13.2</v>
      </c>
      <c r="J48" s="812">
        <v>10</v>
      </c>
      <c r="K48" s="813">
        <v>132</v>
      </c>
    </row>
    <row r="49" spans="1:11" ht="14.4" customHeight="1" x14ac:dyDescent="0.3">
      <c r="A49" s="794" t="s">
        <v>591</v>
      </c>
      <c r="B49" s="795" t="s">
        <v>592</v>
      </c>
      <c r="C49" s="798" t="s">
        <v>596</v>
      </c>
      <c r="D49" s="826" t="s">
        <v>1361</v>
      </c>
      <c r="E49" s="798" t="s">
        <v>3327</v>
      </c>
      <c r="F49" s="826" t="s">
        <v>3328</v>
      </c>
      <c r="G49" s="798" t="s">
        <v>2165</v>
      </c>
      <c r="H49" s="798" t="s">
        <v>2166</v>
      </c>
      <c r="I49" s="812">
        <v>13.2</v>
      </c>
      <c r="J49" s="812">
        <v>10</v>
      </c>
      <c r="K49" s="813">
        <v>132</v>
      </c>
    </row>
    <row r="50" spans="1:11" ht="14.4" customHeight="1" x14ac:dyDescent="0.3">
      <c r="A50" s="794" t="s">
        <v>591</v>
      </c>
      <c r="B50" s="795" t="s">
        <v>592</v>
      </c>
      <c r="C50" s="798" t="s">
        <v>596</v>
      </c>
      <c r="D50" s="826" t="s">
        <v>1361</v>
      </c>
      <c r="E50" s="798" t="s">
        <v>3327</v>
      </c>
      <c r="F50" s="826" t="s">
        <v>3328</v>
      </c>
      <c r="G50" s="798" t="s">
        <v>2167</v>
      </c>
      <c r="H50" s="798" t="s">
        <v>2168</v>
      </c>
      <c r="I50" s="812">
        <v>0.48</v>
      </c>
      <c r="J50" s="812">
        <v>700</v>
      </c>
      <c r="K50" s="813">
        <v>336</v>
      </c>
    </row>
    <row r="51" spans="1:11" ht="14.4" customHeight="1" x14ac:dyDescent="0.3">
      <c r="A51" s="794" t="s">
        <v>591</v>
      </c>
      <c r="B51" s="795" t="s">
        <v>592</v>
      </c>
      <c r="C51" s="798" t="s">
        <v>596</v>
      </c>
      <c r="D51" s="826" t="s">
        <v>1361</v>
      </c>
      <c r="E51" s="798" t="s">
        <v>3327</v>
      </c>
      <c r="F51" s="826" t="s">
        <v>3328</v>
      </c>
      <c r="G51" s="798" t="s">
        <v>2169</v>
      </c>
      <c r="H51" s="798" t="s">
        <v>2170</v>
      </c>
      <c r="I51" s="812">
        <v>2.29</v>
      </c>
      <c r="J51" s="812">
        <v>50</v>
      </c>
      <c r="K51" s="813">
        <v>114.5</v>
      </c>
    </row>
    <row r="52" spans="1:11" ht="14.4" customHeight="1" x14ac:dyDescent="0.3">
      <c r="A52" s="794" t="s">
        <v>591</v>
      </c>
      <c r="B52" s="795" t="s">
        <v>592</v>
      </c>
      <c r="C52" s="798" t="s">
        <v>596</v>
      </c>
      <c r="D52" s="826" t="s">
        <v>1361</v>
      </c>
      <c r="E52" s="798" t="s">
        <v>3327</v>
      </c>
      <c r="F52" s="826" t="s">
        <v>3328</v>
      </c>
      <c r="G52" s="798" t="s">
        <v>2171</v>
      </c>
      <c r="H52" s="798" t="s">
        <v>2172</v>
      </c>
      <c r="I52" s="812">
        <v>9.1999999999999993</v>
      </c>
      <c r="J52" s="812">
        <v>400</v>
      </c>
      <c r="K52" s="813">
        <v>3680</v>
      </c>
    </row>
    <row r="53" spans="1:11" ht="14.4" customHeight="1" x14ac:dyDescent="0.3">
      <c r="A53" s="794" t="s">
        <v>591</v>
      </c>
      <c r="B53" s="795" t="s">
        <v>592</v>
      </c>
      <c r="C53" s="798" t="s">
        <v>596</v>
      </c>
      <c r="D53" s="826" t="s">
        <v>1361</v>
      </c>
      <c r="E53" s="798" t="s">
        <v>3327</v>
      </c>
      <c r="F53" s="826" t="s">
        <v>3328</v>
      </c>
      <c r="G53" s="798" t="s">
        <v>2173</v>
      </c>
      <c r="H53" s="798" t="s">
        <v>2174</v>
      </c>
      <c r="I53" s="812">
        <v>5</v>
      </c>
      <c r="J53" s="812">
        <v>20</v>
      </c>
      <c r="K53" s="813">
        <v>100</v>
      </c>
    </row>
    <row r="54" spans="1:11" ht="14.4" customHeight="1" x14ac:dyDescent="0.3">
      <c r="A54" s="794" t="s">
        <v>591</v>
      </c>
      <c r="B54" s="795" t="s">
        <v>592</v>
      </c>
      <c r="C54" s="798" t="s">
        <v>596</v>
      </c>
      <c r="D54" s="826" t="s">
        <v>1361</v>
      </c>
      <c r="E54" s="798" t="s">
        <v>3327</v>
      </c>
      <c r="F54" s="826" t="s">
        <v>3328</v>
      </c>
      <c r="G54" s="798" t="s">
        <v>2175</v>
      </c>
      <c r="H54" s="798" t="s">
        <v>2176</v>
      </c>
      <c r="I54" s="812">
        <v>3.42</v>
      </c>
      <c r="J54" s="812">
        <v>280</v>
      </c>
      <c r="K54" s="813">
        <v>957.6</v>
      </c>
    </row>
    <row r="55" spans="1:11" ht="14.4" customHeight="1" x14ac:dyDescent="0.3">
      <c r="A55" s="794" t="s">
        <v>591</v>
      </c>
      <c r="B55" s="795" t="s">
        <v>592</v>
      </c>
      <c r="C55" s="798" t="s">
        <v>596</v>
      </c>
      <c r="D55" s="826" t="s">
        <v>1361</v>
      </c>
      <c r="E55" s="798" t="s">
        <v>3327</v>
      </c>
      <c r="F55" s="826" t="s">
        <v>3328</v>
      </c>
      <c r="G55" s="798" t="s">
        <v>2177</v>
      </c>
      <c r="H55" s="798" t="s">
        <v>2178</v>
      </c>
      <c r="I55" s="812">
        <v>2.08</v>
      </c>
      <c r="J55" s="812">
        <v>20</v>
      </c>
      <c r="K55" s="813">
        <v>41.6</v>
      </c>
    </row>
    <row r="56" spans="1:11" ht="14.4" customHeight="1" x14ac:dyDescent="0.3">
      <c r="A56" s="794" t="s">
        <v>591</v>
      </c>
      <c r="B56" s="795" t="s">
        <v>592</v>
      </c>
      <c r="C56" s="798" t="s">
        <v>596</v>
      </c>
      <c r="D56" s="826" t="s">
        <v>1361</v>
      </c>
      <c r="E56" s="798" t="s">
        <v>3329</v>
      </c>
      <c r="F56" s="826" t="s">
        <v>3330</v>
      </c>
      <c r="G56" s="798" t="s">
        <v>2179</v>
      </c>
      <c r="H56" s="798" t="s">
        <v>2180</v>
      </c>
      <c r="I56" s="812">
        <v>8.1649999999999991</v>
      </c>
      <c r="J56" s="812">
        <v>900</v>
      </c>
      <c r="K56" s="813">
        <v>7348</v>
      </c>
    </row>
    <row r="57" spans="1:11" ht="14.4" customHeight="1" x14ac:dyDescent="0.3">
      <c r="A57" s="794" t="s">
        <v>591</v>
      </c>
      <c r="B57" s="795" t="s">
        <v>592</v>
      </c>
      <c r="C57" s="798" t="s">
        <v>596</v>
      </c>
      <c r="D57" s="826" t="s">
        <v>1361</v>
      </c>
      <c r="E57" s="798" t="s">
        <v>3329</v>
      </c>
      <c r="F57" s="826" t="s">
        <v>3330</v>
      </c>
      <c r="G57" s="798" t="s">
        <v>2181</v>
      </c>
      <c r="H57" s="798" t="s">
        <v>2182</v>
      </c>
      <c r="I57" s="812">
        <v>7.01</v>
      </c>
      <c r="J57" s="812">
        <v>50</v>
      </c>
      <c r="K57" s="813">
        <v>350.5</v>
      </c>
    </row>
    <row r="58" spans="1:11" ht="14.4" customHeight="1" x14ac:dyDescent="0.3">
      <c r="A58" s="794" t="s">
        <v>591</v>
      </c>
      <c r="B58" s="795" t="s">
        <v>592</v>
      </c>
      <c r="C58" s="798" t="s">
        <v>596</v>
      </c>
      <c r="D58" s="826" t="s">
        <v>1361</v>
      </c>
      <c r="E58" s="798" t="s">
        <v>3331</v>
      </c>
      <c r="F58" s="826" t="s">
        <v>3332</v>
      </c>
      <c r="G58" s="798" t="s">
        <v>2183</v>
      </c>
      <c r="H58" s="798" t="s">
        <v>2184</v>
      </c>
      <c r="I58" s="812">
        <v>0.3</v>
      </c>
      <c r="J58" s="812">
        <v>100</v>
      </c>
      <c r="K58" s="813">
        <v>30</v>
      </c>
    </row>
    <row r="59" spans="1:11" ht="14.4" customHeight="1" x14ac:dyDescent="0.3">
      <c r="A59" s="794" t="s">
        <v>591</v>
      </c>
      <c r="B59" s="795" t="s">
        <v>592</v>
      </c>
      <c r="C59" s="798" t="s">
        <v>596</v>
      </c>
      <c r="D59" s="826" t="s">
        <v>1361</v>
      </c>
      <c r="E59" s="798" t="s">
        <v>3331</v>
      </c>
      <c r="F59" s="826" t="s">
        <v>3332</v>
      </c>
      <c r="G59" s="798" t="s">
        <v>2185</v>
      </c>
      <c r="H59" s="798" t="s">
        <v>2186</v>
      </c>
      <c r="I59" s="812">
        <v>0.48</v>
      </c>
      <c r="J59" s="812">
        <v>300</v>
      </c>
      <c r="K59" s="813">
        <v>144</v>
      </c>
    </row>
    <row r="60" spans="1:11" ht="14.4" customHeight="1" x14ac:dyDescent="0.3">
      <c r="A60" s="794" t="s">
        <v>591</v>
      </c>
      <c r="B60" s="795" t="s">
        <v>592</v>
      </c>
      <c r="C60" s="798" t="s">
        <v>596</v>
      </c>
      <c r="D60" s="826" t="s">
        <v>1361</v>
      </c>
      <c r="E60" s="798" t="s">
        <v>3331</v>
      </c>
      <c r="F60" s="826" t="s">
        <v>3332</v>
      </c>
      <c r="G60" s="798" t="s">
        <v>2187</v>
      </c>
      <c r="H60" s="798" t="s">
        <v>2188</v>
      </c>
      <c r="I60" s="812">
        <v>0.48</v>
      </c>
      <c r="J60" s="812">
        <v>1200</v>
      </c>
      <c r="K60" s="813">
        <v>576</v>
      </c>
    </row>
    <row r="61" spans="1:11" ht="14.4" customHeight="1" x14ac:dyDescent="0.3">
      <c r="A61" s="794" t="s">
        <v>591</v>
      </c>
      <c r="B61" s="795" t="s">
        <v>592</v>
      </c>
      <c r="C61" s="798" t="s">
        <v>596</v>
      </c>
      <c r="D61" s="826" t="s">
        <v>1361</v>
      </c>
      <c r="E61" s="798" t="s">
        <v>3331</v>
      </c>
      <c r="F61" s="826" t="s">
        <v>3332</v>
      </c>
      <c r="G61" s="798" t="s">
        <v>2189</v>
      </c>
      <c r="H61" s="798" t="s">
        <v>2190</v>
      </c>
      <c r="I61" s="812">
        <v>1.8</v>
      </c>
      <c r="J61" s="812">
        <v>100</v>
      </c>
      <c r="K61" s="813">
        <v>180</v>
      </c>
    </row>
    <row r="62" spans="1:11" ht="14.4" customHeight="1" x14ac:dyDescent="0.3">
      <c r="A62" s="794" t="s">
        <v>591</v>
      </c>
      <c r="B62" s="795" t="s">
        <v>592</v>
      </c>
      <c r="C62" s="798" t="s">
        <v>596</v>
      </c>
      <c r="D62" s="826" t="s">
        <v>1361</v>
      </c>
      <c r="E62" s="798" t="s">
        <v>3333</v>
      </c>
      <c r="F62" s="826" t="s">
        <v>3334</v>
      </c>
      <c r="G62" s="798" t="s">
        <v>2191</v>
      </c>
      <c r="H62" s="798" t="s">
        <v>2192</v>
      </c>
      <c r="I62" s="812">
        <v>0.69</v>
      </c>
      <c r="J62" s="812">
        <v>7800</v>
      </c>
      <c r="K62" s="813">
        <v>5382</v>
      </c>
    </row>
    <row r="63" spans="1:11" ht="14.4" customHeight="1" x14ac:dyDescent="0.3">
      <c r="A63" s="794" t="s">
        <v>591</v>
      </c>
      <c r="B63" s="795" t="s">
        <v>592</v>
      </c>
      <c r="C63" s="798" t="s">
        <v>601</v>
      </c>
      <c r="D63" s="826" t="s">
        <v>1362</v>
      </c>
      <c r="E63" s="798" t="s">
        <v>3325</v>
      </c>
      <c r="F63" s="826" t="s">
        <v>3326</v>
      </c>
      <c r="G63" s="798" t="s">
        <v>2193</v>
      </c>
      <c r="H63" s="798" t="s">
        <v>2194</v>
      </c>
      <c r="I63" s="812">
        <v>2.5099999999999998</v>
      </c>
      <c r="J63" s="812">
        <v>200</v>
      </c>
      <c r="K63" s="813">
        <v>502</v>
      </c>
    </row>
    <row r="64" spans="1:11" ht="14.4" customHeight="1" x14ac:dyDescent="0.3">
      <c r="A64" s="794" t="s">
        <v>591</v>
      </c>
      <c r="B64" s="795" t="s">
        <v>592</v>
      </c>
      <c r="C64" s="798" t="s">
        <v>601</v>
      </c>
      <c r="D64" s="826" t="s">
        <v>1362</v>
      </c>
      <c r="E64" s="798" t="s">
        <v>3325</v>
      </c>
      <c r="F64" s="826" t="s">
        <v>3326</v>
      </c>
      <c r="G64" s="798" t="s">
        <v>2077</v>
      </c>
      <c r="H64" s="798" t="s">
        <v>2078</v>
      </c>
      <c r="I64" s="812">
        <v>3.27</v>
      </c>
      <c r="J64" s="812">
        <v>200</v>
      </c>
      <c r="K64" s="813">
        <v>654</v>
      </c>
    </row>
    <row r="65" spans="1:11" ht="14.4" customHeight="1" x14ac:dyDescent="0.3">
      <c r="A65" s="794" t="s">
        <v>591</v>
      </c>
      <c r="B65" s="795" t="s">
        <v>592</v>
      </c>
      <c r="C65" s="798" t="s">
        <v>601</v>
      </c>
      <c r="D65" s="826" t="s">
        <v>1362</v>
      </c>
      <c r="E65" s="798" t="s">
        <v>3325</v>
      </c>
      <c r="F65" s="826" t="s">
        <v>3326</v>
      </c>
      <c r="G65" s="798" t="s">
        <v>2195</v>
      </c>
      <c r="H65" s="798" t="s">
        <v>2196</v>
      </c>
      <c r="I65" s="812">
        <v>3.97</v>
      </c>
      <c r="J65" s="812">
        <v>200</v>
      </c>
      <c r="K65" s="813">
        <v>794</v>
      </c>
    </row>
    <row r="66" spans="1:11" ht="14.4" customHeight="1" x14ac:dyDescent="0.3">
      <c r="A66" s="794" t="s">
        <v>591</v>
      </c>
      <c r="B66" s="795" t="s">
        <v>592</v>
      </c>
      <c r="C66" s="798" t="s">
        <v>601</v>
      </c>
      <c r="D66" s="826" t="s">
        <v>1362</v>
      </c>
      <c r="E66" s="798" t="s">
        <v>3325</v>
      </c>
      <c r="F66" s="826" t="s">
        <v>3326</v>
      </c>
      <c r="G66" s="798" t="s">
        <v>2197</v>
      </c>
      <c r="H66" s="798" t="s">
        <v>2198</v>
      </c>
      <c r="I66" s="812">
        <v>17.57</v>
      </c>
      <c r="J66" s="812">
        <v>160</v>
      </c>
      <c r="K66" s="813">
        <v>2810.23</v>
      </c>
    </row>
    <row r="67" spans="1:11" ht="14.4" customHeight="1" x14ac:dyDescent="0.3">
      <c r="A67" s="794" t="s">
        <v>591</v>
      </c>
      <c r="B67" s="795" t="s">
        <v>592</v>
      </c>
      <c r="C67" s="798" t="s">
        <v>601</v>
      </c>
      <c r="D67" s="826" t="s">
        <v>1362</v>
      </c>
      <c r="E67" s="798" t="s">
        <v>3325</v>
      </c>
      <c r="F67" s="826" t="s">
        <v>3326</v>
      </c>
      <c r="G67" s="798" t="s">
        <v>2079</v>
      </c>
      <c r="H67" s="798" t="s">
        <v>2080</v>
      </c>
      <c r="I67" s="812">
        <v>10.119999999999999</v>
      </c>
      <c r="J67" s="812">
        <v>36</v>
      </c>
      <c r="K67" s="813">
        <v>364.32</v>
      </c>
    </row>
    <row r="68" spans="1:11" ht="14.4" customHeight="1" x14ac:dyDescent="0.3">
      <c r="A68" s="794" t="s">
        <v>591</v>
      </c>
      <c r="B68" s="795" t="s">
        <v>592</v>
      </c>
      <c r="C68" s="798" t="s">
        <v>601</v>
      </c>
      <c r="D68" s="826" t="s">
        <v>1362</v>
      </c>
      <c r="E68" s="798" t="s">
        <v>3325</v>
      </c>
      <c r="F68" s="826" t="s">
        <v>3326</v>
      </c>
      <c r="G68" s="798" t="s">
        <v>2085</v>
      </c>
      <c r="H68" s="798" t="s">
        <v>2086</v>
      </c>
      <c r="I68" s="812">
        <v>0.88</v>
      </c>
      <c r="J68" s="812">
        <v>300</v>
      </c>
      <c r="K68" s="813">
        <v>264</v>
      </c>
    </row>
    <row r="69" spans="1:11" ht="14.4" customHeight="1" x14ac:dyDescent="0.3">
      <c r="A69" s="794" t="s">
        <v>591</v>
      </c>
      <c r="B69" s="795" t="s">
        <v>592</v>
      </c>
      <c r="C69" s="798" t="s">
        <v>601</v>
      </c>
      <c r="D69" s="826" t="s">
        <v>1362</v>
      </c>
      <c r="E69" s="798" t="s">
        <v>3325</v>
      </c>
      <c r="F69" s="826" t="s">
        <v>3326</v>
      </c>
      <c r="G69" s="798" t="s">
        <v>2199</v>
      </c>
      <c r="H69" s="798" t="s">
        <v>2200</v>
      </c>
      <c r="I69" s="812">
        <v>42.63</v>
      </c>
      <c r="J69" s="812">
        <v>108</v>
      </c>
      <c r="K69" s="813">
        <v>4604</v>
      </c>
    </row>
    <row r="70" spans="1:11" ht="14.4" customHeight="1" x14ac:dyDescent="0.3">
      <c r="A70" s="794" t="s">
        <v>591</v>
      </c>
      <c r="B70" s="795" t="s">
        <v>592</v>
      </c>
      <c r="C70" s="798" t="s">
        <v>601</v>
      </c>
      <c r="D70" s="826" t="s">
        <v>1362</v>
      </c>
      <c r="E70" s="798" t="s">
        <v>3325</v>
      </c>
      <c r="F70" s="826" t="s">
        <v>3326</v>
      </c>
      <c r="G70" s="798" t="s">
        <v>2201</v>
      </c>
      <c r="H70" s="798" t="s">
        <v>2202</v>
      </c>
      <c r="I70" s="812">
        <v>1.5</v>
      </c>
      <c r="J70" s="812">
        <v>1000</v>
      </c>
      <c r="K70" s="813">
        <v>1500</v>
      </c>
    </row>
    <row r="71" spans="1:11" ht="14.4" customHeight="1" x14ac:dyDescent="0.3">
      <c r="A71" s="794" t="s">
        <v>591</v>
      </c>
      <c r="B71" s="795" t="s">
        <v>592</v>
      </c>
      <c r="C71" s="798" t="s">
        <v>601</v>
      </c>
      <c r="D71" s="826" t="s">
        <v>1362</v>
      </c>
      <c r="E71" s="798" t="s">
        <v>3325</v>
      </c>
      <c r="F71" s="826" t="s">
        <v>3326</v>
      </c>
      <c r="G71" s="798" t="s">
        <v>2203</v>
      </c>
      <c r="H71" s="798" t="s">
        <v>2204</v>
      </c>
      <c r="I71" s="812">
        <v>4.4850000000000003</v>
      </c>
      <c r="J71" s="812">
        <v>300</v>
      </c>
      <c r="K71" s="813">
        <v>1345</v>
      </c>
    </row>
    <row r="72" spans="1:11" ht="14.4" customHeight="1" x14ac:dyDescent="0.3">
      <c r="A72" s="794" t="s">
        <v>591</v>
      </c>
      <c r="B72" s="795" t="s">
        <v>592</v>
      </c>
      <c r="C72" s="798" t="s">
        <v>601</v>
      </c>
      <c r="D72" s="826" t="s">
        <v>1362</v>
      </c>
      <c r="E72" s="798" t="s">
        <v>3325</v>
      </c>
      <c r="F72" s="826" t="s">
        <v>3326</v>
      </c>
      <c r="G72" s="798" t="s">
        <v>2103</v>
      </c>
      <c r="H72" s="798" t="s">
        <v>2104</v>
      </c>
      <c r="I72" s="812">
        <v>8.58</v>
      </c>
      <c r="J72" s="812">
        <v>24</v>
      </c>
      <c r="K72" s="813">
        <v>205.92</v>
      </c>
    </row>
    <row r="73" spans="1:11" ht="14.4" customHeight="1" x14ac:dyDescent="0.3">
      <c r="A73" s="794" t="s">
        <v>591</v>
      </c>
      <c r="B73" s="795" t="s">
        <v>592</v>
      </c>
      <c r="C73" s="798" t="s">
        <v>601</v>
      </c>
      <c r="D73" s="826" t="s">
        <v>1362</v>
      </c>
      <c r="E73" s="798" t="s">
        <v>3325</v>
      </c>
      <c r="F73" s="826" t="s">
        <v>3326</v>
      </c>
      <c r="G73" s="798" t="s">
        <v>2205</v>
      </c>
      <c r="H73" s="798" t="s">
        <v>2206</v>
      </c>
      <c r="I73" s="812">
        <v>11.26</v>
      </c>
      <c r="J73" s="812">
        <v>360</v>
      </c>
      <c r="K73" s="813">
        <v>4053.24</v>
      </c>
    </row>
    <row r="74" spans="1:11" ht="14.4" customHeight="1" x14ac:dyDescent="0.3">
      <c r="A74" s="794" t="s">
        <v>591</v>
      </c>
      <c r="B74" s="795" t="s">
        <v>592</v>
      </c>
      <c r="C74" s="798" t="s">
        <v>601</v>
      </c>
      <c r="D74" s="826" t="s">
        <v>1362</v>
      </c>
      <c r="E74" s="798" t="s">
        <v>3325</v>
      </c>
      <c r="F74" s="826" t="s">
        <v>3326</v>
      </c>
      <c r="G74" s="798" t="s">
        <v>2207</v>
      </c>
      <c r="H74" s="798" t="s">
        <v>2208</v>
      </c>
      <c r="I74" s="812">
        <v>9.73</v>
      </c>
      <c r="J74" s="812">
        <v>480</v>
      </c>
      <c r="K74" s="813">
        <v>4670.1399999999994</v>
      </c>
    </row>
    <row r="75" spans="1:11" ht="14.4" customHeight="1" x14ac:dyDescent="0.3">
      <c r="A75" s="794" t="s">
        <v>591</v>
      </c>
      <c r="B75" s="795" t="s">
        <v>592</v>
      </c>
      <c r="C75" s="798" t="s">
        <v>601</v>
      </c>
      <c r="D75" s="826" t="s">
        <v>1362</v>
      </c>
      <c r="E75" s="798" t="s">
        <v>3325</v>
      </c>
      <c r="F75" s="826" t="s">
        <v>3326</v>
      </c>
      <c r="G75" s="798" t="s">
        <v>2107</v>
      </c>
      <c r="H75" s="798" t="s">
        <v>2108</v>
      </c>
      <c r="I75" s="812">
        <v>1.1749999999999998</v>
      </c>
      <c r="J75" s="812">
        <v>500</v>
      </c>
      <c r="K75" s="813">
        <v>587</v>
      </c>
    </row>
    <row r="76" spans="1:11" ht="14.4" customHeight="1" x14ac:dyDescent="0.3">
      <c r="A76" s="794" t="s">
        <v>591</v>
      </c>
      <c r="B76" s="795" t="s">
        <v>592</v>
      </c>
      <c r="C76" s="798" t="s">
        <v>601</v>
      </c>
      <c r="D76" s="826" t="s">
        <v>1362</v>
      </c>
      <c r="E76" s="798" t="s">
        <v>3325</v>
      </c>
      <c r="F76" s="826" t="s">
        <v>3326</v>
      </c>
      <c r="G76" s="798" t="s">
        <v>2209</v>
      </c>
      <c r="H76" s="798" t="s">
        <v>2210</v>
      </c>
      <c r="I76" s="812">
        <v>0.97</v>
      </c>
      <c r="J76" s="812">
        <v>1000</v>
      </c>
      <c r="K76" s="813">
        <v>970</v>
      </c>
    </row>
    <row r="77" spans="1:11" ht="14.4" customHeight="1" x14ac:dyDescent="0.3">
      <c r="A77" s="794" t="s">
        <v>591</v>
      </c>
      <c r="B77" s="795" t="s">
        <v>592</v>
      </c>
      <c r="C77" s="798" t="s">
        <v>601</v>
      </c>
      <c r="D77" s="826" t="s">
        <v>1362</v>
      </c>
      <c r="E77" s="798" t="s">
        <v>3325</v>
      </c>
      <c r="F77" s="826" t="s">
        <v>3326</v>
      </c>
      <c r="G77" s="798" t="s">
        <v>2211</v>
      </c>
      <c r="H77" s="798" t="s">
        <v>2212</v>
      </c>
      <c r="I77" s="812">
        <v>0.59</v>
      </c>
      <c r="J77" s="812">
        <v>1000</v>
      </c>
      <c r="K77" s="813">
        <v>590</v>
      </c>
    </row>
    <row r="78" spans="1:11" ht="14.4" customHeight="1" x14ac:dyDescent="0.3">
      <c r="A78" s="794" t="s">
        <v>591</v>
      </c>
      <c r="B78" s="795" t="s">
        <v>592</v>
      </c>
      <c r="C78" s="798" t="s">
        <v>601</v>
      </c>
      <c r="D78" s="826" t="s">
        <v>1362</v>
      </c>
      <c r="E78" s="798" t="s">
        <v>3325</v>
      </c>
      <c r="F78" s="826" t="s">
        <v>3326</v>
      </c>
      <c r="G78" s="798" t="s">
        <v>2111</v>
      </c>
      <c r="H78" s="798" t="s">
        <v>2112</v>
      </c>
      <c r="I78" s="812">
        <v>0.85499999999999998</v>
      </c>
      <c r="J78" s="812">
        <v>200</v>
      </c>
      <c r="K78" s="813">
        <v>171</v>
      </c>
    </row>
    <row r="79" spans="1:11" ht="14.4" customHeight="1" x14ac:dyDescent="0.3">
      <c r="A79" s="794" t="s">
        <v>591</v>
      </c>
      <c r="B79" s="795" t="s">
        <v>592</v>
      </c>
      <c r="C79" s="798" t="s">
        <v>601</v>
      </c>
      <c r="D79" s="826" t="s">
        <v>1362</v>
      </c>
      <c r="E79" s="798" t="s">
        <v>3325</v>
      </c>
      <c r="F79" s="826" t="s">
        <v>3326</v>
      </c>
      <c r="G79" s="798" t="s">
        <v>2113</v>
      </c>
      <c r="H79" s="798" t="s">
        <v>2114</v>
      </c>
      <c r="I79" s="812">
        <v>1.52</v>
      </c>
      <c r="J79" s="812">
        <v>150</v>
      </c>
      <c r="K79" s="813">
        <v>228</v>
      </c>
    </row>
    <row r="80" spans="1:11" ht="14.4" customHeight="1" x14ac:dyDescent="0.3">
      <c r="A80" s="794" t="s">
        <v>591</v>
      </c>
      <c r="B80" s="795" t="s">
        <v>592</v>
      </c>
      <c r="C80" s="798" t="s">
        <v>601</v>
      </c>
      <c r="D80" s="826" t="s">
        <v>1362</v>
      </c>
      <c r="E80" s="798" t="s">
        <v>3325</v>
      </c>
      <c r="F80" s="826" t="s">
        <v>3326</v>
      </c>
      <c r="G80" s="798" t="s">
        <v>2213</v>
      </c>
      <c r="H80" s="798" t="s">
        <v>2214</v>
      </c>
      <c r="I80" s="812">
        <v>2.06</v>
      </c>
      <c r="J80" s="812">
        <v>100</v>
      </c>
      <c r="K80" s="813">
        <v>206</v>
      </c>
    </row>
    <row r="81" spans="1:11" ht="14.4" customHeight="1" x14ac:dyDescent="0.3">
      <c r="A81" s="794" t="s">
        <v>591</v>
      </c>
      <c r="B81" s="795" t="s">
        <v>592</v>
      </c>
      <c r="C81" s="798" t="s">
        <v>601</v>
      </c>
      <c r="D81" s="826" t="s">
        <v>1362</v>
      </c>
      <c r="E81" s="798" t="s">
        <v>3325</v>
      </c>
      <c r="F81" s="826" t="s">
        <v>3326</v>
      </c>
      <c r="G81" s="798" t="s">
        <v>2117</v>
      </c>
      <c r="H81" s="798" t="s">
        <v>2118</v>
      </c>
      <c r="I81" s="812">
        <v>156.88666666666666</v>
      </c>
      <c r="J81" s="812">
        <v>12</v>
      </c>
      <c r="K81" s="813">
        <v>1985.37</v>
      </c>
    </row>
    <row r="82" spans="1:11" ht="14.4" customHeight="1" x14ac:dyDescent="0.3">
      <c r="A82" s="794" t="s">
        <v>591</v>
      </c>
      <c r="B82" s="795" t="s">
        <v>592</v>
      </c>
      <c r="C82" s="798" t="s">
        <v>601</v>
      </c>
      <c r="D82" s="826" t="s">
        <v>1362</v>
      </c>
      <c r="E82" s="798" t="s">
        <v>3325</v>
      </c>
      <c r="F82" s="826" t="s">
        <v>3326</v>
      </c>
      <c r="G82" s="798" t="s">
        <v>2215</v>
      </c>
      <c r="H82" s="798" t="s">
        <v>2216</v>
      </c>
      <c r="I82" s="812">
        <v>13.875</v>
      </c>
      <c r="J82" s="812">
        <v>72</v>
      </c>
      <c r="K82" s="813">
        <v>999.03</v>
      </c>
    </row>
    <row r="83" spans="1:11" ht="14.4" customHeight="1" x14ac:dyDescent="0.3">
      <c r="A83" s="794" t="s">
        <v>591</v>
      </c>
      <c r="B83" s="795" t="s">
        <v>592</v>
      </c>
      <c r="C83" s="798" t="s">
        <v>601</v>
      </c>
      <c r="D83" s="826" t="s">
        <v>1362</v>
      </c>
      <c r="E83" s="798" t="s">
        <v>3325</v>
      </c>
      <c r="F83" s="826" t="s">
        <v>3326</v>
      </c>
      <c r="G83" s="798" t="s">
        <v>2217</v>
      </c>
      <c r="H83" s="798" t="s">
        <v>2218</v>
      </c>
      <c r="I83" s="812">
        <v>11.33</v>
      </c>
      <c r="J83" s="812">
        <v>30</v>
      </c>
      <c r="K83" s="813">
        <v>339.79</v>
      </c>
    </row>
    <row r="84" spans="1:11" ht="14.4" customHeight="1" x14ac:dyDescent="0.3">
      <c r="A84" s="794" t="s">
        <v>591</v>
      </c>
      <c r="B84" s="795" t="s">
        <v>592</v>
      </c>
      <c r="C84" s="798" t="s">
        <v>601</v>
      </c>
      <c r="D84" s="826" t="s">
        <v>1362</v>
      </c>
      <c r="E84" s="798" t="s">
        <v>3325</v>
      </c>
      <c r="F84" s="826" t="s">
        <v>3326</v>
      </c>
      <c r="G84" s="798" t="s">
        <v>2219</v>
      </c>
      <c r="H84" s="798" t="s">
        <v>2220</v>
      </c>
      <c r="I84" s="812">
        <v>260.01</v>
      </c>
      <c r="J84" s="812">
        <v>2</v>
      </c>
      <c r="K84" s="813">
        <v>520.03</v>
      </c>
    </row>
    <row r="85" spans="1:11" ht="14.4" customHeight="1" x14ac:dyDescent="0.3">
      <c r="A85" s="794" t="s">
        <v>591</v>
      </c>
      <c r="B85" s="795" t="s">
        <v>592</v>
      </c>
      <c r="C85" s="798" t="s">
        <v>601</v>
      </c>
      <c r="D85" s="826" t="s">
        <v>1362</v>
      </c>
      <c r="E85" s="798" t="s">
        <v>3325</v>
      </c>
      <c r="F85" s="826" t="s">
        <v>3326</v>
      </c>
      <c r="G85" s="798" t="s">
        <v>2221</v>
      </c>
      <c r="H85" s="798" t="s">
        <v>2222</v>
      </c>
      <c r="I85" s="812">
        <v>16.39</v>
      </c>
      <c r="J85" s="812">
        <v>80</v>
      </c>
      <c r="K85" s="813">
        <v>1311</v>
      </c>
    </row>
    <row r="86" spans="1:11" ht="14.4" customHeight="1" x14ac:dyDescent="0.3">
      <c r="A86" s="794" t="s">
        <v>591</v>
      </c>
      <c r="B86" s="795" t="s">
        <v>592</v>
      </c>
      <c r="C86" s="798" t="s">
        <v>601</v>
      </c>
      <c r="D86" s="826" t="s">
        <v>1362</v>
      </c>
      <c r="E86" s="798" t="s">
        <v>3325</v>
      </c>
      <c r="F86" s="826" t="s">
        <v>3326</v>
      </c>
      <c r="G86" s="798" t="s">
        <v>2223</v>
      </c>
      <c r="H86" s="798" t="s">
        <v>2224</v>
      </c>
      <c r="I86" s="812">
        <v>21.06</v>
      </c>
      <c r="J86" s="812">
        <v>20</v>
      </c>
      <c r="K86" s="813">
        <v>421.27</v>
      </c>
    </row>
    <row r="87" spans="1:11" ht="14.4" customHeight="1" x14ac:dyDescent="0.3">
      <c r="A87" s="794" t="s">
        <v>591</v>
      </c>
      <c r="B87" s="795" t="s">
        <v>592</v>
      </c>
      <c r="C87" s="798" t="s">
        <v>601</v>
      </c>
      <c r="D87" s="826" t="s">
        <v>1362</v>
      </c>
      <c r="E87" s="798" t="s">
        <v>3325</v>
      </c>
      <c r="F87" s="826" t="s">
        <v>3326</v>
      </c>
      <c r="G87" s="798" t="s">
        <v>2225</v>
      </c>
      <c r="H87" s="798" t="s">
        <v>2226</v>
      </c>
      <c r="I87" s="812">
        <v>12.62</v>
      </c>
      <c r="J87" s="812">
        <v>120</v>
      </c>
      <c r="K87" s="813">
        <v>1514.55</v>
      </c>
    </row>
    <row r="88" spans="1:11" ht="14.4" customHeight="1" x14ac:dyDescent="0.3">
      <c r="A88" s="794" t="s">
        <v>591</v>
      </c>
      <c r="B88" s="795" t="s">
        <v>592</v>
      </c>
      <c r="C88" s="798" t="s">
        <v>601</v>
      </c>
      <c r="D88" s="826" t="s">
        <v>1362</v>
      </c>
      <c r="E88" s="798" t="s">
        <v>3325</v>
      </c>
      <c r="F88" s="826" t="s">
        <v>3326</v>
      </c>
      <c r="G88" s="798" t="s">
        <v>2227</v>
      </c>
      <c r="H88" s="798" t="s">
        <v>2228</v>
      </c>
      <c r="I88" s="812">
        <v>13.22</v>
      </c>
      <c r="J88" s="812">
        <v>20</v>
      </c>
      <c r="K88" s="813">
        <v>264.39999999999998</v>
      </c>
    </row>
    <row r="89" spans="1:11" ht="14.4" customHeight="1" x14ac:dyDescent="0.3">
      <c r="A89" s="794" t="s">
        <v>591</v>
      </c>
      <c r="B89" s="795" t="s">
        <v>592</v>
      </c>
      <c r="C89" s="798" t="s">
        <v>601</v>
      </c>
      <c r="D89" s="826" t="s">
        <v>1362</v>
      </c>
      <c r="E89" s="798" t="s">
        <v>3325</v>
      </c>
      <c r="F89" s="826" t="s">
        <v>3326</v>
      </c>
      <c r="G89" s="798" t="s">
        <v>2229</v>
      </c>
      <c r="H89" s="798" t="s">
        <v>2230</v>
      </c>
      <c r="I89" s="812">
        <v>13.8</v>
      </c>
      <c r="J89" s="812">
        <v>48</v>
      </c>
      <c r="K89" s="813">
        <v>662.4</v>
      </c>
    </row>
    <row r="90" spans="1:11" ht="14.4" customHeight="1" x14ac:dyDescent="0.3">
      <c r="A90" s="794" t="s">
        <v>591</v>
      </c>
      <c r="B90" s="795" t="s">
        <v>592</v>
      </c>
      <c r="C90" s="798" t="s">
        <v>601</v>
      </c>
      <c r="D90" s="826" t="s">
        <v>1362</v>
      </c>
      <c r="E90" s="798" t="s">
        <v>3325</v>
      </c>
      <c r="F90" s="826" t="s">
        <v>3326</v>
      </c>
      <c r="G90" s="798" t="s">
        <v>2231</v>
      </c>
      <c r="H90" s="798" t="s">
        <v>2232</v>
      </c>
      <c r="I90" s="812">
        <v>8.74</v>
      </c>
      <c r="J90" s="812">
        <v>240</v>
      </c>
      <c r="K90" s="813">
        <v>2097.6</v>
      </c>
    </row>
    <row r="91" spans="1:11" ht="14.4" customHeight="1" x14ac:dyDescent="0.3">
      <c r="A91" s="794" t="s">
        <v>591</v>
      </c>
      <c r="B91" s="795" t="s">
        <v>592</v>
      </c>
      <c r="C91" s="798" t="s">
        <v>601</v>
      </c>
      <c r="D91" s="826" t="s">
        <v>1362</v>
      </c>
      <c r="E91" s="798" t="s">
        <v>3325</v>
      </c>
      <c r="F91" s="826" t="s">
        <v>3326</v>
      </c>
      <c r="G91" s="798" t="s">
        <v>2233</v>
      </c>
      <c r="H91" s="798" t="s">
        <v>2234</v>
      </c>
      <c r="I91" s="812">
        <v>153.11000000000001</v>
      </c>
      <c r="J91" s="812">
        <v>1</v>
      </c>
      <c r="K91" s="813">
        <v>153.11000000000001</v>
      </c>
    </row>
    <row r="92" spans="1:11" ht="14.4" customHeight="1" x14ac:dyDescent="0.3">
      <c r="A92" s="794" t="s">
        <v>591</v>
      </c>
      <c r="B92" s="795" t="s">
        <v>592</v>
      </c>
      <c r="C92" s="798" t="s">
        <v>601</v>
      </c>
      <c r="D92" s="826" t="s">
        <v>1362</v>
      </c>
      <c r="E92" s="798" t="s">
        <v>3327</v>
      </c>
      <c r="F92" s="826" t="s">
        <v>3328</v>
      </c>
      <c r="G92" s="798" t="s">
        <v>2235</v>
      </c>
      <c r="H92" s="798" t="s">
        <v>2236</v>
      </c>
      <c r="I92" s="812">
        <v>5.33</v>
      </c>
      <c r="J92" s="812">
        <v>100</v>
      </c>
      <c r="K92" s="813">
        <v>532.79999999999995</v>
      </c>
    </row>
    <row r="93" spans="1:11" ht="14.4" customHeight="1" x14ac:dyDescent="0.3">
      <c r="A93" s="794" t="s">
        <v>591</v>
      </c>
      <c r="B93" s="795" t="s">
        <v>592</v>
      </c>
      <c r="C93" s="798" t="s">
        <v>601</v>
      </c>
      <c r="D93" s="826" t="s">
        <v>1362</v>
      </c>
      <c r="E93" s="798" t="s">
        <v>3327</v>
      </c>
      <c r="F93" s="826" t="s">
        <v>3328</v>
      </c>
      <c r="G93" s="798" t="s">
        <v>2143</v>
      </c>
      <c r="H93" s="798" t="s">
        <v>2144</v>
      </c>
      <c r="I93" s="812">
        <v>1.98</v>
      </c>
      <c r="J93" s="812">
        <v>100</v>
      </c>
      <c r="K93" s="813">
        <v>198</v>
      </c>
    </row>
    <row r="94" spans="1:11" ht="14.4" customHeight="1" x14ac:dyDescent="0.3">
      <c r="A94" s="794" t="s">
        <v>591</v>
      </c>
      <c r="B94" s="795" t="s">
        <v>592</v>
      </c>
      <c r="C94" s="798" t="s">
        <v>601</v>
      </c>
      <c r="D94" s="826" t="s">
        <v>1362</v>
      </c>
      <c r="E94" s="798" t="s">
        <v>3327</v>
      </c>
      <c r="F94" s="826" t="s">
        <v>3328</v>
      </c>
      <c r="G94" s="798" t="s">
        <v>2237</v>
      </c>
      <c r="H94" s="798" t="s">
        <v>2238</v>
      </c>
      <c r="I94" s="812">
        <v>3.1</v>
      </c>
      <c r="J94" s="812">
        <v>50</v>
      </c>
      <c r="K94" s="813">
        <v>155</v>
      </c>
    </row>
    <row r="95" spans="1:11" ht="14.4" customHeight="1" x14ac:dyDescent="0.3">
      <c r="A95" s="794" t="s">
        <v>591</v>
      </c>
      <c r="B95" s="795" t="s">
        <v>592</v>
      </c>
      <c r="C95" s="798" t="s">
        <v>601</v>
      </c>
      <c r="D95" s="826" t="s">
        <v>1362</v>
      </c>
      <c r="E95" s="798" t="s">
        <v>3327</v>
      </c>
      <c r="F95" s="826" t="s">
        <v>3328</v>
      </c>
      <c r="G95" s="798" t="s">
        <v>2145</v>
      </c>
      <c r="H95" s="798" t="s">
        <v>2146</v>
      </c>
      <c r="I95" s="812">
        <v>0.01</v>
      </c>
      <c r="J95" s="812">
        <v>50</v>
      </c>
      <c r="K95" s="813">
        <v>0.5</v>
      </c>
    </row>
    <row r="96" spans="1:11" ht="14.4" customHeight="1" x14ac:dyDescent="0.3">
      <c r="A96" s="794" t="s">
        <v>591</v>
      </c>
      <c r="B96" s="795" t="s">
        <v>592</v>
      </c>
      <c r="C96" s="798" t="s">
        <v>601</v>
      </c>
      <c r="D96" s="826" t="s">
        <v>1362</v>
      </c>
      <c r="E96" s="798" t="s">
        <v>3327</v>
      </c>
      <c r="F96" s="826" t="s">
        <v>3328</v>
      </c>
      <c r="G96" s="798" t="s">
        <v>2147</v>
      </c>
      <c r="H96" s="798" t="s">
        <v>2148</v>
      </c>
      <c r="I96" s="812">
        <v>3.0750000000000002</v>
      </c>
      <c r="J96" s="812">
        <v>100</v>
      </c>
      <c r="K96" s="813">
        <v>307.5</v>
      </c>
    </row>
    <row r="97" spans="1:11" ht="14.4" customHeight="1" x14ac:dyDescent="0.3">
      <c r="A97" s="794" t="s">
        <v>591</v>
      </c>
      <c r="B97" s="795" t="s">
        <v>592</v>
      </c>
      <c r="C97" s="798" t="s">
        <v>601</v>
      </c>
      <c r="D97" s="826" t="s">
        <v>1362</v>
      </c>
      <c r="E97" s="798" t="s">
        <v>3327</v>
      </c>
      <c r="F97" s="826" t="s">
        <v>3328</v>
      </c>
      <c r="G97" s="798" t="s">
        <v>2149</v>
      </c>
      <c r="H97" s="798" t="s">
        <v>2150</v>
      </c>
      <c r="I97" s="812">
        <v>2.17</v>
      </c>
      <c r="J97" s="812">
        <v>100</v>
      </c>
      <c r="K97" s="813">
        <v>217</v>
      </c>
    </row>
    <row r="98" spans="1:11" ht="14.4" customHeight="1" x14ac:dyDescent="0.3">
      <c r="A98" s="794" t="s">
        <v>591</v>
      </c>
      <c r="B98" s="795" t="s">
        <v>592</v>
      </c>
      <c r="C98" s="798" t="s">
        <v>601</v>
      </c>
      <c r="D98" s="826" t="s">
        <v>1362</v>
      </c>
      <c r="E98" s="798" t="s">
        <v>3327</v>
      </c>
      <c r="F98" s="826" t="s">
        <v>3328</v>
      </c>
      <c r="G98" s="798" t="s">
        <v>2159</v>
      </c>
      <c r="H98" s="798" t="s">
        <v>2160</v>
      </c>
      <c r="I98" s="812">
        <v>2.52</v>
      </c>
      <c r="J98" s="812">
        <v>50</v>
      </c>
      <c r="K98" s="813">
        <v>126</v>
      </c>
    </row>
    <row r="99" spans="1:11" ht="14.4" customHeight="1" x14ac:dyDescent="0.3">
      <c r="A99" s="794" t="s">
        <v>591</v>
      </c>
      <c r="B99" s="795" t="s">
        <v>592</v>
      </c>
      <c r="C99" s="798" t="s">
        <v>601</v>
      </c>
      <c r="D99" s="826" t="s">
        <v>1362</v>
      </c>
      <c r="E99" s="798" t="s">
        <v>3327</v>
      </c>
      <c r="F99" s="826" t="s">
        <v>3328</v>
      </c>
      <c r="G99" s="798" t="s">
        <v>2169</v>
      </c>
      <c r="H99" s="798" t="s">
        <v>2170</v>
      </c>
      <c r="I99" s="812">
        <v>2.2799999999999998</v>
      </c>
      <c r="J99" s="812">
        <v>50</v>
      </c>
      <c r="K99" s="813">
        <v>114</v>
      </c>
    </row>
    <row r="100" spans="1:11" ht="14.4" customHeight="1" x14ac:dyDescent="0.3">
      <c r="A100" s="794" t="s">
        <v>591</v>
      </c>
      <c r="B100" s="795" t="s">
        <v>592</v>
      </c>
      <c r="C100" s="798" t="s">
        <v>601</v>
      </c>
      <c r="D100" s="826" t="s">
        <v>1362</v>
      </c>
      <c r="E100" s="798" t="s">
        <v>3327</v>
      </c>
      <c r="F100" s="826" t="s">
        <v>3328</v>
      </c>
      <c r="G100" s="798" t="s">
        <v>2173</v>
      </c>
      <c r="H100" s="798" t="s">
        <v>2174</v>
      </c>
      <c r="I100" s="812">
        <v>5</v>
      </c>
      <c r="J100" s="812">
        <v>100</v>
      </c>
      <c r="K100" s="813">
        <v>500</v>
      </c>
    </row>
    <row r="101" spans="1:11" ht="14.4" customHeight="1" x14ac:dyDescent="0.3">
      <c r="A101" s="794" t="s">
        <v>591</v>
      </c>
      <c r="B101" s="795" t="s">
        <v>592</v>
      </c>
      <c r="C101" s="798" t="s">
        <v>601</v>
      </c>
      <c r="D101" s="826" t="s">
        <v>1362</v>
      </c>
      <c r="E101" s="798" t="s">
        <v>3327</v>
      </c>
      <c r="F101" s="826" t="s">
        <v>3328</v>
      </c>
      <c r="G101" s="798" t="s">
        <v>2177</v>
      </c>
      <c r="H101" s="798" t="s">
        <v>2178</v>
      </c>
      <c r="I101" s="812">
        <v>2.08</v>
      </c>
      <c r="J101" s="812">
        <v>50</v>
      </c>
      <c r="K101" s="813">
        <v>104</v>
      </c>
    </row>
    <row r="102" spans="1:11" ht="14.4" customHeight="1" x14ac:dyDescent="0.3">
      <c r="A102" s="794" t="s">
        <v>591</v>
      </c>
      <c r="B102" s="795" t="s">
        <v>592</v>
      </c>
      <c r="C102" s="798" t="s">
        <v>601</v>
      </c>
      <c r="D102" s="826" t="s">
        <v>1362</v>
      </c>
      <c r="E102" s="798" t="s">
        <v>3335</v>
      </c>
      <c r="F102" s="826" t="s">
        <v>3336</v>
      </c>
      <c r="G102" s="798" t="s">
        <v>2239</v>
      </c>
      <c r="H102" s="798" t="s">
        <v>2240</v>
      </c>
      <c r="I102" s="812">
        <v>26.57</v>
      </c>
      <c r="J102" s="812">
        <v>36</v>
      </c>
      <c r="K102" s="813">
        <v>956.34</v>
      </c>
    </row>
    <row r="103" spans="1:11" ht="14.4" customHeight="1" x14ac:dyDescent="0.3">
      <c r="A103" s="794" t="s">
        <v>591</v>
      </c>
      <c r="B103" s="795" t="s">
        <v>592</v>
      </c>
      <c r="C103" s="798" t="s">
        <v>601</v>
      </c>
      <c r="D103" s="826" t="s">
        <v>1362</v>
      </c>
      <c r="E103" s="798" t="s">
        <v>3333</v>
      </c>
      <c r="F103" s="826" t="s">
        <v>3334</v>
      </c>
      <c r="G103" s="798" t="s">
        <v>2191</v>
      </c>
      <c r="H103" s="798" t="s">
        <v>2192</v>
      </c>
      <c r="I103" s="812">
        <v>0.69</v>
      </c>
      <c r="J103" s="812">
        <v>1200</v>
      </c>
      <c r="K103" s="813">
        <v>828</v>
      </c>
    </row>
    <row r="104" spans="1:11" ht="14.4" customHeight="1" x14ac:dyDescent="0.3">
      <c r="A104" s="794" t="s">
        <v>591</v>
      </c>
      <c r="B104" s="795" t="s">
        <v>592</v>
      </c>
      <c r="C104" s="798" t="s">
        <v>601</v>
      </c>
      <c r="D104" s="826" t="s">
        <v>1362</v>
      </c>
      <c r="E104" s="798" t="s">
        <v>3333</v>
      </c>
      <c r="F104" s="826" t="s">
        <v>3334</v>
      </c>
      <c r="G104" s="798" t="s">
        <v>2241</v>
      </c>
      <c r="H104" s="798" t="s">
        <v>2242</v>
      </c>
      <c r="I104" s="812">
        <v>0.69</v>
      </c>
      <c r="J104" s="812">
        <v>400</v>
      </c>
      <c r="K104" s="813">
        <v>276</v>
      </c>
    </row>
    <row r="105" spans="1:11" ht="14.4" customHeight="1" x14ac:dyDescent="0.3">
      <c r="A105" s="794" t="s">
        <v>591</v>
      </c>
      <c r="B105" s="795" t="s">
        <v>592</v>
      </c>
      <c r="C105" s="798" t="s">
        <v>601</v>
      </c>
      <c r="D105" s="826" t="s">
        <v>1362</v>
      </c>
      <c r="E105" s="798" t="s">
        <v>3333</v>
      </c>
      <c r="F105" s="826" t="s">
        <v>3334</v>
      </c>
      <c r="G105" s="798" t="s">
        <v>2243</v>
      </c>
      <c r="H105" s="798" t="s">
        <v>2244</v>
      </c>
      <c r="I105" s="812">
        <v>0.69</v>
      </c>
      <c r="J105" s="812">
        <v>1600</v>
      </c>
      <c r="K105" s="813">
        <v>1104</v>
      </c>
    </row>
    <row r="106" spans="1:11" ht="14.4" customHeight="1" x14ac:dyDescent="0.3">
      <c r="A106" s="794" t="s">
        <v>591</v>
      </c>
      <c r="B106" s="795" t="s">
        <v>592</v>
      </c>
      <c r="C106" s="798" t="s">
        <v>601</v>
      </c>
      <c r="D106" s="826" t="s">
        <v>1362</v>
      </c>
      <c r="E106" s="798" t="s">
        <v>3333</v>
      </c>
      <c r="F106" s="826" t="s">
        <v>3334</v>
      </c>
      <c r="G106" s="798" t="s">
        <v>2245</v>
      </c>
      <c r="H106" s="798" t="s">
        <v>2246</v>
      </c>
      <c r="I106" s="812">
        <v>12.43</v>
      </c>
      <c r="J106" s="812">
        <v>50</v>
      </c>
      <c r="K106" s="813">
        <v>621.5</v>
      </c>
    </row>
    <row r="107" spans="1:11" ht="14.4" customHeight="1" x14ac:dyDescent="0.3">
      <c r="A107" s="794" t="s">
        <v>591</v>
      </c>
      <c r="B107" s="795" t="s">
        <v>592</v>
      </c>
      <c r="C107" s="798" t="s">
        <v>601</v>
      </c>
      <c r="D107" s="826" t="s">
        <v>1362</v>
      </c>
      <c r="E107" s="798" t="s">
        <v>3333</v>
      </c>
      <c r="F107" s="826" t="s">
        <v>3334</v>
      </c>
      <c r="G107" s="798" t="s">
        <v>2247</v>
      </c>
      <c r="H107" s="798" t="s">
        <v>2248</v>
      </c>
      <c r="I107" s="812">
        <v>12.04</v>
      </c>
      <c r="J107" s="812">
        <v>50</v>
      </c>
      <c r="K107" s="813">
        <v>602</v>
      </c>
    </row>
    <row r="108" spans="1:11" ht="14.4" customHeight="1" x14ac:dyDescent="0.3">
      <c r="A108" s="794" t="s">
        <v>591</v>
      </c>
      <c r="B108" s="795" t="s">
        <v>592</v>
      </c>
      <c r="C108" s="798" t="s">
        <v>601</v>
      </c>
      <c r="D108" s="826" t="s">
        <v>1362</v>
      </c>
      <c r="E108" s="798" t="s">
        <v>3333</v>
      </c>
      <c r="F108" s="826" t="s">
        <v>3334</v>
      </c>
      <c r="G108" s="798" t="s">
        <v>2249</v>
      </c>
      <c r="H108" s="798" t="s">
        <v>2250</v>
      </c>
      <c r="I108" s="812">
        <v>12.59</v>
      </c>
      <c r="J108" s="812">
        <v>40</v>
      </c>
      <c r="K108" s="813">
        <v>503.6</v>
      </c>
    </row>
    <row r="109" spans="1:11" ht="14.4" customHeight="1" x14ac:dyDescent="0.3">
      <c r="A109" s="794" t="s">
        <v>591</v>
      </c>
      <c r="B109" s="795" t="s">
        <v>592</v>
      </c>
      <c r="C109" s="798" t="s">
        <v>604</v>
      </c>
      <c r="D109" s="826" t="s">
        <v>1363</v>
      </c>
      <c r="E109" s="798" t="s">
        <v>3325</v>
      </c>
      <c r="F109" s="826" t="s">
        <v>3326</v>
      </c>
      <c r="G109" s="798" t="s">
        <v>2195</v>
      </c>
      <c r="H109" s="798" t="s">
        <v>2196</v>
      </c>
      <c r="I109" s="812">
        <v>3.97</v>
      </c>
      <c r="J109" s="812">
        <v>80</v>
      </c>
      <c r="K109" s="813">
        <v>317.60000000000002</v>
      </c>
    </row>
    <row r="110" spans="1:11" ht="14.4" customHeight="1" x14ac:dyDescent="0.3">
      <c r="A110" s="794" t="s">
        <v>591</v>
      </c>
      <c r="B110" s="795" t="s">
        <v>592</v>
      </c>
      <c r="C110" s="798" t="s">
        <v>604</v>
      </c>
      <c r="D110" s="826" t="s">
        <v>1363</v>
      </c>
      <c r="E110" s="798" t="s">
        <v>3325</v>
      </c>
      <c r="F110" s="826" t="s">
        <v>3326</v>
      </c>
      <c r="G110" s="798" t="s">
        <v>2081</v>
      </c>
      <c r="H110" s="798" t="s">
        <v>2082</v>
      </c>
      <c r="I110" s="812">
        <v>28.73</v>
      </c>
      <c r="J110" s="812">
        <v>8</v>
      </c>
      <c r="K110" s="813">
        <v>229.84</v>
      </c>
    </row>
    <row r="111" spans="1:11" ht="14.4" customHeight="1" x14ac:dyDescent="0.3">
      <c r="A111" s="794" t="s">
        <v>591</v>
      </c>
      <c r="B111" s="795" t="s">
        <v>592</v>
      </c>
      <c r="C111" s="798" t="s">
        <v>604</v>
      </c>
      <c r="D111" s="826" t="s">
        <v>1363</v>
      </c>
      <c r="E111" s="798" t="s">
        <v>3325</v>
      </c>
      <c r="F111" s="826" t="s">
        <v>3326</v>
      </c>
      <c r="G111" s="798" t="s">
        <v>2251</v>
      </c>
      <c r="H111" s="798" t="s">
        <v>2252</v>
      </c>
      <c r="I111" s="812">
        <v>6.25</v>
      </c>
      <c r="J111" s="812">
        <v>200</v>
      </c>
      <c r="K111" s="813">
        <v>1250</v>
      </c>
    </row>
    <row r="112" spans="1:11" ht="14.4" customHeight="1" x14ac:dyDescent="0.3">
      <c r="A112" s="794" t="s">
        <v>591</v>
      </c>
      <c r="B112" s="795" t="s">
        <v>592</v>
      </c>
      <c r="C112" s="798" t="s">
        <v>604</v>
      </c>
      <c r="D112" s="826" t="s">
        <v>1363</v>
      </c>
      <c r="E112" s="798" t="s">
        <v>3325</v>
      </c>
      <c r="F112" s="826" t="s">
        <v>3326</v>
      </c>
      <c r="G112" s="798" t="s">
        <v>2093</v>
      </c>
      <c r="H112" s="798" t="s">
        <v>2094</v>
      </c>
      <c r="I112" s="812">
        <v>30.18</v>
      </c>
      <c r="J112" s="812">
        <v>30</v>
      </c>
      <c r="K112" s="813">
        <v>905.4</v>
      </c>
    </row>
    <row r="113" spans="1:11" ht="14.4" customHeight="1" x14ac:dyDescent="0.3">
      <c r="A113" s="794" t="s">
        <v>591</v>
      </c>
      <c r="B113" s="795" t="s">
        <v>592</v>
      </c>
      <c r="C113" s="798" t="s">
        <v>604</v>
      </c>
      <c r="D113" s="826" t="s">
        <v>1363</v>
      </c>
      <c r="E113" s="798" t="s">
        <v>3325</v>
      </c>
      <c r="F113" s="826" t="s">
        <v>3326</v>
      </c>
      <c r="G113" s="798" t="s">
        <v>2201</v>
      </c>
      <c r="H113" s="798" t="s">
        <v>2202</v>
      </c>
      <c r="I113" s="812">
        <v>1.49</v>
      </c>
      <c r="J113" s="812">
        <v>1500</v>
      </c>
      <c r="K113" s="813">
        <v>2235</v>
      </c>
    </row>
    <row r="114" spans="1:11" ht="14.4" customHeight="1" x14ac:dyDescent="0.3">
      <c r="A114" s="794" t="s">
        <v>591</v>
      </c>
      <c r="B114" s="795" t="s">
        <v>592</v>
      </c>
      <c r="C114" s="798" t="s">
        <v>604</v>
      </c>
      <c r="D114" s="826" t="s">
        <v>1363</v>
      </c>
      <c r="E114" s="798" t="s">
        <v>3325</v>
      </c>
      <c r="F114" s="826" t="s">
        <v>3326</v>
      </c>
      <c r="G114" s="798" t="s">
        <v>2095</v>
      </c>
      <c r="H114" s="798" t="s">
        <v>2096</v>
      </c>
      <c r="I114" s="812">
        <v>1.38</v>
      </c>
      <c r="J114" s="812">
        <v>50</v>
      </c>
      <c r="K114" s="813">
        <v>69</v>
      </c>
    </row>
    <row r="115" spans="1:11" ht="14.4" customHeight="1" x14ac:dyDescent="0.3">
      <c r="A115" s="794" t="s">
        <v>591</v>
      </c>
      <c r="B115" s="795" t="s">
        <v>592</v>
      </c>
      <c r="C115" s="798" t="s">
        <v>604</v>
      </c>
      <c r="D115" s="826" t="s">
        <v>1363</v>
      </c>
      <c r="E115" s="798" t="s">
        <v>3325</v>
      </c>
      <c r="F115" s="826" t="s">
        <v>3326</v>
      </c>
      <c r="G115" s="798" t="s">
        <v>2097</v>
      </c>
      <c r="H115" s="798" t="s">
        <v>2098</v>
      </c>
      <c r="I115" s="812">
        <v>8.59</v>
      </c>
      <c r="J115" s="812">
        <v>120</v>
      </c>
      <c r="K115" s="813">
        <v>1030.8</v>
      </c>
    </row>
    <row r="116" spans="1:11" ht="14.4" customHeight="1" x14ac:dyDescent="0.3">
      <c r="A116" s="794" t="s">
        <v>591</v>
      </c>
      <c r="B116" s="795" t="s">
        <v>592</v>
      </c>
      <c r="C116" s="798" t="s">
        <v>604</v>
      </c>
      <c r="D116" s="826" t="s">
        <v>1363</v>
      </c>
      <c r="E116" s="798" t="s">
        <v>3325</v>
      </c>
      <c r="F116" s="826" t="s">
        <v>3326</v>
      </c>
      <c r="G116" s="798" t="s">
        <v>2101</v>
      </c>
      <c r="H116" s="798" t="s">
        <v>2102</v>
      </c>
      <c r="I116" s="812">
        <v>0.67</v>
      </c>
      <c r="J116" s="812">
        <v>300</v>
      </c>
      <c r="K116" s="813">
        <v>201</v>
      </c>
    </row>
    <row r="117" spans="1:11" ht="14.4" customHeight="1" x14ac:dyDescent="0.3">
      <c r="A117" s="794" t="s">
        <v>591</v>
      </c>
      <c r="B117" s="795" t="s">
        <v>592</v>
      </c>
      <c r="C117" s="798" t="s">
        <v>604</v>
      </c>
      <c r="D117" s="826" t="s">
        <v>1363</v>
      </c>
      <c r="E117" s="798" t="s">
        <v>3325</v>
      </c>
      <c r="F117" s="826" t="s">
        <v>3326</v>
      </c>
      <c r="G117" s="798" t="s">
        <v>2103</v>
      </c>
      <c r="H117" s="798" t="s">
        <v>2104</v>
      </c>
      <c r="I117" s="812">
        <v>8.58</v>
      </c>
      <c r="J117" s="812">
        <v>40</v>
      </c>
      <c r="K117" s="813">
        <v>343.2</v>
      </c>
    </row>
    <row r="118" spans="1:11" ht="14.4" customHeight="1" x14ac:dyDescent="0.3">
      <c r="A118" s="794" t="s">
        <v>591</v>
      </c>
      <c r="B118" s="795" t="s">
        <v>592</v>
      </c>
      <c r="C118" s="798" t="s">
        <v>604</v>
      </c>
      <c r="D118" s="826" t="s">
        <v>1363</v>
      </c>
      <c r="E118" s="798" t="s">
        <v>3325</v>
      </c>
      <c r="F118" s="826" t="s">
        <v>3326</v>
      </c>
      <c r="G118" s="798" t="s">
        <v>2105</v>
      </c>
      <c r="H118" s="798" t="s">
        <v>2106</v>
      </c>
      <c r="I118" s="812">
        <v>27.88</v>
      </c>
      <c r="J118" s="812">
        <v>4</v>
      </c>
      <c r="K118" s="813">
        <v>111.52</v>
      </c>
    </row>
    <row r="119" spans="1:11" ht="14.4" customHeight="1" x14ac:dyDescent="0.3">
      <c r="A119" s="794" t="s">
        <v>591</v>
      </c>
      <c r="B119" s="795" t="s">
        <v>592</v>
      </c>
      <c r="C119" s="798" t="s">
        <v>604</v>
      </c>
      <c r="D119" s="826" t="s">
        <v>1363</v>
      </c>
      <c r="E119" s="798" t="s">
        <v>3325</v>
      </c>
      <c r="F119" s="826" t="s">
        <v>3326</v>
      </c>
      <c r="G119" s="798" t="s">
        <v>2209</v>
      </c>
      <c r="H119" s="798" t="s">
        <v>2210</v>
      </c>
      <c r="I119" s="812">
        <v>0.97</v>
      </c>
      <c r="J119" s="812">
        <v>400</v>
      </c>
      <c r="K119" s="813">
        <v>388</v>
      </c>
    </row>
    <row r="120" spans="1:11" ht="14.4" customHeight="1" x14ac:dyDescent="0.3">
      <c r="A120" s="794" t="s">
        <v>591</v>
      </c>
      <c r="B120" s="795" t="s">
        <v>592</v>
      </c>
      <c r="C120" s="798" t="s">
        <v>604</v>
      </c>
      <c r="D120" s="826" t="s">
        <v>1363</v>
      </c>
      <c r="E120" s="798" t="s">
        <v>3325</v>
      </c>
      <c r="F120" s="826" t="s">
        <v>3326</v>
      </c>
      <c r="G120" s="798" t="s">
        <v>2111</v>
      </c>
      <c r="H120" s="798" t="s">
        <v>2112</v>
      </c>
      <c r="I120" s="812">
        <v>0.86</v>
      </c>
      <c r="J120" s="812">
        <v>100</v>
      </c>
      <c r="K120" s="813">
        <v>86</v>
      </c>
    </row>
    <row r="121" spans="1:11" ht="14.4" customHeight="1" x14ac:dyDescent="0.3">
      <c r="A121" s="794" t="s">
        <v>591</v>
      </c>
      <c r="B121" s="795" t="s">
        <v>592</v>
      </c>
      <c r="C121" s="798" t="s">
        <v>604</v>
      </c>
      <c r="D121" s="826" t="s">
        <v>1363</v>
      </c>
      <c r="E121" s="798" t="s">
        <v>3325</v>
      </c>
      <c r="F121" s="826" t="s">
        <v>3326</v>
      </c>
      <c r="G121" s="798" t="s">
        <v>2119</v>
      </c>
      <c r="H121" s="798" t="s">
        <v>2120</v>
      </c>
      <c r="I121" s="812">
        <v>685.05499999999995</v>
      </c>
      <c r="J121" s="812">
        <v>7</v>
      </c>
      <c r="K121" s="813">
        <v>4795.3799999999992</v>
      </c>
    </row>
    <row r="122" spans="1:11" ht="14.4" customHeight="1" x14ac:dyDescent="0.3">
      <c r="A122" s="794" t="s">
        <v>591</v>
      </c>
      <c r="B122" s="795" t="s">
        <v>592</v>
      </c>
      <c r="C122" s="798" t="s">
        <v>604</v>
      </c>
      <c r="D122" s="826" t="s">
        <v>1363</v>
      </c>
      <c r="E122" s="798" t="s">
        <v>3325</v>
      </c>
      <c r="F122" s="826" t="s">
        <v>3326</v>
      </c>
      <c r="G122" s="798" t="s">
        <v>2253</v>
      </c>
      <c r="H122" s="798" t="s">
        <v>2254</v>
      </c>
      <c r="I122" s="812">
        <v>8.625</v>
      </c>
      <c r="J122" s="812">
        <v>60</v>
      </c>
      <c r="K122" s="813">
        <v>517.5</v>
      </c>
    </row>
    <row r="123" spans="1:11" ht="14.4" customHeight="1" x14ac:dyDescent="0.3">
      <c r="A123" s="794" t="s">
        <v>591</v>
      </c>
      <c r="B123" s="795" t="s">
        <v>592</v>
      </c>
      <c r="C123" s="798" t="s">
        <v>604</v>
      </c>
      <c r="D123" s="826" t="s">
        <v>1363</v>
      </c>
      <c r="E123" s="798" t="s">
        <v>3327</v>
      </c>
      <c r="F123" s="826" t="s">
        <v>3328</v>
      </c>
      <c r="G123" s="798" t="s">
        <v>2255</v>
      </c>
      <c r="H123" s="798" t="s">
        <v>2256</v>
      </c>
      <c r="I123" s="812">
        <v>58.37</v>
      </c>
      <c r="J123" s="812">
        <v>20</v>
      </c>
      <c r="K123" s="813">
        <v>1167.4000000000001</v>
      </c>
    </row>
    <row r="124" spans="1:11" ht="14.4" customHeight="1" x14ac:dyDescent="0.3">
      <c r="A124" s="794" t="s">
        <v>591</v>
      </c>
      <c r="B124" s="795" t="s">
        <v>592</v>
      </c>
      <c r="C124" s="798" t="s">
        <v>604</v>
      </c>
      <c r="D124" s="826" t="s">
        <v>1363</v>
      </c>
      <c r="E124" s="798" t="s">
        <v>3327</v>
      </c>
      <c r="F124" s="826" t="s">
        <v>3328</v>
      </c>
      <c r="G124" s="798" t="s">
        <v>2257</v>
      </c>
      <c r="H124" s="798" t="s">
        <v>2258</v>
      </c>
      <c r="I124" s="812">
        <v>37.51</v>
      </c>
      <c r="J124" s="812">
        <v>40</v>
      </c>
      <c r="K124" s="813">
        <v>1500.4</v>
      </c>
    </row>
    <row r="125" spans="1:11" ht="14.4" customHeight="1" x14ac:dyDescent="0.3">
      <c r="A125" s="794" t="s">
        <v>591</v>
      </c>
      <c r="B125" s="795" t="s">
        <v>592</v>
      </c>
      <c r="C125" s="798" t="s">
        <v>604</v>
      </c>
      <c r="D125" s="826" t="s">
        <v>1363</v>
      </c>
      <c r="E125" s="798" t="s">
        <v>3327</v>
      </c>
      <c r="F125" s="826" t="s">
        <v>3328</v>
      </c>
      <c r="G125" s="798" t="s">
        <v>2131</v>
      </c>
      <c r="H125" s="798" t="s">
        <v>2132</v>
      </c>
      <c r="I125" s="812">
        <v>1.0900000000000001</v>
      </c>
      <c r="J125" s="812">
        <v>600</v>
      </c>
      <c r="K125" s="813">
        <v>654</v>
      </c>
    </row>
    <row r="126" spans="1:11" ht="14.4" customHeight="1" x14ac:dyDescent="0.3">
      <c r="A126" s="794" t="s">
        <v>591</v>
      </c>
      <c r="B126" s="795" t="s">
        <v>592</v>
      </c>
      <c r="C126" s="798" t="s">
        <v>604</v>
      </c>
      <c r="D126" s="826" t="s">
        <v>1363</v>
      </c>
      <c r="E126" s="798" t="s">
        <v>3327</v>
      </c>
      <c r="F126" s="826" t="s">
        <v>3328</v>
      </c>
      <c r="G126" s="798" t="s">
        <v>2133</v>
      </c>
      <c r="H126" s="798" t="s">
        <v>2134</v>
      </c>
      <c r="I126" s="812">
        <v>1.67</v>
      </c>
      <c r="J126" s="812">
        <v>400</v>
      </c>
      <c r="K126" s="813">
        <v>668</v>
      </c>
    </row>
    <row r="127" spans="1:11" ht="14.4" customHeight="1" x14ac:dyDescent="0.3">
      <c r="A127" s="794" t="s">
        <v>591</v>
      </c>
      <c r="B127" s="795" t="s">
        <v>592</v>
      </c>
      <c r="C127" s="798" t="s">
        <v>604</v>
      </c>
      <c r="D127" s="826" t="s">
        <v>1363</v>
      </c>
      <c r="E127" s="798" t="s">
        <v>3327</v>
      </c>
      <c r="F127" s="826" t="s">
        <v>3328</v>
      </c>
      <c r="G127" s="798" t="s">
        <v>2135</v>
      </c>
      <c r="H127" s="798" t="s">
        <v>2136</v>
      </c>
      <c r="I127" s="812">
        <v>0.48</v>
      </c>
      <c r="J127" s="812">
        <v>300</v>
      </c>
      <c r="K127" s="813">
        <v>144</v>
      </c>
    </row>
    <row r="128" spans="1:11" ht="14.4" customHeight="1" x14ac:dyDescent="0.3">
      <c r="A128" s="794" t="s">
        <v>591</v>
      </c>
      <c r="B128" s="795" t="s">
        <v>592</v>
      </c>
      <c r="C128" s="798" t="s">
        <v>604</v>
      </c>
      <c r="D128" s="826" t="s">
        <v>1363</v>
      </c>
      <c r="E128" s="798" t="s">
        <v>3327</v>
      </c>
      <c r="F128" s="826" t="s">
        <v>3328</v>
      </c>
      <c r="G128" s="798" t="s">
        <v>2137</v>
      </c>
      <c r="H128" s="798" t="s">
        <v>2138</v>
      </c>
      <c r="I128" s="812">
        <v>0.67</v>
      </c>
      <c r="J128" s="812">
        <v>300</v>
      </c>
      <c r="K128" s="813">
        <v>201</v>
      </c>
    </row>
    <row r="129" spans="1:11" ht="14.4" customHeight="1" x14ac:dyDescent="0.3">
      <c r="A129" s="794" t="s">
        <v>591</v>
      </c>
      <c r="B129" s="795" t="s">
        <v>592</v>
      </c>
      <c r="C129" s="798" t="s">
        <v>604</v>
      </c>
      <c r="D129" s="826" t="s">
        <v>1363</v>
      </c>
      <c r="E129" s="798" t="s">
        <v>3327</v>
      </c>
      <c r="F129" s="826" t="s">
        <v>3328</v>
      </c>
      <c r="G129" s="798" t="s">
        <v>2139</v>
      </c>
      <c r="H129" s="798" t="s">
        <v>2140</v>
      </c>
      <c r="I129" s="812">
        <v>81.73</v>
      </c>
      <c r="J129" s="812">
        <v>45</v>
      </c>
      <c r="K129" s="813">
        <v>3677.85</v>
      </c>
    </row>
    <row r="130" spans="1:11" ht="14.4" customHeight="1" x14ac:dyDescent="0.3">
      <c r="A130" s="794" t="s">
        <v>591</v>
      </c>
      <c r="B130" s="795" t="s">
        <v>592</v>
      </c>
      <c r="C130" s="798" t="s">
        <v>604</v>
      </c>
      <c r="D130" s="826" t="s">
        <v>1363</v>
      </c>
      <c r="E130" s="798" t="s">
        <v>3327</v>
      </c>
      <c r="F130" s="826" t="s">
        <v>3328</v>
      </c>
      <c r="G130" s="798" t="s">
        <v>2141</v>
      </c>
      <c r="H130" s="798" t="s">
        <v>2142</v>
      </c>
      <c r="I130" s="812">
        <v>6.17</v>
      </c>
      <c r="J130" s="812">
        <v>30</v>
      </c>
      <c r="K130" s="813">
        <v>185.1</v>
      </c>
    </row>
    <row r="131" spans="1:11" ht="14.4" customHeight="1" x14ac:dyDescent="0.3">
      <c r="A131" s="794" t="s">
        <v>591</v>
      </c>
      <c r="B131" s="795" t="s">
        <v>592</v>
      </c>
      <c r="C131" s="798" t="s">
        <v>604</v>
      </c>
      <c r="D131" s="826" t="s">
        <v>1363</v>
      </c>
      <c r="E131" s="798" t="s">
        <v>3327</v>
      </c>
      <c r="F131" s="826" t="s">
        <v>3328</v>
      </c>
      <c r="G131" s="798" t="s">
        <v>2143</v>
      </c>
      <c r="H131" s="798" t="s">
        <v>2144</v>
      </c>
      <c r="I131" s="812">
        <v>1.99</v>
      </c>
      <c r="J131" s="812">
        <v>300</v>
      </c>
      <c r="K131" s="813">
        <v>597</v>
      </c>
    </row>
    <row r="132" spans="1:11" ht="14.4" customHeight="1" x14ac:dyDescent="0.3">
      <c r="A132" s="794" t="s">
        <v>591</v>
      </c>
      <c r="B132" s="795" t="s">
        <v>592</v>
      </c>
      <c r="C132" s="798" t="s">
        <v>604</v>
      </c>
      <c r="D132" s="826" t="s">
        <v>1363</v>
      </c>
      <c r="E132" s="798" t="s">
        <v>3327</v>
      </c>
      <c r="F132" s="826" t="s">
        <v>3328</v>
      </c>
      <c r="G132" s="798" t="s">
        <v>2259</v>
      </c>
      <c r="H132" s="798" t="s">
        <v>2260</v>
      </c>
      <c r="I132" s="812">
        <v>1.92</v>
      </c>
      <c r="J132" s="812">
        <v>50</v>
      </c>
      <c r="K132" s="813">
        <v>96</v>
      </c>
    </row>
    <row r="133" spans="1:11" ht="14.4" customHeight="1" x14ac:dyDescent="0.3">
      <c r="A133" s="794" t="s">
        <v>591</v>
      </c>
      <c r="B133" s="795" t="s">
        <v>592</v>
      </c>
      <c r="C133" s="798" t="s">
        <v>604</v>
      </c>
      <c r="D133" s="826" t="s">
        <v>1363</v>
      </c>
      <c r="E133" s="798" t="s">
        <v>3327</v>
      </c>
      <c r="F133" s="826" t="s">
        <v>3328</v>
      </c>
      <c r="G133" s="798" t="s">
        <v>2261</v>
      </c>
      <c r="H133" s="798" t="s">
        <v>2262</v>
      </c>
      <c r="I133" s="812">
        <v>2.7</v>
      </c>
      <c r="J133" s="812">
        <v>300</v>
      </c>
      <c r="K133" s="813">
        <v>810</v>
      </c>
    </row>
    <row r="134" spans="1:11" ht="14.4" customHeight="1" x14ac:dyDescent="0.3">
      <c r="A134" s="794" t="s">
        <v>591</v>
      </c>
      <c r="B134" s="795" t="s">
        <v>592</v>
      </c>
      <c r="C134" s="798" t="s">
        <v>604</v>
      </c>
      <c r="D134" s="826" t="s">
        <v>1363</v>
      </c>
      <c r="E134" s="798" t="s">
        <v>3327</v>
      </c>
      <c r="F134" s="826" t="s">
        <v>3328</v>
      </c>
      <c r="G134" s="798" t="s">
        <v>2263</v>
      </c>
      <c r="H134" s="798" t="s">
        <v>2264</v>
      </c>
      <c r="I134" s="812">
        <v>1.94</v>
      </c>
      <c r="J134" s="812">
        <v>100</v>
      </c>
      <c r="K134" s="813">
        <v>194</v>
      </c>
    </row>
    <row r="135" spans="1:11" ht="14.4" customHeight="1" x14ac:dyDescent="0.3">
      <c r="A135" s="794" t="s">
        <v>591</v>
      </c>
      <c r="B135" s="795" t="s">
        <v>592</v>
      </c>
      <c r="C135" s="798" t="s">
        <v>604</v>
      </c>
      <c r="D135" s="826" t="s">
        <v>1363</v>
      </c>
      <c r="E135" s="798" t="s">
        <v>3327</v>
      </c>
      <c r="F135" s="826" t="s">
        <v>3328</v>
      </c>
      <c r="G135" s="798" t="s">
        <v>2265</v>
      </c>
      <c r="H135" s="798" t="s">
        <v>2266</v>
      </c>
      <c r="I135" s="812">
        <v>447.94</v>
      </c>
      <c r="J135" s="812">
        <v>10</v>
      </c>
      <c r="K135" s="813">
        <v>4479.3999999999996</v>
      </c>
    </row>
    <row r="136" spans="1:11" ht="14.4" customHeight="1" x14ac:dyDescent="0.3">
      <c r="A136" s="794" t="s">
        <v>591</v>
      </c>
      <c r="B136" s="795" t="s">
        <v>592</v>
      </c>
      <c r="C136" s="798" t="s">
        <v>604</v>
      </c>
      <c r="D136" s="826" t="s">
        <v>1363</v>
      </c>
      <c r="E136" s="798" t="s">
        <v>3327</v>
      </c>
      <c r="F136" s="826" t="s">
        <v>3328</v>
      </c>
      <c r="G136" s="798" t="s">
        <v>2155</v>
      </c>
      <c r="H136" s="798" t="s">
        <v>2156</v>
      </c>
      <c r="I136" s="812">
        <v>17.98</v>
      </c>
      <c r="J136" s="812">
        <v>100</v>
      </c>
      <c r="K136" s="813">
        <v>1798</v>
      </c>
    </row>
    <row r="137" spans="1:11" ht="14.4" customHeight="1" x14ac:dyDescent="0.3">
      <c r="A137" s="794" t="s">
        <v>591</v>
      </c>
      <c r="B137" s="795" t="s">
        <v>592</v>
      </c>
      <c r="C137" s="798" t="s">
        <v>604</v>
      </c>
      <c r="D137" s="826" t="s">
        <v>1363</v>
      </c>
      <c r="E137" s="798" t="s">
        <v>3327</v>
      </c>
      <c r="F137" s="826" t="s">
        <v>3328</v>
      </c>
      <c r="G137" s="798" t="s">
        <v>2267</v>
      </c>
      <c r="H137" s="798" t="s">
        <v>2268</v>
      </c>
      <c r="I137" s="812">
        <v>11.74</v>
      </c>
      <c r="J137" s="812">
        <v>50</v>
      </c>
      <c r="K137" s="813">
        <v>587</v>
      </c>
    </row>
    <row r="138" spans="1:11" ht="14.4" customHeight="1" x14ac:dyDescent="0.3">
      <c r="A138" s="794" t="s">
        <v>591</v>
      </c>
      <c r="B138" s="795" t="s">
        <v>592</v>
      </c>
      <c r="C138" s="798" t="s">
        <v>604</v>
      </c>
      <c r="D138" s="826" t="s">
        <v>1363</v>
      </c>
      <c r="E138" s="798" t="s">
        <v>3327</v>
      </c>
      <c r="F138" s="826" t="s">
        <v>3328</v>
      </c>
      <c r="G138" s="798" t="s">
        <v>2269</v>
      </c>
      <c r="H138" s="798" t="s">
        <v>2270</v>
      </c>
      <c r="I138" s="812">
        <v>5.21</v>
      </c>
      <c r="J138" s="812">
        <v>100</v>
      </c>
      <c r="K138" s="813">
        <v>521</v>
      </c>
    </row>
    <row r="139" spans="1:11" ht="14.4" customHeight="1" x14ac:dyDescent="0.3">
      <c r="A139" s="794" t="s">
        <v>591</v>
      </c>
      <c r="B139" s="795" t="s">
        <v>592</v>
      </c>
      <c r="C139" s="798" t="s">
        <v>604</v>
      </c>
      <c r="D139" s="826" t="s">
        <v>1363</v>
      </c>
      <c r="E139" s="798" t="s">
        <v>3327</v>
      </c>
      <c r="F139" s="826" t="s">
        <v>3328</v>
      </c>
      <c r="G139" s="798" t="s">
        <v>2161</v>
      </c>
      <c r="H139" s="798" t="s">
        <v>2162</v>
      </c>
      <c r="I139" s="812">
        <v>13.2</v>
      </c>
      <c r="J139" s="812">
        <v>30</v>
      </c>
      <c r="K139" s="813">
        <v>396</v>
      </c>
    </row>
    <row r="140" spans="1:11" ht="14.4" customHeight="1" x14ac:dyDescent="0.3">
      <c r="A140" s="794" t="s">
        <v>591</v>
      </c>
      <c r="B140" s="795" t="s">
        <v>592</v>
      </c>
      <c r="C140" s="798" t="s">
        <v>604</v>
      </c>
      <c r="D140" s="826" t="s">
        <v>1363</v>
      </c>
      <c r="E140" s="798" t="s">
        <v>3327</v>
      </c>
      <c r="F140" s="826" t="s">
        <v>3328</v>
      </c>
      <c r="G140" s="798" t="s">
        <v>2271</v>
      </c>
      <c r="H140" s="798" t="s">
        <v>2272</v>
      </c>
      <c r="I140" s="812">
        <v>1.27</v>
      </c>
      <c r="J140" s="812">
        <v>75</v>
      </c>
      <c r="K140" s="813">
        <v>95.25</v>
      </c>
    </row>
    <row r="141" spans="1:11" ht="14.4" customHeight="1" x14ac:dyDescent="0.3">
      <c r="A141" s="794" t="s">
        <v>591</v>
      </c>
      <c r="B141" s="795" t="s">
        <v>592</v>
      </c>
      <c r="C141" s="798" t="s">
        <v>604</v>
      </c>
      <c r="D141" s="826" t="s">
        <v>1363</v>
      </c>
      <c r="E141" s="798" t="s">
        <v>3327</v>
      </c>
      <c r="F141" s="826" t="s">
        <v>3328</v>
      </c>
      <c r="G141" s="798" t="s">
        <v>2273</v>
      </c>
      <c r="H141" s="798" t="s">
        <v>2274</v>
      </c>
      <c r="I141" s="812">
        <v>21.23</v>
      </c>
      <c r="J141" s="812">
        <v>20</v>
      </c>
      <c r="K141" s="813">
        <v>424.6</v>
      </c>
    </row>
    <row r="142" spans="1:11" ht="14.4" customHeight="1" x14ac:dyDescent="0.3">
      <c r="A142" s="794" t="s">
        <v>591</v>
      </c>
      <c r="B142" s="795" t="s">
        <v>592</v>
      </c>
      <c r="C142" s="798" t="s">
        <v>604</v>
      </c>
      <c r="D142" s="826" t="s">
        <v>1363</v>
      </c>
      <c r="E142" s="798" t="s">
        <v>3327</v>
      </c>
      <c r="F142" s="826" t="s">
        <v>3328</v>
      </c>
      <c r="G142" s="798" t="s">
        <v>2275</v>
      </c>
      <c r="H142" s="798" t="s">
        <v>2276</v>
      </c>
      <c r="I142" s="812">
        <v>0.47</v>
      </c>
      <c r="J142" s="812">
        <v>100</v>
      </c>
      <c r="K142" s="813">
        <v>47</v>
      </c>
    </row>
    <row r="143" spans="1:11" ht="14.4" customHeight="1" x14ac:dyDescent="0.3">
      <c r="A143" s="794" t="s">
        <v>591</v>
      </c>
      <c r="B143" s="795" t="s">
        <v>592</v>
      </c>
      <c r="C143" s="798" t="s">
        <v>604</v>
      </c>
      <c r="D143" s="826" t="s">
        <v>1363</v>
      </c>
      <c r="E143" s="798" t="s">
        <v>3327</v>
      </c>
      <c r="F143" s="826" t="s">
        <v>3328</v>
      </c>
      <c r="G143" s="798" t="s">
        <v>2277</v>
      </c>
      <c r="H143" s="798" t="s">
        <v>2278</v>
      </c>
      <c r="I143" s="812">
        <v>2.91</v>
      </c>
      <c r="J143" s="812">
        <v>50</v>
      </c>
      <c r="K143" s="813">
        <v>145.5</v>
      </c>
    </row>
    <row r="144" spans="1:11" ht="14.4" customHeight="1" x14ac:dyDescent="0.3">
      <c r="A144" s="794" t="s">
        <v>591</v>
      </c>
      <c r="B144" s="795" t="s">
        <v>592</v>
      </c>
      <c r="C144" s="798" t="s">
        <v>604</v>
      </c>
      <c r="D144" s="826" t="s">
        <v>1363</v>
      </c>
      <c r="E144" s="798" t="s">
        <v>3327</v>
      </c>
      <c r="F144" s="826" t="s">
        <v>3328</v>
      </c>
      <c r="G144" s="798" t="s">
        <v>2171</v>
      </c>
      <c r="H144" s="798" t="s">
        <v>2172</v>
      </c>
      <c r="I144" s="812">
        <v>9.1999999999999993</v>
      </c>
      <c r="J144" s="812">
        <v>100</v>
      </c>
      <c r="K144" s="813">
        <v>920</v>
      </c>
    </row>
    <row r="145" spans="1:11" ht="14.4" customHeight="1" x14ac:dyDescent="0.3">
      <c r="A145" s="794" t="s">
        <v>591</v>
      </c>
      <c r="B145" s="795" t="s">
        <v>592</v>
      </c>
      <c r="C145" s="798" t="s">
        <v>604</v>
      </c>
      <c r="D145" s="826" t="s">
        <v>1363</v>
      </c>
      <c r="E145" s="798" t="s">
        <v>3327</v>
      </c>
      <c r="F145" s="826" t="s">
        <v>3328</v>
      </c>
      <c r="G145" s="798" t="s">
        <v>2279</v>
      </c>
      <c r="H145" s="798" t="s">
        <v>2280</v>
      </c>
      <c r="I145" s="812">
        <v>17.91</v>
      </c>
      <c r="J145" s="812">
        <v>10</v>
      </c>
      <c r="K145" s="813">
        <v>179.08</v>
      </c>
    </row>
    <row r="146" spans="1:11" ht="14.4" customHeight="1" x14ac:dyDescent="0.3">
      <c r="A146" s="794" t="s">
        <v>591</v>
      </c>
      <c r="B146" s="795" t="s">
        <v>592</v>
      </c>
      <c r="C146" s="798" t="s">
        <v>604</v>
      </c>
      <c r="D146" s="826" t="s">
        <v>1363</v>
      </c>
      <c r="E146" s="798" t="s">
        <v>3327</v>
      </c>
      <c r="F146" s="826" t="s">
        <v>3328</v>
      </c>
      <c r="G146" s="798" t="s">
        <v>2281</v>
      </c>
      <c r="H146" s="798" t="s">
        <v>2282</v>
      </c>
      <c r="I146" s="812">
        <v>64.13</v>
      </c>
      <c r="J146" s="812">
        <v>2</v>
      </c>
      <c r="K146" s="813">
        <v>128.26</v>
      </c>
    </row>
    <row r="147" spans="1:11" ht="14.4" customHeight="1" x14ac:dyDescent="0.3">
      <c r="A147" s="794" t="s">
        <v>591</v>
      </c>
      <c r="B147" s="795" t="s">
        <v>592</v>
      </c>
      <c r="C147" s="798" t="s">
        <v>604</v>
      </c>
      <c r="D147" s="826" t="s">
        <v>1363</v>
      </c>
      <c r="E147" s="798" t="s">
        <v>3327</v>
      </c>
      <c r="F147" s="826" t="s">
        <v>3328</v>
      </c>
      <c r="G147" s="798" t="s">
        <v>2283</v>
      </c>
      <c r="H147" s="798" t="s">
        <v>2284</v>
      </c>
      <c r="I147" s="812">
        <v>175.01</v>
      </c>
      <c r="J147" s="812">
        <v>10</v>
      </c>
      <c r="K147" s="813">
        <v>1750.07</v>
      </c>
    </row>
    <row r="148" spans="1:11" ht="14.4" customHeight="1" x14ac:dyDescent="0.3">
      <c r="A148" s="794" t="s">
        <v>591</v>
      </c>
      <c r="B148" s="795" t="s">
        <v>592</v>
      </c>
      <c r="C148" s="798" t="s">
        <v>604</v>
      </c>
      <c r="D148" s="826" t="s">
        <v>1363</v>
      </c>
      <c r="E148" s="798" t="s">
        <v>3327</v>
      </c>
      <c r="F148" s="826" t="s">
        <v>3328</v>
      </c>
      <c r="G148" s="798" t="s">
        <v>2285</v>
      </c>
      <c r="H148" s="798" t="s">
        <v>2286</v>
      </c>
      <c r="I148" s="812">
        <v>9.68</v>
      </c>
      <c r="J148" s="812">
        <v>40</v>
      </c>
      <c r="K148" s="813">
        <v>387.2</v>
      </c>
    </row>
    <row r="149" spans="1:11" ht="14.4" customHeight="1" x14ac:dyDescent="0.3">
      <c r="A149" s="794" t="s">
        <v>591</v>
      </c>
      <c r="B149" s="795" t="s">
        <v>592</v>
      </c>
      <c r="C149" s="798" t="s">
        <v>604</v>
      </c>
      <c r="D149" s="826" t="s">
        <v>1363</v>
      </c>
      <c r="E149" s="798" t="s">
        <v>3327</v>
      </c>
      <c r="F149" s="826" t="s">
        <v>3328</v>
      </c>
      <c r="G149" s="798" t="s">
        <v>2287</v>
      </c>
      <c r="H149" s="798" t="s">
        <v>2288</v>
      </c>
      <c r="I149" s="812">
        <v>10.52</v>
      </c>
      <c r="J149" s="812">
        <v>200</v>
      </c>
      <c r="K149" s="813">
        <v>2104.8000000000002</v>
      </c>
    </row>
    <row r="150" spans="1:11" ht="14.4" customHeight="1" x14ac:dyDescent="0.3">
      <c r="A150" s="794" t="s">
        <v>591</v>
      </c>
      <c r="B150" s="795" t="s">
        <v>592</v>
      </c>
      <c r="C150" s="798" t="s">
        <v>604</v>
      </c>
      <c r="D150" s="826" t="s">
        <v>1363</v>
      </c>
      <c r="E150" s="798" t="s">
        <v>3327</v>
      </c>
      <c r="F150" s="826" t="s">
        <v>3328</v>
      </c>
      <c r="G150" s="798" t="s">
        <v>2177</v>
      </c>
      <c r="H150" s="798" t="s">
        <v>2178</v>
      </c>
      <c r="I150" s="812">
        <v>2.09</v>
      </c>
      <c r="J150" s="812">
        <v>20</v>
      </c>
      <c r="K150" s="813">
        <v>41.8</v>
      </c>
    </row>
    <row r="151" spans="1:11" ht="14.4" customHeight="1" x14ac:dyDescent="0.3">
      <c r="A151" s="794" t="s">
        <v>591</v>
      </c>
      <c r="B151" s="795" t="s">
        <v>592</v>
      </c>
      <c r="C151" s="798" t="s">
        <v>604</v>
      </c>
      <c r="D151" s="826" t="s">
        <v>1363</v>
      </c>
      <c r="E151" s="798" t="s">
        <v>3327</v>
      </c>
      <c r="F151" s="826" t="s">
        <v>3328</v>
      </c>
      <c r="G151" s="798" t="s">
        <v>2289</v>
      </c>
      <c r="H151" s="798" t="s">
        <v>2290</v>
      </c>
      <c r="I151" s="812">
        <v>4.62</v>
      </c>
      <c r="J151" s="812">
        <v>20</v>
      </c>
      <c r="K151" s="813">
        <v>92.4</v>
      </c>
    </row>
    <row r="152" spans="1:11" ht="14.4" customHeight="1" x14ac:dyDescent="0.3">
      <c r="A152" s="794" t="s">
        <v>591</v>
      </c>
      <c r="B152" s="795" t="s">
        <v>592</v>
      </c>
      <c r="C152" s="798" t="s">
        <v>604</v>
      </c>
      <c r="D152" s="826" t="s">
        <v>1363</v>
      </c>
      <c r="E152" s="798" t="s">
        <v>3337</v>
      </c>
      <c r="F152" s="826" t="s">
        <v>3338</v>
      </c>
      <c r="G152" s="798" t="s">
        <v>2291</v>
      </c>
      <c r="H152" s="798" t="s">
        <v>2292</v>
      </c>
      <c r="I152" s="812">
        <v>52.88</v>
      </c>
      <c r="J152" s="812">
        <v>2</v>
      </c>
      <c r="K152" s="813">
        <v>105.76</v>
      </c>
    </row>
    <row r="153" spans="1:11" ht="14.4" customHeight="1" x14ac:dyDescent="0.3">
      <c r="A153" s="794" t="s">
        <v>591</v>
      </c>
      <c r="B153" s="795" t="s">
        <v>592</v>
      </c>
      <c r="C153" s="798" t="s">
        <v>604</v>
      </c>
      <c r="D153" s="826" t="s">
        <v>1363</v>
      </c>
      <c r="E153" s="798" t="s">
        <v>3337</v>
      </c>
      <c r="F153" s="826" t="s">
        <v>3338</v>
      </c>
      <c r="G153" s="798" t="s">
        <v>2293</v>
      </c>
      <c r="H153" s="798" t="s">
        <v>2294</v>
      </c>
      <c r="I153" s="812">
        <v>90.63</v>
      </c>
      <c r="J153" s="812">
        <v>1</v>
      </c>
      <c r="K153" s="813">
        <v>90.63</v>
      </c>
    </row>
    <row r="154" spans="1:11" ht="14.4" customHeight="1" x14ac:dyDescent="0.3">
      <c r="A154" s="794" t="s">
        <v>591</v>
      </c>
      <c r="B154" s="795" t="s">
        <v>592</v>
      </c>
      <c r="C154" s="798" t="s">
        <v>604</v>
      </c>
      <c r="D154" s="826" t="s">
        <v>1363</v>
      </c>
      <c r="E154" s="798" t="s">
        <v>3339</v>
      </c>
      <c r="F154" s="826" t="s">
        <v>3340</v>
      </c>
      <c r="G154" s="798" t="s">
        <v>2295</v>
      </c>
      <c r="H154" s="798" t="s">
        <v>2296</v>
      </c>
      <c r="I154" s="812">
        <v>267.79000000000002</v>
      </c>
      <c r="J154" s="812">
        <v>10</v>
      </c>
      <c r="K154" s="813">
        <v>2677.9</v>
      </c>
    </row>
    <row r="155" spans="1:11" ht="14.4" customHeight="1" x14ac:dyDescent="0.3">
      <c r="A155" s="794" t="s">
        <v>591</v>
      </c>
      <c r="B155" s="795" t="s">
        <v>592</v>
      </c>
      <c r="C155" s="798" t="s">
        <v>604</v>
      </c>
      <c r="D155" s="826" t="s">
        <v>1363</v>
      </c>
      <c r="E155" s="798" t="s">
        <v>3329</v>
      </c>
      <c r="F155" s="826" t="s">
        <v>3330</v>
      </c>
      <c r="G155" s="798" t="s">
        <v>2179</v>
      </c>
      <c r="H155" s="798" t="s">
        <v>2180</v>
      </c>
      <c r="I155" s="812">
        <v>8.1649999999999991</v>
      </c>
      <c r="J155" s="812">
        <v>170</v>
      </c>
      <c r="K155" s="813">
        <v>1387.9</v>
      </c>
    </row>
    <row r="156" spans="1:11" ht="14.4" customHeight="1" x14ac:dyDescent="0.3">
      <c r="A156" s="794" t="s">
        <v>591</v>
      </c>
      <c r="B156" s="795" t="s">
        <v>592</v>
      </c>
      <c r="C156" s="798" t="s">
        <v>604</v>
      </c>
      <c r="D156" s="826" t="s">
        <v>1363</v>
      </c>
      <c r="E156" s="798" t="s">
        <v>3329</v>
      </c>
      <c r="F156" s="826" t="s">
        <v>3330</v>
      </c>
      <c r="G156" s="798" t="s">
        <v>2181</v>
      </c>
      <c r="H156" s="798" t="s">
        <v>2182</v>
      </c>
      <c r="I156" s="812">
        <v>7</v>
      </c>
      <c r="J156" s="812">
        <v>75</v>
      </c>
      <c r="K156" s="813">
        <v>525</v>
      </c>
    </row>
    <row r="157" spans="1:11" ht="14.4" customHeight="1" x14ac:dyDescent="0.3">
      <c r="A157" s="794" t="s">
        <v>591</v>
      </c>
      <c r="B157" s="795" t="s">
        <v>592</v>
      </c>
      <c r="C157" s="798" t="s">
        <v>604</v>
      </c>
      <c r="D157" s="826" t="s">
        <v>1363</v>
      </c>
      <c r="E157" s="798" t="s">
        <v>3329</v>
      </c>
      <c r="F157" s="826" t="s">
        <v>3330</v>
      </c>
      <c r="G157" s="798" t="s">
        <v>2297</v>
      </c>
      <c r="H157" s="798" t="s">
        <v>2298</v>
      </c>
      <c r="I157" s="812">
        <v>36.299999999999997</v>
      </c>
      <c r="J157" s="812">
        <v>140</v>
      </c>
      <c r="K157" s="813">
        <v>5082</v>
      </c>
    </row>
    <row r="158" spans="1:11" ht="14.4" customHeight="1" x14ac:dyDescent="0.3">
      <c r="A158" s="794" t="s">
        <v>591</v>
      </c>
      <c r="B158" s="795" t="s">
        <v>592</v>
      </c>
      <c r="C158" s="798" t="s">
        <v>604</v>
      </c>
      <c r="D158" s="826" t="s">
        <v>1363</v>
      </c>
      <c r="E158" s="798" t="s">
        <v>3331</v>
      </c>
      <c r="F158" s="826" t="s">
        <v>3332</v>
      </c>
      <c r="G158" s="798" t="s">
        <v>2183</v>
      </c>
      <c r="H158" s="798" t="s">
        <v>2184</v>
      </c>
      <c r="I158" s="812">
        <v>0.3</v>
      </c>
      <c r="J158" s="812">
        <v>200</v>
      </c>
      <c r="K158" s="813">
        <v>60</v>
      </c>
    </row>
    <row r="159" spans="1:11" ht="14.4" customHeight="1" x14ac:dyDescent="0.3">
      <c r="A159" s="794" t="s">
        <v>591</v>
      </c>
      <c r="B159" s="795" t="s">
        <v>592</v>
      </c>
      <c r="C159" s="798" t="s">
        <v>604</v>
      </c>
      <c r="D159" s="826" t="s">
        <v>1363</v>
      </c>
      <c r="E159" s="798" t="s">
        <v>3331</v>
      </c>
      <c r="F159" s="826" t="s">
        <v>3332</v>
      </c>
      <c r="G159" s="798" t="s">
        <v>2299</v>
      </c>
      <c r="H159" s="798" t="s">
        <v>2300</v>
      </c>
      <c r="I159" s="812">
        <v>0.3</v>
      </c>
      <c r="J159" s="812">
        <v>200</v>
      </c>
      <c r="K159" s="813">
        <v>60</v>
      </c>
    </row>
    <row r="160" spans="1:11" ht="14.4" customHeight="1" x14ac:dyDescent="0.3">
      <c r="A160" s="794" t="s">
        <v>591</v>
      </c>
      <c r="B160" s="795" t="s">
        <v>592</v>
      </c>
      <c r="C160" s="798" t="s">
        <v>604</v>
      </c>
      <c r="D160" s="826" t="s">
        <v>1363</v>
      </c>
      <c r="E160" s="798" t="s">
        <v>3331</v>
      </c>
      <c r="F160" s="826" t="s">
        <v>3332</v>
      </c>
      <c r="G160" s="798" t="s">
        <v>2187</v>
      </c>
      <c r="H160" s="798" t="s">
        <v>2188</v>
      </c>
      <c r="I160" s="812">
        <v>0.48</v>
      </c>
      <c r="J160" s="812">
        <v>900</v>
      </c>
      <c r="K160" s="813">
        <v>432</v>
      </c>
    </row>
    <row r="161" spans="1:11" ht="14.4" customHeight="1" x14ac:dyDescent="0.3">
      <c r="A161" s="794" t="s">
        <v>591</v>
      </c>
      <c r="B161" s="795" t="s">
        <v>592</v>
      </c>
      <c r="C161" s="798" t="s">
        <v>604</v>
      </c>
      <c r="D161" s="826" t="s">
        <v>1363</v>
      </c>
      <c r="E161" s="798" t="s">
        <v>3333</v>
      </c>
      <c r="F161" s="826" t="s">
        <v>3334</v>
      </c>
      <c r="G161" s="798" t="s">
        <v>2191</v>
      </c>
      <c r="H161" s="798" t="s">
        <v>2192</v>
      </c>
      <c r="I161" s="812">
        <v>0.68666666666666665</v>
      </c>
      <c r="J161" s="812">
        <v>5800</v>
      </c>
      <c r="K161" s="813">
        <v>3996</v>
      </c>
    </row>
    <row r="162" spans="1:11" ht="14.4" customHeight="1" x14ac:dyDescent="0.3">
      <c r="A162" s="794" t="s">
        <v>591</v>
      </c>
      <c r="B162" s="795" t="s">
        <v>592</v>
      </c>
      <c r="C162" s="798" t="s">
        <v>604</v>
      </c>
      <c r="D162" s="826" t="s">
        <v>1363</v>
      </c>
      <c r="E162" s="798" t="s">
        <v>3333</v>
      </c>
      <c r="F162" s="826" t="s">
        <v>3334</v>
      </c>
      <c r="G162" s="798" t="s">
        <v>2243</v>
      </c>
      <c r="H162" s="798" t="s">
        <v>2244</v>
      </c>
      <c r="I162" s="812">
        <v>0.69</v>
      </c>
      <c r="J162" s="812">
        <v>1200</v>
      </c>
      <c r="K162" s="813">
        <v>828</v>
      </c>
    </row>
    <row r="163" spans="1:11" ht="14.4" customHeight="1" x14ac:dyDescent="0.3">
      <c r="A163" s="794" t="s">
        <v>591</v>
      </c>
      <c r="B163" s="795" t="s">
        <v>592</v>
      </c>
      <c r="C163" s="798" t="s">
        <v>604</v>
      </c>
      <c r="D163" s="826" t="s">
        <v>1363</v>
      </c>
      <c r="E163" s="798" t="s">
        <v>3341</v>
      </c>
      <c r="F163" s="826" t="s">
        <v>3342</v>
      </c>
      <c r="G163" s="798" t="s">
        <v>2301</v>
      </c>
      <c r="H163" s="798" t="s">
        <v>2302</v>
      </c>
      <c r="I163" s="812">
        <v>139.44</v>
      </c>
      <c r="J163" s="812">
        <v>1</v>
      </c>
      <c r="K163" s="813">
        <v>139.44</v>
      </c>
    </row>
    <row r="164" spans="1:11" ht="14.4" customHeight="1" x14ac:dyDescent="0.3">
      <c r="A164" s="794" t="s">
        <v>591</v>
      </c>
      <c r="B164" s="795" t="s">
        <v>592</v>
      </c>
      <c r="C164" s="798" t="s">
        <v>604</v>
      </c>
      <c r="D164" s="826" t="s">
        <v>1363</v>
      </c>
      <c r="E164" s="798" t="s">
        <v>3341</v>
      </c>
      <c r="F164" s="826" t="s">
        <v>3342</v>
      </c>
      <c r="G164" s="798" t="s">
        <v>2303</v>
      </c>
      <c r="H164" s="798" t="s">
        <v>2304</v>
      </c>
      <c r="I164" s="812">
        <v>139.44</v>
      </c>
      <c r="J164" s="812">
        <v>1</v>
      </c>
      <c r="K164" s="813">
        <v>139.44</v>
      </c>
    </row>
    <row r="165" spans="1:11" ht="14.4" customHeight="1" x14ac:dyDescent="0.3">
      <c r="A165" s="794" t="s">
        <v>591</v>
      </c>
      <c r="B165" s="795" t="s">
        <v>592</v>
      </c>
      <c r="C165" s="798" t="s">
        <v>604</v>
      </c>
      <c r="D165" s="826" t="s">
        <v>1363</v>
      </c>
      <c r="E165" s="798" t="s">
        <v>3341</v>
      </c>
      <c r="F165" s="826" t="s">
        <v>3342</v>
      </c>
      <c r="G165" s="798" t="s">
        <v>2305</v>
      </c>
      <c r="H165" s="798" t="s">
        <v>2306</v>
      </c>
      <c r="I165" s="812">
        <v>152.46</v>
      </c>
      <c r="J165" s="812">
        <v>3</v>
      </c>
      <c r="K165" s="813">
        <v>457.38</v>
      </c>
    </row>
    <row r="166" spans="1:11" ht="14.4" customHeight="1" x14ac:dyDescent="0.3">
      <c r="A166" s="794" t="s">
        <v>591</v>
      </c>
      <c r="B166" s="795" t="s">
        <v>592</v>
      </c>
      <c r="C166" s="798" t="s">
        <v>604</v>
      </c>
      <c r="D166" s="826" t="s">
        <v>1363</v>
      </c>
      <c r="E166" s="798" t="s">
        <v>3341</v>
      </c>
      <c r="F166" s="826" t="s">
        <v>3342</v>
      </c>
      <c r="G166" s="798" t="s">
        <v>2307</v>
      </c>
      <c r="H166" s="798" t="s">
        <v>2308</v>
      </c>
      <c r="I166" s="812">
        <v>34957</v>
      </c>
      <c r="J166" s="812">
        <v>0.05</v>
      </c>
      <c r="K166" s="813">
        <v>1747.85</v>
      </c>
    </row>
    <row r="167" spans="1:11" ht="14.4" customHeight="1" x14ac:dyDescent="0.3">
      <c r="A167" s="794" t="s">
        <v>591</v>
      </c>
      <c r="B167" s="795" t="s">
        <v>592</v>
      </c>
      <c r="C167" s="798" t="s">
        <v>604</v>
      </c>
      <c r="D167" s="826" t="s">
        <v>1363</v>
      </c>
      <c r="E167" s="798" t="s">
        <v>3341</v>
      </c>
      <c r="F167" s="826" t="s">
        <v>3342</v>
      </c>
      <c r="G167" s="798" t="s">
        <v>2309</v>
      </c>
      <c r="H167" s="798" t="s">
        <v>2310</v>
      </c>
      <c r="I167" s="812">
        <v>147.19</v>
      </c>
      <c r="J167" s="812">
        <v>2</v>
      </c>
      <c r="K167" s="813">
        <v>294.37</v>
      </c>
    </row>
    <row r="168" spans="1:11" ht="14.4" customHeight="1" x14ac:dyDescent="0.3">
      <c r="A168" s="794" t="s">
        <v>591</v>
      </c>
      <c r="B168" s="795" t="s">
        <v>592</v>
      </c>
      <c r="C168" s="798" t="s">
        <v>604</v>
      </c>
      <c r="D168" s="826" t="s">
        <v>1363</v>
      </c>
      <c r="E168" s="798" t="s">
        <v>3341</v>
      </c>
      <c r="F168" s="826" t="s">
        <v>3342</v>
      </c>
      <c r="G168" s="798" t="s">
        <v>2311</v>
      </c>
      <c r="H168" s="798" t="s">
        <v>2312</v>
      </c>
      <c r="I168" s="812">
        <v>147.19</v>
      </c>
      <c r="J168" s="812">
        <v>2</v>
      </c>
      <c r="K168" s="813">
        <v>294.37</v>
      </c>
    </row>
    <row r="169" spans="1:11" ht="14.4" customHeight="1" x14ac:dyDescent="0.3">
      <c r="A169" s="794" t="s">
        <v>591</v>
      </c>
      <c r="B169" s="795" t="s">
        <v>592</v>
      </c>
      <c r="C169" s="798" t="s">
        <v>604</v>
      </c>
      <c r="D169" s="826" t="s">
        <v>1363</v>
      </c>
      <c r="E169" s="798" t="s">
        <v>3343</v>
      </c>
      <c r="F169" s="826" t="s">
        <v>3344</v>
      </c>
      <c r="G169" s="798" t="s">
        <v>2313</v>
      </c>
      <c r="H169" s="798" t="s">
        <v>2314</v>
      </c>
      <c r="I169" s="812">
        <v>19.97</v>
      </c>
      <c r="J169" s="812">
        <v>100</v>
      </c>
      <c r="K169" s="813">
        <v>1997</v>
      </c>
    </row>
    <row r="170" spans="1:11" ht="14.4" customHeight="1" x14ac:dyDescent="0.3">
      <c r="A170" s="794" t="s">
        <v>591</v>
      </c>
      <c r="B170" s="795" t="s">
        <v>592</v>
      </c>
      <c r="C170" s="798" t="s">
        <v>604</v>
      </c>
      <c r="D170" s="826" t="s">
        <v>1363</v>
      </c>
      <c r="E170" s="798" t="s">
        <v>3343</v>
      </c>
      <c r="F170" s="826" t="s">
        <v>3344</v>
      </c>
      <c r="G170" s="798" t="s">
        <v>2315</v>
      </c>
      <c r="H170" s="798" t="s">
        <v>2316</v>
      </c>
      <c r="I170" s="812">
        <v>21.72</v>
      </c>
      <c r="J170" s="812">
        <v>30</v>
      </c>
      <c r="K170" s="813">
        <v>651.6</v>
      </c>
    </row>
    <row r="171" spans="1:11" ht="14.4" customHeight="1" x14ac:dyDescent="0.3">
      <c r="A171" s="794" t="s">
        <v>591</v>
      </c>
      <c r="B171" s="795" t="s">
        <v>592</v>
      </c>
      <c r="C171" s="798" t="s">
        <v>604</v>
      </c>
      <c r="D171" s="826" t="s">
        <v>1363</v>
      </c>
      <c r="E171" s="798" t="s">
        <v>3343</v>
      </c>
      <c r="F171" s="826" t="s">
        <v>3344</v>
      </c>
      <c r="G171" s="798" t="s">
        <v>2317</v>
      </c>
      <c r="H171" s="798" t="s">
        <v>2318</v>
      </c>
      <c r="I171" s="812">
        <v>3.93</v>
      </c>
      <c r="J171" s="812">
        <v>50</v>
      </c>
      <c r="K171" s="813">
        <v>196.5</v>
      </c>
    </row>
    <row r="172" spans="1:11" ht="14.4" customHeight="1" x14ac:dyDescent="0.3">
      <c r="A172" s="794" t="s">
        <v>591</v>
      </c>
      <c r="B172" s="795" t="s">
        <v>592</v>
      </c>
      <c r="C172" s="798" t="s">
        <v>2074</v>
      </c>
      <c r="D172" s="826" t="s">
        <v>3345</v>
      </c>
      <c r="E172" s="798" t="s">
        <v>3327</v>
      </c>
      <c r="F172" s="826" t="s">
        <v>3328</v>
      </c>
      <c r="G172" s="798" t="s">
        <v>2319</v>
      </c>
      <c r="H172" s="798" t="s">
        <v>2320</v>
      </c>
      <c r="I172" s="812">
        <v>1719.25</v>
      </c>
      <c r="J172" s="812">
        <v>4</v>
      </c>
      <c r="K172" s="813">
        <v>6877</v>
      </c>
    </row>
    <row r="173" spans="1:11" ht="14.4" customHeight="1" x14ac:dyDescent="0.3">
      <c r="A173" s="794" t="s">
        <v>591</v>
      </c>
      <c r="B173" s="795" t="s">
        <v>592</v>
      </c>
      <c r="C173" s="798" t="s">
        <v>2074</v>
      </c>
      <c r="D173" s="826" t="s">
        <v>3345</v>
      </c>
      <c r="E173" s="798" t="s">
        <v>3327</v>
      </c>
      <c r="F173" s="826" t="s">
        <v>3328</v>
      </c>
      <c r="G173" s="798" t="s">
        <v>2321</v>
      </c>
      <c r="H173" s="798" t="s">
        <v>2322</v>
      </c>
      <c r="I173" s="812">
        <v>4445.8999999999996</v>
      </c>
      <c r="J173" s="812">
        <v>4</v>
      </c>
      <c r="K173" s="813">
        <v>17783.599999999999</v>
      </c>
    </row>
    <row r="174" spans="1:11" ht="14.4" customHeight="1" x14ac:dyDescent="0.3">
      <c r="A174" s="794" t="s">
        <v>591</v>
      </c>
      <c r="B174" s="795" t="s">
        <v>592</v>
      </c>
      <c r="C174" s="798" t="s">
        <v>2074</v>
      </c>
      <c r="D174" s="826" t="s">
        <v>3345</v>
      </c>
      <c r="E174" s="798" t="s">
        <v>3327</v>
      </c>
      <c r="F174" s="826" t="s">
        <v>3328</v>
      </c>
      <c r="G174" s="798" t="s">
        <v>2323</v>
      </c>
      <c r="H174" s="798" t="s">
        <v>2324</v>
      </c>
      <c r="I174" s="812">
        <v>582.01</v>
      </c>
      <c r="J174" s="812">
        <v>1</v>
      </c>
      <c r="K174" s="813">
        <v>582.01</v>
      </c>
    </row>
    <row r="175" spans="1:11" ht="14.4" customHeight="1" x14ac:dyDescent="0.3">
      <c r="A175" s="794" t="s">
        <v>591</v>
      </c>
      <c r="B175" s="795" t="s">
        <v>592</v>
      </c>
      <c r="C175" s="798" t="s">
        <v>2074</v>
      </c>
      <c r="D175" s="826" t="s">
        <v>3345</v>
      </c>
      <c r="E175" s="798" t="s">
        <v>3327</v>
      </c>
      <c r="F175" s="826" t="s">
        <v>3328</v>
      </c>
      <c r="G175" s="798" t="s">
        <v>2325</v>
      </c>
      <c r="H175" s="798" t="s">
        <v>2326</v>
      </c>
      <c r="I175" s="812">
        <v>1127</v>
      </c>
      <c r="J175" s="812">
        <v>1</v>
      </c>
      <c r="K175" s="813">
        <v>1127</v>
      </c>
    </row>
    <row r="176" spans="1:11" ht="14.4" customHeight="1" x14ac:dyDescent="0.3">
      <c r="A176" s="794" t="s">
        <v>591</v>
      </c>
      <c r="B176" s="795" t="s">
        <v>592</v>
      </c>
      <c r="C176" s="798" t="s">
        <v>2074</v>
      </c>
      <c r="D176" s="826" t="s">
        <v>3345</v>
      </c>
      <c r="E176" s="798" t="s">
        <v>3327</v>
      </c>
      <c r="F176" s="826" t="s">
        <v>3328</v>
      </c>
      <c r="G176" s="798" t="s">
        <v>2327</v>
      </c>
      <c r="H176" s="798" t="s">
        <v>2328</v>
      </c>
      <c r="I176" s="812">
        <v>4840</v>
      </c>
      <c r="J176" s="812">
        <v>8</v>
      </c>
      <c r="K176" s="813">
        <v>38720</v>
      </c>
    </row>
    <row r="177" spans="1:11" ht="14.4" customHeight="1" x14ac:dyDescent="0.3">
      <c r="A177" s="794" t="s">
        <v>591</v>
      </c>
      <c r="B177" s="795" t="s">
        <v>592</v>
      </c>
      <c r="C177" s="798" t="s">
        <v>2074</v>
      </c>
      <c r="D177" s="826" t="s">
        <v>3345</v>
      </c>
      <c r="E177" s="798" t="s">
        <v>3327</v>
      </c>
      <c r="F177" s="826" t="s">
        <v>3328</v>
      </c>
      <c r="G177" s="798" t="s">
        <v>2329</v>
      </c>
      <c r="H177" s="798" t="s">
        <v>2330</v>
      </c>
      <c r="I177" s="812">
        <v>3388</v>
      </c>
      <c r="J177" s="812">
        <v>1</v>
      </c>
      <c r="K177" s="813">
        <v>3388</v>
      </c>
    </row>
    <row r="178" spans="1:11" ht="14.4" customHeight="1" x14ac:dyDescent="0.3">
      <c r="A178" s="794" t="s">
        <v>591</v>
      </c>
      <c r="B178" s="795" t="s">
        <v>592</v>
      </c>
      <c r="C178" s="798" t="s">
        <v>2074</v>
      </c>
      <c r="D178" s="826" t="s">
        <v>3345</v>
      </c>
      <c r="E178" s="798" t="s">
        <v>3327</v>
      </c>
      <c r="F178" s="826" t="s">
        <v>3328</v>
      </c>
      <c r="G178" s="798" t="s">
        <v>2331</v>
      </c>
      <c r="H178" s="798" t="s">
        <v>2332</v>
      </c>
      <c r="I178" s="812">
        <v>1873.08</v>
      </c>
      <c r="J178" s="812">
        <v>5</v>
      </c>
      <c r="K178" s="813">
        <v>9365.4</v>
      </c>
    </row>
    <row r="179" spans="1:11" ht="14.4" customHeight="1" x14ac:dyDescent="0.3">
      <c r="A179" s="794" t="s">
        <v>591</v>
      </c>
      <c r="B179" s="795" t="s">
        <v>592</v>
      </c>
      <c r="C179" s="798" t="s">
        <v>2074</v>
      </c>
      <c r="D179" s="826" t="s">
        <v>3345</v>
      </c>
      <c r="E179" s="798" t="s">
        <v>3327</v>
      </c>
      <c r="F179" s="826" t="s">
        <v>3328</v>
      </c>
      <c r="G179" s="798" t="s">
        <v>2333</v>
      </c>
      <c r="H179" s="798" t="s">
        <v>2334</v>
      </c>
      <c r="I179" s="812">
        <v>4840</v>
      </c>
      <c r="J179" s="812">
        <v>1</v>
      </c>
      <c r="K179" s="813">
        <v>4840</v>
      </c>
    </row>
    <row r="180" spans="1:11" ht="14.4" customHeight="1" x14ac:dyDescent="0.3">
      <c r="A180" s="794" t="s">
        <v>591</v>
      </c>
      <c r="B180" s="795" t="s">
        <v>592</v>
      </c>
      <c r="C180" s="798" t="s">
        <v>2074</v>
      </c>
      <c r="D180" s="826" t="s">
        <v>3345</v>
      </c>
      <c r="E180" s="798" t="s">
        <v>3327</v>
      </c>
      <c r="F180" s="826" t="s">
        <v>3328</v>
      </c>
      <c r="G180" s="798" t="s">
        <v>2335</v>
      </c>
      <c r="H180" s="798" t="s">
        <v>2336</v>
      </c>
      <c r="I180" s="812">
        <v>2370.39</v>
      </c>
      <c r="J180" s="812">
        <v>1</v>
      </c>
      <c r="K180" s="813">
        <v>2370.39</v>
      </c>
    </row>
    <row r="181" spans="1:11" ht="14.4" customHeight="1" x14ac:dyDescent="0.3">
      <c r="A181" s="794" t="s">
        <v>591</v>
      </c>
      <c r="B181" s="795" t="s">
        <v>592</v>
      </c>
      <c r="C181" s="798" t="s">
        <v>2074</v>
      </c>
      <c r="D181" s="826" t="s">
        <v>3345</v>
      </c>
      <c r="E181" s="798" t="s">
        <v>3327</v>
      </c>
      <c r="F181" s="826" t="s">
        <v>3328</v>
      </c>
      <c r="G181" s="798" t="s">
        <v>2337</v>
      </c>
      <c r="H181" s="798" t="s">
        <v>2338</v>
      </c>
      <c r="I181" s="812">
        <v>3256.11</v>
      </c>
      <c r="J181" s="812">
        <v>1</v>
      </c>
      <c r="K181" s="813">
        <v>3256.11</v>
      </c>
    </row>
    <row r="182" spans="1:11" ht="14.4" customHeight="1" x14ac:dyDescent="0.3">
      <c r="A182" s="794" t="s">
        <v>591</v>
      </c>
      <c r="B182" s="795" t="s">
        <v>592</v>
      </c>
      <c r="C182" s="798" t="s">
        <v>2074</v>
      </c>
      <c r="D182" s="826" t="s">
        <v>3345</v>
      </c>
      <c r="E182" s="798" t="s">
        <v>3327</v>
      </c>
      <c r="F182" s="826" t="s">
        <v>3328</v>
      </c>
      <c r="G182" s="798" t="s">
        <v>2339</v>
      </c>
      <c r="H182" s="798" t="s">
        <v>2340</v>
      </c>
      <c r="I182" s="812">
        <v>735.09</v>
      </c>
      <c r="J182" s="812">
        <v>2</v>
      </c>
      <c r="K182" s="813">
        <v>1470.17</v>
      </c>
    </row>
    <row r="183" spans="1:11" ht="14.4" customHeight="1" x14ac:dyDescent="0.3">
      <c r="A183" s="794" t="s">
        <v>591</v>
      </c>
      <c r="B183" s="795" t="s">
        <v>592</v>
      </c>
      <c r="C183" s="798" t="s">
        <v>2074</v>
      </c>
      <c r="D183" s="826" t="s">
        <v>3345</v>
      </c>
      <c r="E183" s="798" t="s">
        <v>3327</v>
      </c>
      <c r="F183" s="826" t="s">
        <v>3328</v>
      </c>
      <c r="G183" s="798" t="s">
        <v>2341</v>
      </c>
      <c r="H183" s="798" t="s">
        <v>2342</v>
      </c>
      <c r="I183" s="812">
        <v>4840</v>
      </c>
      <c r="J183" s="812">
        <v>1</v>
      </c>
      <c r="K183" s="813">
        <v>4840</v>
      </c>
    </row>
    <row r="184" spans="1:11" ht="14.4" customHeight="1" x14ac:dyDescent="0.3">
      <c r="A184" s="794" t="s">
        <v>591</v>
      </c>
      <c r="B184" s="795" t="s">
        <v>592</v>
      </c>
      <c r="C184" s="798" t="s">
        <v>2074</v>
      </c>
      <c r="D184" s="826" t="s">
        <v>3345</v>
      </c>
      <c r="E184" s="798" t="s">
        <v>3327</v>
      </c>
      <c r="F184" s="826" t="s">
        <v>3328</v>
      </c>
      <c r="G184" s="798" t="s">
        <v>2343</v>
      </c>
      <c r="H184" s="798" t="s">
        <v>2344</v>
      </c>
      <c r="I184" s="812">
        <v>2041.27</v>
      </c>
      <c r="J184" s="812">
        <v>1</v>
      </c>
      <c r="K184" s="813">
        <v>2041.27</v>
      </c>
    </row>
    <row r="185" spans="1:11" ht="14.4" customHeight="1" x14ac:dyDescent="0.3">
      <c r="A185" s="794" t="s">
        <v>591</v>
      </c>
      <c r="B185" s="795" t="s">
        <v>592</v>
      </c>
      <c r="C185" s="798" t="s">
        <v>2074</v>
      </c>
      <c r="D185" s="826" t="s">
        <v>3345</v>
      </c>
      <c r="E185" s="798" t="s">
        <v>3327</v>
      </c>
      <c r="F185" s="826" t="s">
        <v>3328</v>
      </c>
      <c r="G185" s="798" t="s">
        <v>2345</v>
      </c>
      <c r="H185" s="798" t="s">
        <v>2346</v>
      </c>
      <c r="I185" s="812">
        <v>1050.29</v>
      </c>
      <c r="J185" s="812">
        <v>2</v>
      </c>
      <c r="K185" s="813">
        <v>2100.58</v>
      </c>
    </row>
    <row r="186" spans="1:11" ht="14.4" customHeight="1" x14ac:dyDescent="0.3">
      <c r="A186" s="794" t="s">
        <v>591</v>
      </c>
      <c r="B186" s="795" t="s">
        <v>592</v>
      </c>
      <c r="C186" s="798" t="s">
        <v>2074</v>
      </c>
      <c r="D186" s="826" t="s">
        <v>3345</v>
      </c>
      <c r="E186" s="798" t="s">
        <v>3327</v>
      </c>
      <c r="F186" s="826" t="s">
        <v>3328</v>
      </c>
      <c r="G186" s="798" t="s">
        <v>2347</v>
      </c>
      <c r="H186" s="798" t="s">
        <v>2348</v>
      </c>
      <c r="I186" s="812">
        <v>0.12</v>
      </c>
      <c r="J186" s="812">
        <v>1</v>
      </c>
      <c r="K186" s="813">
        <v>0.12</v>
      </c>
    </row>
    <row r="187" spans="1:11" ht="14.4" customHeight="1" x14ac:dyDescent="0.3">
      <c r="A187" s="794" t="s">
        <v>591</v>
      </c>
      <c r="B187" s="795" t="s">
        <v>592</v>
      </c>
      <c r="C187" s="798" t="s">
        <v>2074</v>
      </c>
      <c r="D187" s="826" t="s">
        <v>3345</v>
      </c>
      <c r="E187" s="798" t="s">
        <v>3327</v>
      </c>
      <c r="F187" s="826" t="s">
        <v>3328</v>
      </c>
      <c r="G187" s="798" t="s">
        <v>2349</v>
      </c>
      <c r="H187" s="798" t="s">
        <v>2350</v>
      </c>
      <c r="I187" s="812">
        <v>0.12</v>
      </c>
      <c r="J187" s="812">
        <v>1</v>
      </c>
      <c r="K187" s="813">
        <v>0.12</v>
      </c>
    </row>
    <row r="188" spans="1:11" ht="14.4" customHeight="1" x14ac:dyDescent="0.3">
      <c r="A188" s="794" t="s">
        <v>591</v>
      </c>
      <c r="B188" s="795" t="s">
        <v>592</v>
      </c>
      <c r="C188" s="798" t="s">
        <v>2074</v>
      </c>
      <c r="D188" s="826" t="s">
        <v>3345</v>
      </c>
      <c r="E188" s="798" t="s">
        <v>3327</v>
      </c>
      <c r="F188" s="826" t="s">
        <v>3328</v>
      </c>
      <c r="G188" s="798" t="s">
        <v>2351</v>
      </c>
      <c r="H188" s="798" t="s">
        <v>2352</v>
      </c>
      <c r="I188" s="812">
        <v>254.1</v>
      </c>
      <c r="J188" s="812">
        <v>1</v>
      </c>
      <c r="K188" s="813">
        <v>254.1</v>
      </c>
    </row>
    <row r="189" spans="1:11" ht="14.4" customHeight="1" x14ac:dyDescent="0.3">
      <c r="A189" s="794" t="s">
        <v>591</v>
      </c>
      <c r="B189" s="795" t="s">
        <v>592</v>
      </c>
      <c r="C189" s="798" t="s">
        <v>2074</v>
      </c>
      <c r="D189" s="826" t="s">
        <v>3345</v>
      </c>
      <c r="E189" s="798" t="s">
        <v>3327</v>
      </c>
      <c r="F189" s="826" t="s">
        <v>3328</v>
      </c>
      <c r="G189" s="798" t="s">
        <v>2353</v>
      </c>
      <c r="H189" s="798" t="s">
        <v>2354</v>
      </c>
      <c r="I189" s="812">
        <v>285.5</v>
      </c>
      <c r="J189" s="812">
        <v>1</v>
      </c>
      <c r="K189" s="813">
        <v>285.5</v>
      </c>
    </row>
    <row r="190" spans="1:11" ht="14.4" customHeight="1" x14ac:dyDescent="0.3">
      <c r="A190" s="794" t="s">
        <v>591</v>
      </c>
      <c r="B190" s="795" t="s">
        <v>592</v>
      </c>
      <c r="C190" s="798" t="s">
        <v>2074</v>
      </c>
      <c r="D190" s="826" t="s">
        <v>3345</v>
      </c>
      <c r="E190" s="798" t="s">
        <v>3327</v>
      </c>
      <c r="F190" s="826" t="s">
        <v>3328</v>
      </c>
      <c r="G190" s="798" t="s">
        <v>2355</v>
      </c>
      <c r="H190" s="798" t="s">
        <v>2356</v>
      </c>
      <c r="I190" s="812">
        <v>747.59</v>
      </c>
      <c r="J190" s="812">
        <v>1</v>
      </c>
      <c r="K190" s="813">
        <v>747.59</v>
      </c>
    </row>
    <row r="191" spans="1:11" ht="14.4" customHeight="1" x14ac:dyDescent="0.3">
      <c r="A191" s="794" t="s">
        <v>591</v>
      </c>
      <c r="B191" s="795" t="s">
        <v>592</v>
      </c>
      <c r="C191" s="798" t="s">
        <v>2074</v>
      </c>
      <c r="D191" s="826" t="s">
        <v>3345</v>
      </c>
      <c r="E191" s="798" t="s">
        <v>3327</v>
      </c>
      <c r="F191" s="826" t="s">
        <v>3328</v>
      </c>
      <c r="G191" s="798" t="s">
        <v>2357</v>
      </c>
      <c r="H191" s="798" t="s">
        <v>2358</v>
      </c>
      <c r="I191" s="812">
        <v>5175</v>
      </c>
      <c r="J191" s="812">
        <v>1</v>
      </c>
      <c r="K191" s="813">
        <v>5175</v>
      </c>
    </row>
    <row r="192" spans="1:11" ht="14.4" customHeight="1" x14ac:dyDescent="0.3">
      <c r="A192" s="794" t="s">
        <v>591</v>
      </c>
      <c r="B192" s="795" t="s">
        <v>592</v>
      </c>
      <c r="C192" s="798" t="s">
        <v>2074</v>
      </c>
      <c r="D192" s="826" t="s">
        <v>3345</v>
      </c>
      <c r="E192" s="798" t="s">
        <v>3327</v>
      </c>
      <c r="F192" s="826" t="s">
        <v>3328</v>
      </c>
      <c r="G192" s="798" t="s">
        <v>2359</v>
      </c>
      <c r="H192" s="798" t="s">
        <v>2360</v>
      </c>
      <c r="I192" s="812">
        <v>3630</v>
      </c>
      <c r="J192" s="812">
        <v>2</v>
      </c>
      <c r="K192" s="813">
        <v>7260</v>
      </c>
    </row>
    <row r="193" spans="1:11" ht="14.4" customHeight="1" x14ac:dyDescent="0.3">
      <c r="A193" s="794" t="s">
        <v>591</v>
      </c>
      <c r="B193" s="795" t="s">
        <v>592</v>
      </c>
      <c r="C193" s="798" t="s">
        <v>2074</v>
      </c>
      <c r="D193" s="826" t="s">
        <v>3345</v>
      </c>
      <c r="E193" s="798" t="s">
        <v>3346</v>
      </c>
      <c r="F193" s="826" t="s">
        <v>3347</v>
      </c>
      <c r="G193" s="798" t="s">
        <v>2361</v>
      </c>
      <c r="H193" s="798" t="s">
        <v>2362</v>
      </c>
      <c r="I193" s="812">
        <v>4047.93</v>
      </c>
      <c r="J193" s="812">
        <v>1</v>
      </c>
      <c r="K193" s="813">
        <v>4047.93</v>
      </c>
    </row>
    <row r="194" spans="1:11" ht="14.4" customHeight="1" x14ac:dyDescent="0.3">
      <c r="A194" s="794" t="s">
        <v>591</v>
      </c>
      <c r="B194" s="795" t="s">
        <v>592</v>
      </c>
      <c r="C194" s="798" t="s">
        <v>2074</v>
      </c>
      <c r="D194" s="826" t="s">
        <v>3345</v>
      </c>
      <c r="E194" s="798" t="s">
        <v>3346</v>
      </c>
      <c r="F194" s="826" t="s">
        <v>3347</v>
      </c>
      <c r="G194" s="798" t="s">
        <v>2363</v>
      </c>
      <c r="H194" s="798" t="s">
        <v>2364</v>
      </c>
      <c r="I194" s="812">
        <v>1089.72</v>
      </c>
      <c r="J194" s="812">
        <v>3</v>
      </c>
      <c r="K194" s="813">
        <v>3269.16</v>
      </c>
    </row>
    <row r="195" spans="1:11" ht="14.4" customHeight="1" x14ac:dyDescent="0.3">
      <c r="A195" s="794" t="s">
        <v>591</v>
      </c>
      <c r="B195" s="795" t="s">
        <v>592</v>
      </c>
      <c r="C195" s="798" t="s">
        <v>2074</v>
      </c>
      <c r="D195" s="826" t="s">
        <v>3345</v>
      </c>
      <c r="E195" s="798" t="s">
        <v>3346</v>
      </c>
      <c r="F195" s="826" t="s">
        <v>3347</v>
      </c>
      <c r="G195" s="798" t="s">
        <v>2365</v>
      </c>
      <c r="H195" s="798" t="s">
        <v>2366</v>
      </c>
      <c r="I195" s="812">
        <v>294.35000000000002</v>
      </c>
      <c r="J195" s="812">
        <v>1</v>
      </c>
      <c r="K195" s="813">
        <v>294.35000000000002</v>
      </c>
    </row>
    <row r="196" spans="1:11" ht="14.4" customHeight="1" x14ac:dyDescent="0.3">
      <c r="A196" s="794" t="s">
        <v>591</v>
      </c>
      <c r="B196" s="795" t="s">
        <v>592</v>
      </c>
      <c r="C196" s="798" t="s">
        <v>2074</v>
      </c>
      <c r="D196" s="826" t="s">
        <v>3345</v>
      </c>
      <c r="E196" s="798" t="s">
        <v>3346</v>
      </c>
      <c r="F196" s="826" t="s">
        <v>3347</v>
      </c>
      <c r="G196" s="798" t="s">
        <v>2367</v>
      </c>
      <c r="H196" s="798" t="s">
        <v>2368</v>
      </c>
      <c r="I196" s="812">
        <v>1280.915</v>
      </c>
      <c r="J196" s="812">
        <v>2</v>
      </c>
      <c r="K196" s="813">
        <v>2561.83</v>
      </c>
    </row>
    <row r="197" spans="1:11" ht="14.4" customHeight="1" x14ac:dyDescent="0.3">
      <c r="A197" s="794" t="s">
        <v>591</v>
      </c>
      <c r="B197" s="795" t="s">
        <v>592</v>
      </c>
      <c r="C197" s="798" t="s">
        <v>2074</v>
      </c>
      <c r="D197" s="826" t="s">
        <v>3345</v>
      </c>
      <c r="E197" s="798" t="s">
        <v>3346</v>
      </c>
      <c r="F197" s="826" t="s">
        <v>3347</v>
      </c>
      <c r="G197" s="798" t="s">
        <v>2369</v>
      </c>
      <c r="H197" s="798" t="s">
        <v>2370</v>
      </c>
      <c r="I197" s="812">
        <v>1322.6879999999999</v>
      </c>
      <c r="J197" s="812">
        <v>8</v>
      </c>
      <c r="K197" s="813">
        <v>10581.49</v>
      </c>
    </row>
    <row r="198" spans="1:11" ht="14.4" customHeight="1" x14ac:dyDescent="0.3">
      <c r="A198" s="794" t="s">
        <v>591</v>
      </c>
      <c r="B198" s="795" t="s">
        <v>592</v>
      </c>
      <c r="C198" s="798" t="s">
        <v>2074</v>
      </c>
      <c r="D198" s="826" t="s">
        <v>3345</v>
      </c>
      <c r="E198" s="798" t="s">
        <v>3346</v>
      </c>
      <c r="F198" s="826" t="s">
        <v>3347</v>
      </c>
      <c r="G198" s="798" t="s">
        <v>2371</v>
      </c>
      <c r="H198" s="798" t="s">
        <v>2372</v>
      </c>
      <c r="I198" s="812">
        <v>1322.67</v>
      </c>
      <c r="J198" s="812">
        <v>4</v>
      </c>
      <c r="K198" s="813">
        <v>5290.6900000000005</v>
      </c>
    </row>
    <row r="199" spans="1:11" ht="14.4" customHeight="1" x14ac:dyDescent="0.3">
      <c r="A199" s="794" t="s">
        <v>591</v>
      </c>
      <c r="B199" s="795" t="s">
        <v>592</v>
      </c>
      <c r="C199" s="798" t="s">
        <v>2074</v>
      </c>
      <c r="D199" s="826" t="s">
        <v>3345</v>
      </c>
      <c r="E199" s="798" t="s">
        <v>3346</v>
      </c>
      <c r="F199" s="826" t="s">
        <v>3347</v>
      </c>
      <c r="G199" s="798" t="s">
        <v>2373</v>
      </c>
      <c r="H199" s="798" t="s">
        <v>2374</v>
      </c>
      <c r="I199" s="812">
        <v>1772.97</v>
      </c>
      <c r="J199" s="812">
        <v>2</v>
      </c>
      <c r="K199" s="813">
        <v>3545.94</v>
      </c>
    </row>
    <row r="200" spans="1:11" ht="14.4" customHeight="1" x14ac:dyDescent="0.3">
      <c r="A200" s="794" t="s">
        <v>591</v>
      </c>
      <c r="B200" s="795" t="s">
        <v>592</v>
      </c>
      <c r="C200" s="798" t="s">
        <v>2074</v>
      </c>
      <c r="D200" s="826" t="s">
        <v>3345</v>
      </c>
      <c r="E200" s="798" t="s">
        <v>3346</v>
      </c>
      <c r="F200" s="826" t="s">
        <v>3347</v>
      </c>
      <c r="G200" s="798" t="s">
        <v>2375</v>
      </c>
      <c r="H200" s="798" t="s">
        <v>2376</v>
      </c>
      <c r="I200" s="812">
        <v>1227.165</v>
      </c>
      <c r="J200" s="812">
        <v>2</v>
      </c>
      <c r="K200" s="813">
        <v>2454.33</v>
      </c>
    </row>
    <row r="201" spans="1:11" ht="14.4" customHeight="1" x14ac:dyDescent="0.3">
      <c r="A201" s="794" t="s">
        <v>591</v>
      </c>
      <c r="B201" s="795" t="s">
        <v>592</v>
      </c>
      <c r="C201" s="798" t="s">
        <v>2074</v>
      </c>
      <c r="D201" s="826" t="s">
        <v>3345</v>
      </c>
      <c r="E201" s="798" t="s">
        <v>3346</v>
      </c>
      <c r="F201" s="826" t="s">
        <v>3347</v>
      </c>
      <c r="G201" s="798" t="s">
        <v>2377</v>
      </c>
      <c r="H201" s="798" t="s">
        <v>2378</v>
      </c>
      <c r="I201" s="812">
        <v>403.52</v>
      </c>
      <c r="J201" s="812">
        <v>8</v>
      </c>
      <c r="K201" s="813">
        <v>3228.18</v>
      </c>
    </row>
    <row r="202" spans="1:11" ht="14.4" customHeight="1" x14ac:dyDescent="0.3">
      <c r="A202" s="794" t="s">
        <v>591</v>
      </c>
      <c r="B202" s="795" t="s">
        <v>592</v>
      </c>
      <c r="C202" s="798" t="s">
        <v>2074</v>
      </c>
      <c r="D202" s="826" t="s">
        <v>3345</v>
      </c>
      <c r="E202" s="798" t="s">
        <v>3346</v>
      </c>
      <c r="F202" s="826" t="s">
        <v>3347</v>
      </c>
      <c r="G202" s="798" t="s">
        <v>2379</v>
      </c>
      <c r="H202" s="798" t="s">
        <v>2380</v>
      </c>
      <c r="I202" s="812">
        <v>403.52</v>
      </c>
      <c r="J202" s="812">
        <v>1</v>
      </c>
      <c r="K202" s="813">
        <v>403.52</v>
      </c>
    </row>
    <row r="203" spans="1:11" ht="14.4" customHeight="1" x14ac:dyDescent="0.3">
      <c r="A203" s="794" t="s">
        <v>591</v>
      </c>
      <c r="B203" s="795" t="s">
        <v>592</v>
      </c>
      <c r="C203" s="798" t="s">
        <v>2074</v>
      </c>
      <c r="D203" s="826" t="s">
        <v>3345</v>
      </c>
      <c r="E203" s="798" t="s">
        <v>3346</v>
      </c>
      <c r="F203" s="826" t="s">
        <v>3347</v>
      </c>
      <c r="G203" s="798" t="s">
        <v>2381</v>
      </c>
      <c r="H203" s="798" t="s">
        <v>2382</v>
      </c>
      <c r="I203" s="812">
        <v>403.524</v>
      </c>
      <c r="J203" s="812">
        <v>10</v>
      </c>
      <c r="K203" s="813">
        <v>4035.25</v>
      </c>
    </row>
    <row r="204" spans="1:11" ht="14.4" customHeight="1" x14ac:dyDescent="0.3">
      <c r="A204" s="794" t="s">
        <v>591</v>
      </c>
      <c r="B204" s="795" t="s">
        <v>592</v>
      </c>
      <c r="C204" s="798" t="s">
        <v>2074</v>
      </c>
      <c r="D204" s="826" t="s">
        <v>3345</v>
      </c>
      <c r="E204" s="798" t="s">
        <v>3346</v>
      </c>
      <c r="F204" s="826" t="s">
        <v>3347</v>
      </c>
      <c r="G204" s="798" t="s">
        <v>2383</v>
      </c>
      <c r="H204" s="798" t="s">
        <v>2384</v>
      </c>
      <c r="I204" s="812">
        <v>884.08333333333337</v>
      </c>
      <c r="J204" s="812">
        <v>4</v>
      </c>
      <c r="K204" s="813">
        <v>3536.3</v>
      </c>
    </row>
    <row r="205" spans="1:11" ht="14.4" customHeight="1" x14ac:dyDescent="0.3">
      <c r="A205" s="794" t="s">
        <v>591</v>
      </c>
      <c r="B205" s="795" t="s">
        <v>592</v>
      </c>
      <c r="C205" s="798" t="s">
        <v>2074</v>
      </c>
      <c r="D205" s="826" t="s">
        <v>3345</v>
      </c>
      <c r="E205" s="798" t="s">
        <v>3346</v>
      </c>
      <c r="F205" s="826" t="s">
        <v>3347</v>
      </c>
      <c r="G205" s="798" t="s">
        <v>2385</v>
      </c>
      <c r="H205" s="798" t="s">
        <v>2386</v>
      </c>
      <c r="I205" s="812">
        <v>1066.33</v>
      </c>
      <c r="J205" s="812">
        <v>4</v>
      </c>
      <c r="K205" s="813">
        <v>4265.3099999999995</v>
      </c>
    </row>
    <row r="206" spans="1:11" ht="14.4" customHeight="1" x14ac:dyDescent="0.3">
      <c r="A206" s="794" t="s">
        <v>591</v>
      </c>
      <c r="B206" s="795" t="s">
        <v>592</v>
      </c>
      <c r="C206" s="798" t="s">
        <v>2074</v>
      </c>
      <c r="D206" s="826" t="s">
        <v>3345</v>
      </c>
      <c r="E206" s="798" t="s">
        <v>3346</v>
      </c>
      <c r="F206" s="826" t="s">
        <v>3347</v>
      </c>
      <c r="G206" s="798" t="s">
        <v>2387</v>
      </c>
      <c r="H206" s="798" t="s">
        <v>2388</v>
      </c>
      <c r="I206" s="812">
        <v>1415.26</v>
      </c>
      <c r="J206" s="812">
        <v>2</v>
      </c>
      <c r="K206" s="813">
        <v>2830.52</v>
      </c>
    </row>
    <row r="207" spans="1:11" ht="14.4" customHeight="1" x14ac:dyDescent="0.3">
      <c r="A207" s="794" t="s">
        <v>591</v>
      </c>
      <c r="B207" s="795" t="s">
        <v>592</v>
      </c>
      <c r="C207" s="798" t="s">
        <v>2074</v>
      </c>
      <c r="D207" s="826" t="s">
        <v>3345</v>
      </c>
      <c r="E207" s="798" t="s">
        <v>3346</v>
      </c>
      <c r="F207" s="826" t="s">
        <v>3347</v>
      </c>
      <c r="G207" s="798" t="s">
        <v>2389</v>
      </c>
      <c r="H207" s="798" t="s">
        <v>2390</v>
      </c>
      <c r="I207" s="812">
        <v>2875</v>
      </c>
      <c r="J207" s="812">
        <v>4</v>
      </c>
      <c r="K207" s="813">
        <v>11500</v>
      </c>
    </row>
    <row r="208" spans="1:11" ht="14.4" customHeight="1" x14ac:dyDescent="0.3">
      <c r="A208" s="794" t="s">
        <v>591</v>
      </c>
      <c r="B208" s="795" t="s">
        <v>592</v>
      </c>
      <c r="C208" s="798" t="s">
        <v>2074</v>
      </c>
      <c r="D208" s="826" t="s">
        <v>3345</v>
      </c>
      <c r="E208" s="798" t="s">
        <v>3346</v>
      </c>
      <c r="F208" s="826" t="s">
        <v>3347</v>
      </c>
      <c r="G208" s="798" t="s">
        <v>2391</v>
      </c>
      <c r="H208" s="798" t="s">
        <v>2392</v>
      </c>
      <c r="I208" s="812">
        <v>1215.46</v>
      </c>
      <c r="J208" s="812">
        <v>1</v>
      </c>
      <c r="K208" s="813">
        <v>1215.46</v>
      </c>
    </row>
    <row r="209" spans="1:11" ht="14.4" customHeight="1" x14ac:dyDescent="0.3">
      <c r="A209" s="794" t="s">
        <v>591</v>
      </c>
      <c r="B209" s="795" t="s">
        <v>592</v>
      </c>
      <c r="C209" s="798" t="s">
        <v>2074</v>
      </c>
      <c r="D209" s="826" t="s">
        <v>3345</v>
      </c>
      <c r="E209" s="798" t="s">
        <v>3346</v>
      </c>
      <c r="F209" s="826" t="s">
        <v>3347</v>
      </c>
      <c r="G209" s="798" t="s">
        <v>2393</v>
      </c>
      <c r="H209" s="798" t="s">
        <v>2394</v>
      </c>
      <c r="I209" s="812">
        <v>1415.26</v>
      </c>
      <c r="J209" s="812">
        <v>5</v>
      </c>
      <c r="K209" s="813">
        <v>7076.2999999999993</v>
      </c>
    </row>
    <row r="210" spans="1:11" ht="14.4" customHeight="1" x14ac:dyDescent="0.3">
      <c r="A210" s="794" t="s">
        <v>591</v>
      </c>
      <c r="B210" s="795" t="s">
        <v>592</v>
      </c>
      <c r="C210" s="798" t="s">
        <v>2074</v>
      </c>
      <c r="D210" s="826" t="s">
        <v>3345</v>
      </c>
      <c r="E210" s="798" t="s">
        <v>3346</v>
      </c>
      <c r="F210" s="826" t="s">
        <v>3347</v>
      </c>
      <c r="G210" s="798" t="s">
        <v>2395</v>
      </c>
      <c r="H210" s="798" t="s">
        <v>2396</v>
      </c>
      <c r="I210" s="812">
        <v>1415.26</v>
      </c>
      <c r="J210" s="812">
        <v>4</v>
      </c>
      <c r="K210" s="813">
        <v>5661.04</v>
      </c>
    </row>
    <row r="211" spans="1:11" ht="14.4" customHeight="1" x14ac:dyDescent="0.3">
      <c r="A211" s="794" t="s">
        <v>591</v>
      </c>
      <c r="B211" s="795" t="s">
        <v>592</v>
      </c>
      <c r="C211" s="798" t="s">
        <v>2074</v>
      </c>
      <c r="D211" s="826" t="s">
        <v>3345</v>
      </c>
      <c r="E211" s="798" t="s">
        <v>3346</v>
      </c>
      <c r="F211" s="826" t="s">
        <v>3347</v>
      </c>
      <c r="G211" s="798" t="s">
        <v>2397</v>
      </c>
      <c r="H211" s="798" t="s">
        <v>2398</v>
      </c>
      <c r="I211" s="812">
        <v>506</v>
      </c>
      <c r="J211" s="812">
        <v>1</v>
      </c>
      <c r="K211" s="813">
        <v>506</v>
      </c>
    </row>
    <row r="212" spans="1:11" ht="14.4" customHeight="1" x14ac:dyDescent="0.3">
      <c r="A212" s="794" t="s">
        <v>591</v>
      </c>
      <c r="B212" s="795" t="s">
        <v>592</v>
      </c>
      <c r="C212" s="798" t="s">
        <v>2074</v>
      </c>
      <c r="D212" s="826" t="s">
        <v>3345</v>
      </c>
      <c r="E212" s="798" t="s">
        <v>3346</v>
      </c>
      <c r="F212" s="826" t="s">
        <v>3347</v>
      </c>
      <c r="G212" s="798" t="s">
        <v>2399</v>
      </c>
      <c r="H212" s="798" t="s">
        <v>2400</v>
      </c>
      <c r="I212" s="812">
        <v>506</v>
      </c>
      <c r="J212" s="812">
        <v>7</v>
      </c>
      <c r="K212" s="813">
        <v>3542</v>
      </c>
    </row>
    <row r="213" spans="1:11" ht="14.4" customHeight="1" x14ac:dyDescent="0.3">
      <c r="A213" s="794" t="s">
        <v>591</v>
      </c>
      <c r="B213" s="795" t="s">
        <v>592</v>
      </c>
      <c r="C213" s="798" t="s">
        <v>2074</v>
      </c>
      <c r="D213" s="826" t="s">
        <v>3345</v>
      </c>
      <c r="E213" s="798" t="s">
        <v>3346</v>
      </c>
      <c r="F213" s="826" t="s">
        <v>3347</v>
      </c>
      <c r="G213" s="798" t="s">
        <v>2401</v>
      </c>
      <c r="H213" s="798" t="s">
        <v>2402</v>
      </c>
      <c r="I213" s="812">
        <v>4452.8</v>
      </c>
      <c r="J213" s="812">
        <v>4</v>
      </c>
      <c r="K213" s="813">
        <v>17811.2</v>
      </c>
    </row>
    <row r="214" spans="1:11" ht="14.4" customHeight="1" x14ac:dyDescent="0.3">
      <c r="A214" s="794" t="s">
        <v>591</v>
      </c>
      <c r="B214" s="795" t="s">
        <v>592</v>
      </c>
      <c r="C214" s="798" t="s">
        <v>2074</v>
      </c>
      <c r="D214" s="826" t="s">
        <v>3345</v>
      </c>
      <c r="E214" s="798" t="s">
        <v>3346</v>
      </c>
      <c r="F214" s="826" t="s">
        <v>3347</v>
      </c>
      <c r="G214" s="798" t="s">
        <v>2403</v>
      </c>
      <c r="H214" s="798" t="s">
        <v>2404</v>
      </c>
      <c r="I214" s="812">
        <v>1423.08</v>
      </c>
      <c r="J214" s="812">
        <v>2</v>
      </c>
      <c r="K214" s="813">
        <v>2846.16</v>
      </c>
    </row>
    <row r="215" spans="1:11" ht="14.4" customHeight="1" x14ac:dyDescent="0.3">
      <c r="A215" s="794" t="s">
        <v>591</v>
      </c>
      <c r="B215" s="795" t="s">
        <v>592</v>
      </c>
      <c r="C215" s="798" t="s">
        <v>2074</v>
      </c>
      <c r="D215" s="826" t="s">
        <v>3345</v>
      </c>
      <c r="E215" s="798" t="s">
        <v>3346</v>
      </c>
      <c r="F215" s="826" t="s">
        <v>3347</v>
      </c>
      <c r="G215" s="798" t="s">
        <v>2405</v>
      </c>
      <c r="H215" s="798" t="s">
        <v>2406</v>
      </c>
      <c r="I215" s="812">
        <v>5175</v>
      </c>
      <c r="J215" s="812">
        <v>5</v>
      </c>
      <c r="K215" s="813">
        <v>25875</v>
      </c>
    </row>
    <row r="216" spans="1:11" ht="14.4" customHeight="1" x14ac:dyDescent="0.3">
      <c r="A216" s="794" t="s">
        <v>591</v>
      </c>
      <c r="B216" s="795" t="s">
        <v>592</v>
      </c>
      <c r="C216" s="798" t="s">
        <v>2074</v>
      </c>
      <c r="D216" s="826" t="s">
        <v>3345</v>
      </c>
      <c r="E216" s="798" t="s">
        <v>3346</v>
      </c>
      <c r="F216" s="826" t="s">
        <v>3347</v>
      </c>
      <c r="G216" s="798" t="s">
        <v>2407</v>
      </c>
      <c r="H216" s="798" t="s">
        <v>2408</v>
      </c>
      <c r="I216" s="812">
        <v>1856.1</v>
      </c>
      <c r="J216" s="812">
        <v>3</v>
      </c>
      <c r="K216" s="813">
        <v>5568.2999999999993</v>
      </c>
    </row>
    <row r="217" spans="1:11" ht="14.4" customHeight="1" x14ac:dyDescent="0.3">
      <c r="A217" s="794" t="s">
        <v>591</v>
      </c>
      <c r="B217" s="795" t="s">
        <v>592</v>
      </c>
      <c r="C217" s="798" t="s">
        <v>2074</v>
      </c>
      <c r="D217" s="826" t="s">
        <v>3345</v>
      </c>
      <c r="E217" s="798" t="s">
        <v>3346</v>
      </c>
      <c r="F217" s="826" t="s">
        <v>3347</v>
      </c>
      <c r="G217" s="798" t="s">
        <v>2409</v>
      </c>
      <c r="H217" s="798" t="s">
        <v>2410</v>
      </c>
      <c r="I217" s="812">
        <v>1856.1</v>
      </c>
      <c r="J217" s="812">
        <v>1</v>
      </c>
      <c r="K217" s="813">
        <v>1856.1</v>
      </c>
    </row>
    <row r="218" spans="1:11" ht="14.4" customHeight="1" x14ac:dyDescent="0.3">
      <c r="A218" s="794" t="s">
        <v>591</v>
      </c>
      <c r="B218" s="795" t="s">
        <v>592</v>
      </c>
      <c r="C218" s="798" t="s">
        <v>2074</v>
      </c>
      <c r="D218" s="826" t="s">
        <v>3345</v>
      </c>
      <c r="E218" s="798" t="s">
        <v>3346</v>
      </c>
      <c r="F218" s="826" t="s">
        <v>3347</v>
      </c>
      <c r="G218" s="798" t="s">
        <v>2411</v>
      </c>
      <c r="H218" s="798" t="s">
        <v>2412</v>
      </c>
      <c r="I218" s="812">
        <v>281.69411764705876</v>
      </c>
      <c r="J218" s="812">
        <v>41</v>
      </c>
      <c r="K218" s="813">
        <v>11549.48</v>
      </c>
    </row>
    <row r="219" spans="1:11" ht="14.4" customHeight="1" x14ac:dyDescent="0.3">
      <c r="A219" s="794" t="s">
        <v>591</v>
      </c>
      <c r="B219" s="795" t="s">
        <v>592</v>
      </c>
      <c r="C219" s="798" t="s">
        <v>2074</v>
      </c>
      <c r="D219" s="826" t="s">
        <v>3345</v>
      </c>
      <c r="E219" s="798" t="s">
        <v>3346</v>
      </c>
      <c r="F219" s="826" t="s">
        <v>3347</v>
      </c>
      <c r="G219" s="798" t="s">
        <v>2413</v>
      </c>
      <c r="H219" s="798" t="s">
        <v>2414</v>
      </c>
      <c r="I219" s="812">
        <v>281.69249999999994</v>
      </c>
      <c r="J219" s="812">
        <v>59</v>
      </c>
      <c r="K219" s="813">
        <v>16619.97</v>
      </c>
    </row>
    <row r="220" spans="1:11" ht="14.4" customHeight="1" x14ac:dyDescent="0.3">
      <c r="A220" s="794" t="s">
        <v>591</v>
      </c>
      <c r="B220" s="795" t="s">
        <v>592</v>
      </c>
      <c r="C220" s="798" t="s">
        <v>2074</v>
      </c>
      <c r="D220" s="826" t="s">
        <v>3345</v>
      </c>
      <c r="E220" s="798" t="s">
        <v>3346</v>
      </c>
      <c r="F220" s="826" t="s">
        <v>3347</v>
      </c>
      <c r="G220" s="798" t="s">
        <v>2415</v>
      </c>
      <c r="H220" s="798" t="s">
        <v>2416</v>
      </c>
      <c r="I220" s="812">
        <v>281.69111111111113</v>
      </c>
      <c r="J220" s="812">
        <v>21</v>
      </c>
      <c r="K220" s="813">
        <v>5915.54</v>
      </c>
    </row>
    <row r="221" spans="1:11" ht="14.4" customHeight="1" x14ac:dyDescent="0.3">
      <c r="A221" s="794" t="s">
        <v>591</v>
      </c>
      <c r="B221" s="795" t="s">
        <v>592</v>
      </c>
      <c r="C221" s="798" t="s">
        <v>2074</v>
      </c>
      <c r="D221" s="826" t="s">
        <v>3345</v>
      </c>
      <c r="E221" s="798" t="s">
        <v>3346</v>
      </c>
      <c r="F221" s="826" t="s">
        <v>3347</v>
      </c>
      <c r="G221" s="798" t="s">
        <v>2417</v>
      </c>
      <c r="H221" s="798" t="s">
        <v>2418</v>
      </c>
      <c r="I221" s="812">
        <v>1385.75</v>
      </c>
      <c r="J221" s="812">
        <v>2</v>
      </c>
      <c r="K221" s="813">
        <v>2771.5</v>
      </c>
    </row>
    <row r="222" spans="1:11" ht="14.4" customHeight="1" x14ac:dyDescent="0.3">
      <c r="A222" s="794" t="s">
        <v>591</v>
      </c>
      <c r="B222" s="795" t="s">
        <v>592</v>
      </c>
      <c r="C222" s="798" t="s">
        <v>2074</v>
      </c>
      <c r="D222" s="826" t="s">
        <v>3345</v>
      </c>
      <c r="E222" s="798" t="s">
        <v>3346</v>
      </c>
      <c r="F222" s="826" t="s">
        <v>3347</v>
      </c>
      <c r="G222" s="798" t="s">
        <v>2419</v>
      </c>
      <c r="H222" s="798" t="s">
        <v>2420</v>
      </c>
      <c r="I222" s="812">
        <v>1385.75</v>
      </c>
      <c r="J222" s="812">
        <v>3</v>
      </c>
      <c r="K222" s="813">
        <v>4157.25</v>
      </c>
    </row>
    <row r="223" spans="1:11" ht="14.4" customHeight="1" x14ac:dyDescent="0.3">
      <c r="A223" s="794" t="s">
        <v>591</v>
      </c>
      <c r="B223" s="795" t="s">
        <v>592</v>
      </c>
      <c r="C223" s="798" t="s">
        <v>2074</v>
      </c>
      <c r="D223" s="826" t="s">
        <v>3345</v>
      </c>
      <c r="E223" s="798" t="s">
        <v>3346</v>
      </c>
      <c r="F223" s="826" t="s">
        <v>3347</v>
      </c>
      <c r="G223" s="798" t="s">
        <v>2421</v>
      </c>
      <c r="H223" s="798" t="s">
        <v>2422</v>
      </c>
      <c r="I223" s="812">
        <v>1000.5</v>
      </c>
      <c r="J223" s="812">
        <v>4</v>
      </c>
      <c r="K223" s="813">
        <v>4002</v>
      </c>
    </row>
    <row r="224" spans="1:11" ht="14.4" customHeight="1" x14ac:dyDescent="0.3">
      <c r="A224" s="794" t="s">
        <v>591</v>
      </c>
      <c r="B224" s="795" t="s">
        <v>592</v>
      </c>
      <c r="C224" s="798" t="s">
        <v>2074</v>
      </c>
      <c r="D224" s="826" t="s">
        <v>3345</v>
      </c>
      <c r="E224" s="798" t="s">
        <v>3346</v>
      </c>
      <c r="F224" s="826" t="s">
        <v>3347</v>
      </c>
      <c r="G224" s="798" t="s">
        <v>2423</v>
      </c>
      <c r="H224" s="798" t="s">
        <v>2424</v>
      </c>
      <c r="I224" s="812">
        <v>1092.5</v>
      </c>
      <c r="J224" s="812">
        <v>8</v>
      </c>
      <c r="K224" s="813">
        <v>8740</v>
      </c>
    </row>
    <row r="225" spans="1:11" ht="14.4" customHeight="1" x14ac:dyDescent="0.3">
      <c r="A225" s="794" t="s">
        <v>591</v>
      </c>
      <c r="B225" s="795" t="s">
        <v>592</v>
      </c>
      <c r="C225" s="798" t="s">
        <v>2074</v>
      </c>
      <c r="D225" s="826" t="s">
        <v>3345</v>
      </c>
      <c r="E225" s="798" t="s">
        <v>3346</v>
      </c>
      <c r="F225" s="826" t="s">
        <v>3347</v>
      </c>
      <c r="G225" s="798" t="s">
        <v>2425</v>
      </c>
      <c r="H225" s="798" t="s">
        <v>2426</v>
      </c>
      <c r="I225" s="812">
        <v>1000.5</v>
      </c>
      <c r="J225" s="812">
        <v>2</v>
      </c>
      <c r="K225" s="813">
        <v>2001</v>
      </c>
    </row>
    <row r="226" spans="1:11" ht="14.4" customHeight="1" x14ac:dyDescent="0.3">
      <c r="A226" s="794" t="s">
        <v>591</v>
      </c>
      <c r="B226" s="795" t="s">
        <v>592</v>
      </c>
      <c r="C226" s="798" t="s">
        <v>2074</v>
      </c>
      <c r="D226" s="826" t="s">
        <v>3345</v>
      </c>
      <c r="E226" s="798" t="s">
        <v>3346</v>
      </c>
      <c r="F226" s="826" t="s">
        <v>3347</v>
      </c>
      <c r="G226" s="798" t="s">
        <v>2427</v>
      </c>
      <c r="H226" s="798" t="s">
        <v>2428</v>
      </c>
      <c r="I226" s="812">
        <v>1000.5</v>
      </c>
      <c r="J226" s="812">
        <v>1</v>
      </c>
      <c r="K226" s="813">
        <v>1000.5</v>
      </c>
    </row>
    <row r="227" spans="1:11" ht="14.4" customHeight="1" x14ac:dyDescent="0.3">
      <c r="A227" s="794" t="s">
        <v>591</v>
      </c>
      <c r="B227" s="795" t="s">
        <v>592</v>
      </c>
      <c r="C227" s="798" t="s">
        <v>2074</v>
      </c>
      <c r="D227" s="826" t="s">
        <v>3345</v>
      </c>
      <c r="E227" s="798" t="s">
        <v>3346</v>
      </c>
      <c r="F227" s="826" t="s">
        <v>3347</v>
      </c>
      <c r="G227" s="798" t="s">
        <v>2429</v>
      </c>
      <c r="H227" s="798" t="s">
        <v>2430</v>
      </c>
      <c r="I227" s="812">
        <v>403.52</v>
      </c>
      <c r="J227" s="812">
        <v>2</v>
      </c>
      <c r="K227" s="813">
        <v>807.04</v>
      </c>
    </row>
    <row r="228" spans="1:11" ht="14.4" customHeight="1" x14ac:dyDescent="0.3">
      <c r="A228" s="794" t="s">
        <v>591</v>
      </c>
      <c r="B228" s="795" t="s">
        <v>592</v>
      </c>
      <c r="C228" s="798" t="s">
        <v>2074</v>
      </c>
      <c r="D228" s="826" t="s">
        <v>3345</v>
      </c>
      <c r="E228" s="798" t="s">
        <v>3346</v>
      </c>
      <c r="F228" s="826" t="s">
        <v>3347</v>
      </c>
      <c r="G228" s="798" t="s">
        <v>2431</v>
      </c>
      <c r="H228" s="798" t="s">
        <v>2432</v>
      </c>
      <c r="I228" s="812">
        <v>1552.5</v>
      </c>
      <c r="J228" s="812">
        <v>3</v>
      </c>
      <c r="K228" s="813">
        <v>4657.5</v>
      </c>
    </row>
    <row r="229" spans="1:11" ht="14.4" customHeight="1" x14ac:dyDescent="0.3">
      <c r="A229" s="794" t="s">
        <v>591</v>
      </c>
      <c r="B229" s="795" t="s">
        <v>592</v>
      </c>
      <c r="C229" s="798" t="s">
        <v>2074</v>
      </c>
      <c r="D229" s="826" t="s">
        <v>3345</v>
      </c>
      <c r="E229" s="798" t="s">
        <v>3346</v>
      </c>
      <c r="F229" s="826" t="s">
        <v>3347</v>
      </c>
      <c r="G229" s="798" t="s">
        <v>2433</v>
      </c>
      <c r="H229" s="798" t="s">
        <v>2434</v>
      </c>
      <c r="I229" s="812">
        <v>1725</v>
      </c>
      <c r="J229" s="812">
        <v>3</v>
      </c>
      <c r="K229" s="813">
        <v>5175</v>
      </c>
    </row>
    <row r="230" spans="1:11" ht="14.4" customHeight="1" x14ac:dyDescent="0.3">
      <c r="A230" s="794" t="s">
        <v>591</v>
      </c>
      <c r="B230" s="795" t="s">
        <v>592</v>
      </c>
      <c r="C230" s="798" t="s">
        <v>2074</v>
      </c>
      <c r="D230" s="826" t="s">
        <v>3345</v>
      </c>
      <c r="E230" s="798" t="s">
        <v>3346</v>
      </c>
      <c r="F230" s="826" t="s">
        <v>3347</v>
      </c>
      <c r="G230" s="798" t="s">
        <v>2435</v>
      </c>
      <c r="H230" s="798" t="s">
        <v>2436</v>
      </c>
      <c r="I230" s="812">
        <v>1725</v>
      </c>
      <c r="J230" s="812">
        <v>3</v>
      </c>
      <c r="K230" s="813">
        <v>5175</v>
      </c>
    </row>
    <row r="231" spans="1:11" ht="14.4" customHeight="1" x14ac:dyDescent="0.3">
      <c r="A231" s="794" t="s">
        <v>591</v>
      </c>
      <c r="B231" s="795" t="s">
        <v>592</v>
      </c>
      <c r="C231" s="798" t="s">
        <v>2074</v>
      </c>
      <c r="D231" s="826" t="s">
        <v>3345</v>
      </c>
      <c r="E231" s="798" t="s">
        <v>3346</v>
      </c>
      <c r="F231" s="826" t="s">
        <v>3347</v>
      </c>
      <c r="G231" s="798" t="s">
        <v>2437</v>
      </c>
      <c r="H231" s="798" t="s">
        <v>2438</v>
      </c>
      <c r="I231" s="812">
        <v>506</v>
      </c>
      <c r="J231" s="812">
        <v>2</v>
      </c>
      <c r="K231" s="813">
        <v>1012</v>
      </c>
    </row>
    <row r="232" spans="1:11" ht="14.4" customHeight="1" x14ac:dyDescent="0.3">
      <c r="A232" s="794" t="s">
        <v>591</v>
      </c>
      <c r="B232" s="795" t="s">
        <v>592</v>
      </c>
      <c r="C232" s="798" t="s">
        <v>2074</v>
      </c>
      <c r="D232" s="826" t="s">
        <v>3345</v>
      </c>
      <c r="E232" s="798" t="s">
        <v>3346</v>
      </c>
      <c r="F232" s="826" t="s">
        <v>3347</v>
      </c>
      <c r="G232" s="798" t="s">
        <v>2439</v>
      </c>
      <c r="H232" s="798" t="s">
        <v>2440</v>
      </c>
      <c r="I232" s="812">
        <v>506</v>
      </c>
      <c r="J232" s="812">
        <v>1</v>
      </c>
      <c r="K232" s="813">
        <v>506</v>
      </c>
    </row>
    <row r="233" spans="1:11" ht="14.4" customHeight="1" x14ac:dyDescent="0.3">
      <c r="A233" s="794" t="s">
        <v>591</v>
      </c>
      <c r="B233" s="795" t="s">
        <v>592</v>
      </c>
      <c r="C233" s="798" t="s">
        <v>2074</v>
      </c>
      <c r="D233" s="826" t="s">
        <v>3345</v>
      </c>
      <c r="E233" s="798" t="s">
        <v>3346</v>
      </c>
      <c r="F233" s="826" t="s">
        <v>3347</v>
      </c>
      <c r="G233" s="798" t="s">
        <v>2441</v>
      </c>
      <c r="H233" s="798" t="s">
        <v>2442</v>
      </c>
      <c r="I233" s="812">
        <v>403.53</v>
      </c>
      <c r="J233" s="812">
        <v>6</v>
      </c>
      <c r="K233" s="813">
        <v>2421.17</v>
      </c>
    </row>
    <row r="234" spans="1:11" ht="14.4" customHeight="1" x14ac:dyDescent="0.3">
      <c r="A234" s="794" t="s">
        <v>591</v>
      </c>
      <c r="B234" s="795" t="s">
        <v>592</v>
      </c>
      <c r="C234" s="798" t="s">
        <v>2074</v>
      </c>
      <c r="D234" s="826" t="s">
        <v>3345</v>
      </c>
      <c r="E234" s="798" t="s">
        <v>3346</v>
      </c>
      <c r="F234" s="826" t="s">
        <v>3347</v>
      </c>
      <c r="G234" s="798" t="s">
        <v>2443</v>
      </c>
      <c r="H234" s="798" t="s">
        <v>2444</v>
      </c>
      <c r="I234" s="812">
        <v>281.69312499999995</v>
      </c>
      <c r="J234" s="812">
        <v>26</v>
      </c>
      <c r="K234" s="813">
        <v>7324.03</v>
      </c>
    </row>
    <row r="235" spans="1:11" ht="14.4" customHeight="1" x14ac:dyDescent="0.3">
      <c r="A235" s="794" t="s">
        <v>591</v>
      </c>
      <c r="B235" s="795" t="s">
        <v>592</v>
      </c>
      <c r="C235" s="798" t="s">
        <v>2074</v>
      </c>
      <c r="D235" s="826" t="s">
        <v>3345</v>
      </c>
      <c r="E235" s="798" t="s">
        <v>3346</v>
      </c>
      <c r="F235" s="826" t="s">
        <v>3347</v>
      </c>
      <c r="G235" s="798" t="s">
        <v>2445</v>
      </c>
      <c r="H235" s="798" t="s">
        <v>2446</v>
      </c>
      <c r="I235" s="812">
        <v>281.6922222222222</v>
      </c>
      <c r="J235" s="812">
        <v>11</v>
      </c>
      <c r="K235" s="813">
        <v>3098.62</v>
      </c>
    </row>
    <row r="236" spans="1:11" ht="14.4" customHeight="1" x14ac:dyDescent="0.3">
      <c r="A236" s="794" t="s">
        <v>591</v>
      </c>
      <c r="B236" s="795" t="s">
        <v>592</v>
      </c>
      <c r="C236" s="798" t="s">
        <v>2074</v>
      </c>
      <c r="D236" s="826" t="s">
        <v>3345</v>
      </c>
      <c r="E236" s="798" t="s">
        <v>3346</v>
      </c>
      <c r="F236" s="826" t="s">
        <v>3347</v>
      </c>
      <c r="G236" s="798" t="s">
        <v>2447</v>
      </c>
      <c r="H236" s="798" t="s">
        <v>2448</v>
      </c>
      <c r="I236" s="812">
        <v>4452.8</v>
      </c>
      <c r="J236" s="812">
        <v>1</v>
      </c>
      <c r="K236" s="813">
        <v>4452.8</v>
      </c>
    </row>
    <row r="237" spans="1:11" ht="14.4" customHeight="1" x14ac:dyDescent="0.3">
      <c r="A237" s="794" t="s">
        <v>591</v>
      </c>
      <c r="B237" s="795" t="s">
        <v>592</v>
      </c>
      <c r="C237" s="798" t="s">
        <v>2074</v>
      </c>
      <c r="D237" s="826" t="s">
        <v>3345</v>
      </c>
      <c r="E237" s="798" t="s">
        <v>3346</v>
      </c>
      <c r="F237" s="826" t="s">
        <v>3347</v>
      </c>
      <c r="G237" s="798" t="s">
        <v>2449</v>
      </c>
      <c r="H237" s="798" t="s">
        <v>2450</v>
      </c>
      <c r="I237" s="812">
        <v>1000.5</v>
      </c>
      <c r="J237" s="812">
        <v>1</v>
      </c>
      <c r="K237" s="813">
        <v>1000.5</v>
      </c>
    </row>
    <row r="238" spans="1:11" ht="14.4" customHeight="1" x14ac:dyDescent="0.3">
      <c r="A238" s="794" t="s">
        <v>591</v>
      </c>
      <c r="B238" s="795" t="s">
        <v>592</v>
      </c>
      <c r="C238" s="798" t="s">
        <v>2074</v>
      </c>
      <c r="D238" s="826" t="s">
        <v>3345</v>
      </c>
      <c r="E238" s="798" t="s">
        <v>3346</v>
      </c>
      <c r="F238" s="826" t="s">
        <v>3347</v>
      </c>
      <c r="G238" s="798" t="s">
        <v>2451</v>
      </c>
      <c r="H238" s="798" t="s">
        <v>2452</v>
      </c>
      <c r="I238" s="812">
        <v>527.85</v>
      </c>
      <c r="J238" s="812">
        <v>10</v>
      </c>
      <c r="K238" s="813">
        <v>5278.5</v>
      </c>
    </row>
    <row r="239" spans="1:11" ht="14.4" customHeight="1" x14ac:dyDescent="0.3">
      <c r="A239" s="794" t="s">
        <v>591</v>
      </c>
      <c r="B239" s="795" t="s">
        <v>592</v>
      </c>
      <c r="C239" s="798" t="s">
        <v>2074</v>
      </c>
      <c r="D239" s="826" t="s">
        <v>3345</v>
      </c>
      <c r="E239" s="798" t="s">
        <v>3346</v>
      </c>
      <c r="F239" s="826" t="s">
        <v>3347</v>
      </c>
      <c r="G239" s="798" t="s">
        <v>2453</v>
      </c>
      <c r="H239" s="798" t="s">
        <v>2454</v>
      </c>
      <c r="I239" s="812">
        <v>527.85</v>
      </c>
      <c r="J239" s="812">
        <v>14</v>
      </c>
      <c r="K239" s="813">
        <v>7389.9000000000005</v>
      </c>
    </row>
    <row r="240" spans="1:11" ht="14.4" customHeight="1" x14ac:dyDescent="0.3">
      <c r="A240" s="794" t="s">
        <v>591</v>
      </c>
      <c r="B240" s="795" t="s">
        <v>592</v>
      </c>
      <c r="C240" s="798" t="s">
        <v>2074</v>
      </c>
      <c r="D240" s="826" t="s">
        <v>3345</v>
      </c>
      <c r="E240" s="798" t="s">
        <v>3346</v>
      </c>
      <c r="F240" s="826" t="s">
        <v>3347</v>
      </c>
      <c r="G240" s="798" t="s">
        <v>2455</v>
      </c>
      <c r="H240" s="798" t="s">
        <v>2456</v>
      </c>
      <c r="I240" s="812">
        <v>527.85</v>
      </c>
      <c r="J240" s="812">
        <v>9</v>
      </c>
      <c r="K240" s="813">
        <v>4750.6500000000005</v>
      </c>
    </row>
    <row r="241" spans="1:11" ht="14.4" customHeight="1" x14ac:dyDescent="0.3">
      <c r="A241" s="794" t="s">
        <v>591</v>
      </c>
      <c r="B241" s="795" t="s">
        <v>592</v>
      </c>
      <c r="C241" s="798" t="s">
        <v>2074</v>
      </c>
      <c r="D241" s="826" t="s">
        <v>3345</v>
      </c>
      <c r="E241" s="798" t="s">
        <v>3346</v>
      </c>
      <c r="F241" s="826" t="s">
        <v>3347</v>
      </c>
      <c r="G241" s="798" t="s">
        <v>2457</v>
      </c>
      <c r="H241" s="798" t="s">
        <v>2458</v>
      </c>
      <c r="I241" s="812">
        <v>370.39</v>
      </c>
      <c r="J241" s="812">
        <v>1</v>
      </c>
      <c r="K241" s="813">
        <v>370.39</v>
      </c>
    </row>
    <row r="242" spans="1:11" ht="14.4" customHeight="1" x14ac:dyDescent="0.3">
      <c r="A242" s="794" t="s">
        <v>591</v>
      </c>
      <c r="B242" s="795" t="s">
        <v>592</v>
      </c>
      <c r="C242" s="798" t="s">
        <v>2074</v>
      </c>
      <c r="D242" s="826" t="s">
        <v>3345</v>
      </c>
      <c r="E242" s="798" t="s">
        <v>3346</v>
      </c>
      <c r="F242" s="826" t="s">
        <v>3347</v>
      </c>
      <c r="G242" s="798" t="s">
        <v>2459</v>
      </c>
      <c r="H242" s="798" t="s">
        <v>2460</v>
      </c>
      <c r="I242" s="812">
        <v>58.97</v>
      </c>
      <c r="J242" s="812">
        <v>60</v>
      </c>
      <c r="K242" s="813">
        <v>3538.18</v>
      </c>
    </row>
    <row r="243" spans="1:11" ht="14.4" customHeight="1" x14ac:dyDescent="0.3">
      <c r="A243" s="794" t="s">
        <v>591</v>
      </c>
      <c r="B243" s="795" t="s">
        <v>592</v>
      </c>
      <c r="C243" s="798" t="s">
        <v>2074</v>
      </c>
      <c r="D243" s="826" t="s">
        <v>3345</v>
      </c>
      <c r="E243" s="798" t="s">
        <v>3346</v>
      </c>
      <c r="F243" s="826" t="s">
        <v>3347</v>
      </c>
      <c r="G243" s="798" t="s">
        <v>2461</v>
      </c>
      <c r="H243" s="798" t="s">
        <v>2462</v>
      </c>
      <c r="I243" s="812">
        <v>1447.4350000000002</v>
      </c>
      <c r="J243" s="812">
        <v>11</v>
      </c>
      <c r="K243" s="813">
        <v>15921.809999999998</v>
      </c>
    </row>
    <row r="244" spans="1:11" ht="14.4" customHeight="1" x14ac:dyDescent="0.3">
      <c r="A244" s="794" t="s">
        <v>591</v>
      </c>
      <c r="B244" s="795" t="s">
        <v>592</v>
      </c>
      <c r="C244" s="798" t="s">
        <v>2074</v>
      </c>
      <c r="D244" s="826" t="s">
        <v>3345</v>
      </c>
      <c r="E244" s="798" t="s">
        <v>3346</v>
      </c>
      <c r="F244" s="826" t="s">
        <v>3347</v>
      </c>
      <c r="G244" s="798" t="s">
        <v>2463</v>
      </c>
      <c r="H244" s="798" t="s">
        <v>2464</v>
      </c>
      <c r="I244" s="812">
        <v>1161.8399999999999</v>
      </c>
      <c r="J244" s="812">
        <v>2</v>
      </c>
      <c r="K244" s="813">
        <v>2323.6799999999998</v>
      </c>
    </row>
    <row r="245" spans="1:11" ht="14.4" customHeight="1" x14ac:dyDescent="0.3">
      <c r="A245" s="794" t="s">
        <v>591</v>
      </c>
      <c r="B245" s="795" t="s">
        <v>592</v>
      </c>
      <c r="C245" s="798" t="s">
        <v>2074</v>
      </c>
      <c r="D245" s="826" t="s">
        <v>3345</v>
      </c>
      <c r="E245" s="798" t="s">
        <v>3346</v>
      </c>
      <c r="F245" s="826" t="s">
        <v>3347</v>
      </c>
      <c r="G245" s="798" t="s">
        <v>2465</v>
      </c>
      <c r="H245" s="798" t="s">
        <v>2466</v>
      </c>
      <c r="I245" s="812">
        <v>294.36</v>
      </c>
      <c r="J245" s="812">
        <v>2</v>
      </c>
      <c r="K245" s="813">
        <v>588.72</v>
      </c>
    </row>
    <row r="246" spans="1:11" ht="14.4" customHeight="1" x14ac:dyDescent="0.3">
      <c r="A246" s="794" t="s">
        <v>591</v>
      </c>
      <c r="B246" s="795" t="s">
        <v>592</v>
      </c>
      <c r="C246" s="798" t="s">
        <v>2074</v>
      </c>
      <c r="D246" s="826" t="s">
        <v>3345</v>
      </c>
      <c r="E246" s="798" t="s">
        <v>3346</v>
      </c>
      <c r="F246" s="826" t="s">
        <v>3347</v>
      </c>
      <c r="G246" s="798" t="s">
        <v>2467</v>
      </c>
      <c r="H246" s="798" t="s">
        <v>2468</v>
      </c>
      <c r="I246" s="812">
        <v>294.36</v>
      </c>
      <c r="J246" s="812">
        <v>3</v>
      </c>
      <c r="K246" s="813">
        <v>883.08</v>
      </c>
    </row>
    <row r="247" spans="1:11" ht="14.4" customHeight="1" x14ac:dyDescent="0.3">
      <c r="A247" s="794" t="s">
        <v>591</v>
      </c>
      <c r="B247" s="795" t="s">
        <v>592</v>
      </c>
      <c r="C247" s="798" t="s">
        <v>2074</v>
      </c>
      <c r="D247" s="826" t="s">
        <v>3345</v>
      </c>
      <c r="E247" s="798" t="s">
        <v>3346</v>
      </c>
      <c r="F247" s="826" t="s">
        <v>3347</v>
      </c>
      <c r="G247" s="798" t="s">
        <v>2469</v>
      </c>
      <c r="H247" s="798" t="s">
        <v>2470</v>
      </c>
      <c r="I247" s="812">
        <v>1213.5</v>
      </c>
      <c r="J247" s="812">
        <v>1</v>
      </c>
      <c r="K247" s="813">
        <v>1213.5</v>
      </c>
    </row>
    <row r="248" spans="1:11" ht="14.4" customHeight="1" x14ac:dyDescent="0.3">
      <c r="A248" s="794" t="s">
        <v>591</v>
      </c>
      <c r="B248" s="795" t="s">
        <v>592</v>
      </c>
      <c r="C248" s="798" t="s">
        <v>2074</v>
      </c>
      <c r="D248" s="826" t="s">
        <v>3345</v>
      </c>
      <c r="E248" s="798" t="s">
        <v>3346</v>
      </c>
      <c r="F248" s="826" t="s">
        <v>3347</v>
      </c>
      <c r="G248" s="798" t="s">
        <v>2471</v>
      </c>
      <c r="H248" s="798" t="s">
        <v>2472</v>
      </c>
      <c r="I248" s="812">
        <v>9893.2000000000007</v>
      </c>
      <c r="J248" s="812">
        <v>1</v>
      </c>
      <c r="K248" s="813">
        <v>9893.2000000000007</v>
      </c>
    </row>
    <row r="249" spans="1:11" ht="14.4" customHeight="1" x14ac:dyDescent="0.3">
      <c r="A249" s="794" t="s">
        <v>591</v>
      </c>
      <c r="B249" s="795" t="s">
        <v>592</v>
      </c>
      <c r="C249" s="798" t="s">
        <v>2074</v>
      </c>
      <c r="D249" s="826" t="s">
        <v>3345</v>
      </c>
      <c r="E249" s="798" t="s">
        <v>3346</v>
      </c>
      <c r="F249" s="826" t="s">
        <v>3347</v>
      </c>
      <c r="G249" s="798" t="s">
        <v>2473</v>
      </c>
      <c r="H249" s="798" t="s">
        <v>2474</v>
      </c>
      <c r="I249" s="812">
        <v>1772.9766666666667</v>
      </c>
      <c r="J249" s="812">
        <v>5</v>
      </c>
      <c r="K249" s="813">
        <v>8864.880000000001</v>
      </c>
    </row>
    <row r="250" spans="1:11" ht="14.4" customHeight="1" x14ac:dyDescent="0.3">
      <c r="A250" s="794" t="s">
        <v>591</v>
      </c>
      <c r="B250" s="795" t="s">
        <v>592</v>
      </c>
      <c r="C250" s="798" t="s">
        <v>2074</v>
      </c>
      <c r="D250" s="826" t="s">
        <v>3345</v>
      </c>
      <c r="E250" s="798" t="s">
        <v>3346</v>
      </c>
      <c r="F250" s="826" t="s">
        <v>3347</v>
      </c>
      <c r="G250" s="798" t="s">
        <v>2475</v>
      </c>
      <c r="H250" s="798" t="s">
        <v>2476</v>
      </c>
      <c r="I250" s="812">
        <v>884.05</v>
      </c>
      <c r="J250" s="812">
        <v>4</v>
      </c>
      <c r="K250" s="813">
        <v>3536.2</v>
      </c>
    </row>
    <row r="251" spans="1:11" ht="14.4" customHeight="1" x14ac:dyDescent="0.3">
      <c r="A251" s="794" t="s">
        <v>591</v>
      </c>
      <c r="B251" s="795" t="s">
        <v>592</v>
      </c>
      <c r="C251" s="798" t="s">
        <v>2074</v>
      </c>
      <c r="D251" s="826" t="s">
        <v>3345</v>
      </c>
      <c r="E251" s="798" t="s">
        <v>3346</v>
      </c>
      <c r="F251" s="826" t="s">
        <v>3347</v>
      </c>
      <c r="G251" s="798" t="s">
        <v>2477</v>
      </c>
      <c r="H251" s="798" t="s">
        <v>2478</v>
      </c>
      <c r="I251" s="812">
        <v>939.6640000000001</v>
      </c>
      <c r="J251" s="812">
        <v>7</v>
      </c>
      <c r="K251" s="813">
        <v>6577.54</v>
      </c>
    </row>
    <row r="252" spans="1:11" ht="14.4" customHeight="1" x14ac:dyDescent="0.3">
      <c r="A252" s="794" t="s">
        <v>591</v>
      </c>
      <c r="B252" s="795" t="s">
        <v>592</v>
      </c>
      <c r="C252" s="798" t="s">
        <v>2074</v>
      </c>
      <c r="D252" s="826" t="s">
        <v>3345</v>
      </c>
      <c r="E252" s="798" t="s">
        <v>3346</v>
      </c>
      <c r="F252" s="826" t="s">
        <v>3347</v>
      </c>
      <c r="G252" s="798" t="s">
        <v>2479</v>
      </c>
      <c r="H252" s="798" t="s">
        <v>2480</v>
      </c>
      <c r="I252" s="812">
        <v>1066.33</v>
      </c>
      <c r="J252" s="812">
        <v>4</v>
      </c>
      <c r="K252" s="813">
        <v>4265.3099999999995</v>
      </c>
    </row>
    <row r="253" spans="1:11" ht="14.4" customHeight="1" x14ac:dyDescent="0.3">
      <c r="A253" s="794" t="s">
        <v>591</v>
      </c>
      <c r="B253" s="795" t="s">
        <v>592</v>
      </c>
      <c r="C253" s="798" t="s">
        <v>2074</v>
      </c>
      <c r="D253" s="826" t="s">
        <v>3345</v>
      </c>
      <c r="E253" s="798" t="s">
        <v>3346</v>
      </c>
      <c r="F253" s="826" t="s">
        <v>3347</v>
      </c>
      <c r="G253" s="798" t="s">
        <v>2481</v>
      </c>
      <c r="H253" s="798" t="s">
        <v>2482</v>
      </c>
      <c r="I253" s="812">
        <v>1423.06</v>
      </c>
      <c r="J253" s="812">
        <v>1</v>
      </c>
      <c r="K253" s="813">
        <v>1423.06</v>
      </c>
    </row>
    <row r="254" spans="1:11" ht="14.4" customHeight="1" x14ac:dyDescent="0.3">
      <c r="A254" s="794" t="s">
        <v>591</v>
      </c>
      <c r="B254" s="795" t="s">
        <v>592</v>
      </c>
      <c r="C254" s="798" t="s">
        <v>2074</v>
      </c>
      <c r="D254" s="826" t="s">
        <v>3345</v>
      </c>
      <c r="E254" s="798" t="s">
        <v>3346</v>
      </c>
      <c r="F254" s="826" t="s">
        <v>3347</v>
      </c>
      <c r="G254" s="798" t="s">
        <v>2483</v>
      </c>
      <c r="H254" s="798" t="s">
        <v>2484</v>
      </c>
      <c r="I254" s="812">
        <v>1856.1</v>
      </c>
      <c r="J254" s="812">
        <v>1</v>
      </c>
      <c r="K254" s="813">
        <v>1856.1</v>
      </c>
    </row>
    <row r="255" spans="1:11" ht="14.4" customHeight="1" x14ac:dyDescent="0.3">
      <c r="A255" s="794" t="s">
        <v>591</v>
      </c>
      <c r="B255" s="795" t="s">
        <v>592</v>
      </c>
      <c r="C255" s="798" t="s">
        <v>2074</v>
      </c>
      <c r="D255" s="826" t="s">
        <v>3345</v>
      </c>
      <c r="E255" s="798" t="s">
        <v>3346</v>
      </c>
      <c r="F255" s="826" t="s">
        <v>3347</v>
      </c>
      <c r="G255" s="798" t="s">
        <v>2485</v>
      </c>
      <c r="H255" s="798" t="s">
        <v>2486</v>
      </c>
      <c r="I255" s="812">
        <v>281.69</v>
      </c>
      <c r="J255" s="812">
        <v>5</v>
      </c>
      <c r="K255" s="813">
        <v>1408.4499999999998</v>
      </c>
    </row>
    <row r="256" spans="1:11" ht="14.4" customHeight="1" x14ac:dyDescent="0.3">
      <c r="A256" s="794" t="s">
        <v>591</v>
      </c>
      <c r="B256" s="795" t="s">
        <v>592</v>
      </c>
      <c r="C256" s="798" t="s">
        <v>2074</v>
      </c>
      <c r="D256" s="826" t="s">
        <v>3345</v>
      </c>
      <c r="E256" s="798" t="s">
        <v>3346</v>
      </c>
      <c r="F256" s="826" t="s">
        <v>3347</v>
      </c>
      <c r="G256" s="798" t="s">
        <v>2487</v>
      </c>
      <c r="H256" s="798" t="s">
        <v>2488</v>
      </c>
      <c r="I256" s="812">
        <v>281.69</v>
      </c>
      <c r="J256" s="812">
        <v>7</v>
      </c>
      <c r="K256" s="813">
        <v>1971.83</v>
      </c>
    </row>
    <row r="257" spans="1:11" ht="14.4" customHeight="1" x14ac:dyDescent="0.3">
      <c r="A257" s="794" t="s">
        <v>591</v>
      </c>
      <c r="B257" s="795" t="s">
        <v>592</v>
      </c>
      <c r="C257" s="798" t="s">
        <v>2074</v>
      </c>
      <c r="D257" s="826" t="s">
        <v>3345</v>
      </c>
      <c r="E257" s="798" t="s">
        <v>3346</v>
      </c>
      <c r="F257" s="826" t="s">
        <v>3347</v>
      </c>
      <c r="G257" s="798" t="s">
        <v>2489</v>
      </c>
      <c r="H257" s="798" t="s">
        <v>2490</v>
      </c>
      <c r="I257" s="812">
        <v>1385.75</v>
      </c>
      <c r="J257" s="812">
        <v>1</v>
      </c>
      <c r="K257" s="813">
        <v>1385.75</v>
      </c>
    </row>
    <row r="258" spans="1:11" ht="14.4" customHeight="1" x14ac:dyDescent="0.3">
      <c r="A258" s="794" t="s">
        <v>591</v>
      </c>
      <c r="B258" s="795" t="s">
        <v>592</v>
      </c>
      <c r="C258" s="798" t="s">
        <v>2074</v>
      </c>
      <c r="D258" s="826" t="s">
        <v>3345</v>
      </c>
      <c r="E258" s="798" t="s">
        <v>3346</v>
      </c>
      <c r="F258" s="826" t="s">
        <v>3347</v>
      </c>
      <c r="G258" s="798" t="s">
        <v>2491</v>
      </c>
      <c r="H258" s="798" t="s">
        <v>2492</v>
      </c>
      <c r="I258" s="812">
        <v>105.27</v>
      </c>
      <c r="J258" s="812">
        <v>1</v>
      </c>
      <c r="K258" s="813">
        <v>105.27</v>
      </c>
    </row>
    <row r="259" spans="1:11" ht="14.4" customHeight="1" x14ac:dyDescent="0.3">
      <c r="A259" s="794" t="s">
        <v>591</v>
      </c>
      <c r="B259" s="795" t="s">
        <v>592</v>
      </c>
      <c r="C259" s="798" t="s">
        <v>2074</v>
      </c>
      <c r="D259" s="826" t="s">
        <v>3345</v>
      </c>
      <c r="E259" s="798" t="s">
        <v>3346</v>
      </c>
      <c r="F259" s="826" t="s">
        <v>3347</v>
      </c>
      <c r="G259" s="798" t="s">
        <v>2493</v>
      </c>
      <c r="H259" s="798" t="s">
        <v>2494</v>
      </c>
      <c r="I259" s="812">
        <v>1000.5</v>
      </c>
      <c r="J259" s="812">
        <v>2</v>
      </c>
      <c r="K259" s="813">
        <v>2001</v>
      </c>
    </row>
    <row r="260" spans="1:11" ht="14.4" customHeight="1" x14ac:dyDescent="0.3">
      <c r="A260" s="794" t="s">
        <v>591</v>
      </c>
      <c r="B260" s="795" t="s">
        <v>592</v>
      </c>
      <c r="C260" s="798" t="s">
        <v>2074</v>
      </c>
      <c r="D260" s="826" t="s">
        <v>3345</v>
      </c>
      <c r="E260" s="798" t="s">
        <v>3346</v>
      </c>
      <c r="F260" s="826" t="s">
        <v>3347</v>
      </c>
      <c r="G260" s="798" t="s">
        <v>2495</v>
      </c>
      <c r="H260" s="798" t="s">
        <v>2496</v>
      </c>
      <c r="I260" s="812">
        <v>281.69</v>
      </c>
      <c r="J260" s="812">
        <v>2</v>
      </c>
      <c r="K260" s="813">
        <v>563.38</v>
      </c>
    </row>
    <row r="261" spans="1:11" ht="14.4" customHeight="1" x14ac:dyDescent="0.3">
      <c r="A261" s="794" t="s">
        <v>591</v>
      </c>
      <c r="B261" s="795" t="s">
        <v>592</v>
      </c>
      <c r="C261" s="798" t="s">
        <v>2074</v>
      </c>
      <c r="D261" s="826" t="s">
        <v>3345</v>
      </c>
      <c r="E261" s="798" t="s">
        <v>3346</v>
      </c>
      <c r="F261" s="826" t="s">
        <v>3347</v>
      </c>
      <c r="G261" s="798" t="s">
        <v>2497</v>
      </c>
      <c r="H261" s="798" t="s">
        <v>2498</v>
      </c>
      <c r="I261" s="812">
        <v>1008.8149999999999</v>
      </c>
      <c r="J261" s="812">
        <v>6</v>
      </c>
      <c r="K261" s="813">
        <v>6052.93</v>
      </c>
    </row>
    <row r="262" spans="1:11" ht="14.4" customHeight="1" x14ac:dyDescent="0.3">
      <c r="A262" s="794" t="s">
        <v>591</v>
      </c>
      <c r="B262" s="795" t="s">
        <v>592</v>
      </c>
      <c r="C262" s="798" t="s">
        <v>2074</v>
      </c>
      <c r="D262" s="826" t="s">
        <v>3345</v>
      </c>
      <c r="E262" s="798" t="s">
        <v>3346</v>
      </c>
      <c r="F262" s="826" t="s">
        <v>3347</v>
      </c>
      <c r="G262" s="798" t="s">
        <v>2499</v>
      </c>
      <c r="H262" s="798" t="s">
        <v>2500</v>
      </c>
      <c r="I262" s="812">
        <v>596.55999999999995</v>
      </c>
      <c r="J262" s="812">
        <v>3</v>
      </c>
      <c r="K262" s="813">
        <v>1789.51</v>
      </c>
    </row>
    <row r="263" spans="1:11" ht="14.4" customHeight="1" x14ac:dyDescent="0.3">
      <c r="A263" s="794" t="s">
        <v>591</v>
      </c>
      <c r="B263" s="795" t="s">
        <v>592</v>
      </c>
      <c r="C263" s="798" t="s">
        <v>2074</v>
      </c>
      <c r="D263" s="826" t="s">
        <v>3345</v>
      </c>
      <c r="E263" s="798" t="s">
        <v>3346</v>
      </c>
      <c r="F263" s="826" t="s">
        <v>3347</v>
      </c>
      <c r="G263" s="798" t="s">
        <v>2501</v>
      </c>
      <c r="H263" s="798" t="s">
        <v>2502</v>
      </c>
      <c r="I263" s="812">
        <v>597.12333333333333</v>
      </c>
      <c r="J263" s="812">
        <v>3</v>
      </c>
      <c r="K263" s="813">
        <v>1791.37</v>
      </c>
    </row>
    <row r="264" spans="1:11" ht="14.4" customHeight="1" x14ac:dyDescent="0.3">
      <c r="A264" s="794" t="s">
        <v>591</v>
      </c>
      <c r="B264" s="795" t="s">
        <v>592</v>
      </c>
      <c r="C264" s="798" t="s">
        <v>2074</v>
      </c>
      <c r="D264" s="826" t="s">
        <v>3345</v>
      </c>
      <c r="E264" s="798" t="s">
        <v>3346</v>
      </c>
      <c r="F264" s="826" t="s">
        <v>3347</v>
      </c>
      <c r="G264" s="798" t="s">
        <v>2503</v>
      </c>
      <c r="H264" s="798" t="s">
        <v>2504</v>
      </c>
      <c r="I264" s="812">
        <v>1451.32</v>
      </c>
      <c r="J264" s="812">
        <v>1</v>
      </c>
      <c r="K264" s="813">
        <v>1451.32</v>
      </c>
    </row>
    <row r="265" spans="1:11" ht="14.4" customHeight="1" x14ac:dyDescent="0.3">
      <c r="A265" s="794" t="s">
        <v>591</v>
      </c>
      <c r="B265" s="795" t="s">
        <v>592</v>
      </c>
      <c r="C265" s="798" t="s">
        <v>2074</v>
      </c>
      <c r="D265" s="826" t="s">
        <v>3345</v>
      </c>
      <c r="E265" s="798" t="s">
        <v>3346</v>
      </c>
      <c r="F265" s="826" t="s">
        <v>3347</v>
      </c>
      <c r="G265" s="798" t="s">
        <v>2505</v>
      </c>
      <c r="H265" s="798" t="s">
        <v>2506</v>
      </c>
      <c r="I265" s="812">
        <v>281.69200000000001</v>
      </c>
      <c r="J265" s="812">
        <v>5</v>
      </c>
      <c r="K265" s="813">
        <v>1408.46</v>
      </c>
    </row>
    <row r="266" spans="1:11" ht="14.4" customHeight="1" x14ac:dyDescent="0.3">
      <c r="A266" s="794" t="s">
        <v>591</v>
      </c>
      <c r="B266" s="795" t="s">
        <v>592</v>
      </c>
      <c r="C266" s="798" t="s">
        <v>2074</v>
      </c>
      <c r="D266" s="826" t="s">
        <v>3345</v>
      </c>
      <c r="E266" s="798" t="s">
        <v>3346</v>
      </c>
      <c r="F266" s="826" t="s">
        <v>3347</v>
      </c>
      <c r="G266" s="798" t="s">
        <v>2507</v>
      </c>
      <c r="H266" s="798" t="s">
        <v>2508</v>
      </c>
      <c r="I266" s="812">
        <v>370.39</v>
      </c>
      <c r="J266" s="812">
        <v>1</v>
      </c>
      <c r="K266" s="813">
        <v>370.39</v>
      </c>
    </row>
    <row r="267" spans="1:11" ht="14.4" customHeight="1" x14ac:dyDescent="0.3">
      <c r="A267" s="794" t="s">
        <v>591</v>
      </c>
      <c r="B267" s="795" t="s">
        <v>592</v>
      </c>
      <c r="C267" s="798" t="s">
        <v>2074</v>
      </c>
      <c r="D267" s="826" t="s">
        <v>3345</v>
      </c>
      <c r="E267" s="798" t="s">
        <v>3346</v>
      </c>
      <c r="F267" s="826" t="s">
        <v>3347</v>
      </c>
      <c r="G267" s="798" t="s">
        <v>2509</v>
      </c>
      <c r="H267" s="798" t="s">
        <v>2510</v>
      </c>
      <c r="I267" s="812">
        <v>195.90833333333333</v>
      </c>
      <c r="J267" s="812">
        <v>8</v>
      </c>
      <c r="K267" s="813">
        <v>1567.28</v>
      </c>
    </row>
    <row r="268" spans="1:11" ht="14.4" customHeight="1" x14ac:dyDescent="0.3">
      <c r="A268" s="794" t="s">
        <v>591</v>
      </c>
      <c r="B268" s="795" t="s">
        <v>592</v>
      </c>
      <c r="C268" s="798" t="s">
        <v>2074</v>
      </c>
      <c r="D268" s="826" t="s">
        <v>3345</v>
      </c>
      <c r="E268" s="798" t="s">
        <v>3346</v>
      </c>
      <c r="F268" s="826" t="s">
        <v>3347</v>
      </c>
      <c r="G268" s="798" t="s">
        <v>2511</v>
      </c>
      <c r="H268" s="798" t="s">
        <v>2512</v>
      </c>
      <c r="I268" s="812">
        <v>426.91666666666669</v>
      </c>
      <c r="J268" s="812">
        <v>3</v>
      </c>
      <c r="K268" s="813">
        <v>1280.75</v>
      </c>
    </row>
    <row r="269" spans="1:11" ht="14.4" customHeight="1" x14ac:dyDescent="0.3">
      <c r="A269" s="794" t="s">
        <v>591</v>
      </c>
      <c r="B269" s="795" t="s">
        <v>592</v>
      </c>
      <c r="C269" s="798" t="s">
        <v>2074</v>
      </c>
      <c r="D269" s="826" t="s">
        <v>3345</v>
      </c>
      <c r="E269" s="798" t="s">
        <v>3346</v>
      </c>
      <c r="F269" s="826" t="s">
        <v>3347</v>
      </c>
      <c r="G269" s="798" t="s">
        <v>2513</v>
      </c>
      <c r="H269" s="798" t="s">
        <v>2514</v>
      </c>
      <c r="I269" s="812">
        <v>1242</v>
      </c>
      <c r="J269" s="812">
        <v>3</v>
      </c>
      <c r="K269" s="813">
        <v>3726</v>
      </c>
    </row>
    <row r="270" spans="1:11" ht="14.4" customHeight="1" x14ac:dyDescent="0.3">
      <c r="A270" s="794" t="s">
        <v>591</v>
      </c>
      <c r="B270" s="795" t="s">
        <v>592</v>
      </c>
      <c r="C270" s="798" t="s">
        <v>2074</v>
      </c>
      <c r="D270" s="826" t="s">
        <v>3345</v>
      </c>
      <c r="E270" s="798" t="s">
        <v>3346</v>
      </c>
      <c r="F270" s="826" t="s">
        <v>3347</v>
      </c>
      <c r="G270" s="798" t="s">
        <v>2515</v>
      </c>
      <c r="H270" s="798" t="s">
        <v>2516</v>
      </c>
      <c r="I270" s="812">
        <v>1242</v>
      </c>
      <c r="J270" s="812">
        <v>3</v>
      </c>
      <c r="K270" s="813">
        <v>3726</v>
      </c>
    </row>
    <row r="271" spans="1:11" ht="14.4" customHeight="1" x14ac:dyDescent="0.3">
      <c r="A271" s="794" t="s">
        <v>591</v>
      </c>
      <c r="B271" s="795" t="s">
        <v>592</v>
      </c>
      <c r="C271" s="798" t="s">
        <v>2074</v>
      </c>
      <c r="D271" s="826" t="s">
        <v>3345</v>
      </c>
      <c r="E271" s="798" t="s">
        <v>3346</v>
      </c>
      <c r="F271" s="826" t="s">
        <v>3347</v>
      </c>
      <c r="G271" s="798" t="s">
        <v>2517</v>
      </c>
      <c r="H271" s="798" t="s">
        <v>2518</v>
      </c>
      <c r="I271" s="812">
        <v>939.62</v>
      </c>
      <c r="J271" s="812">
        <v>2</v>
      </c>
      <c r="K271" s="813">
        <v>1879.24</v>
      </c>
    </row>
    <row r="272" spans="1:11" ht="14.4" customHeight="1" x14ac:dyDescent="0.3">
      <c r="A272" s="794" t="s">
        <v>591</v>
      </c>
      <c r="B272" s="795" t="s">
        <v>592</v>
      </c>
      <c r="C272" s="798" t="s">
        <v>2074</v>
      </c>
      <c r="D272" s="826" t="s">
        <v>3345</v>
      </c>
      <c r="E272" s="798" t="s">
        <v>3346</v>
      </c>
      <c r="F272" s="826" t="s">
        <v>3347</v>
      </c>
      <c r="G272" s="798" t="s">
        <v>2519</v>
      </c>
      <c r="H272" s="798" t="s">
        <v>2520</v>
      </c>
      <c r="I272" s="812">
        <v>1169.6400000000001</v>
      </c>
      <c r="J272" s="812">
        <v>9</v>
      </c>
      <c r="K272" s="813">
        <v>10526.760000000002</v>
      </c>
    </row>
    <row r="273" spans="1:11" ht="14.4" customHeight="1" x14ac:dyDescent="0.3">
      <c r="A273" s="794" t="s">
        <v>591</v>
      </c>
      <c r="B273" s="795" t="s">
        <v>592</v>
      </c>
      <c r="C273" s="798" t="s">
        <v>2074</v>
      </c>
      <c r="D273" s="826" t="s">
        <v>3345</v>
      </c>
      <c r="E273" s="798" t="s">
        <v>3346</v>
      </c>
      <c r="F273" s="826" t="s">
        <v>3347</v>
      </c>
      <c r="G273" s="798" t="s">
        <v>2521</v>
      </c>
      <c r="H273" s="798" t="s">
        <v>2522</v>
      </c>
      <c r="I273" s="812">
        <v>1169.6400000000001</v>
      </c>
      <c r="J273" s="812">
        <v>15</v>
      </c>
      <c r="K273" s="813">
        <v>17544.62</v>
      </c>
    </row>
    <row r="274" spans="1:11" ht="14.4" customHeight="1" x14ac:dyDescent="0.3">
      <c r="A274" s="794" t="s">
        <v>591</v>
      </c>
      <c r="B274" s="795" t="s">
        <v>592</v>
      </c>
      <c r="C274" s="798" t="s">
        <v>2074</v>
      </c>
      <c r="D274" s="826" t="s">
        <v>3345</v>
      </c>
      <c r="E274" s="798" t="s">
        <v>3346</v>
      </c>
      <c r="F274" s="826" t="s">
        <v>3347</v>
      </c>
      <c r="G274" s="798" t="s">
        <v>2523</v>
      </c>
      <c r="H274" s="798" t="s">
        <v>2524</v>
      </c>
      <c r="I274" s="812">
        <v>580.49</v>
      </c>
      <c r="J274" s="812">
        <v>3</v>
      </c>
      <c r="K274" s="813">
        <v>1741.47</v>
      </c>
    </row>
    <row r="275" spans="1:11" ht="14.4" customHeight="1" x14ac:dyDescent="0.3">
      <c r="A275" s="794" t="s">
        <v>591</v>
      </c>
      <c r="B275" s="795" t="s">
        <v>592</v>
      </c>
      <c r="C275" s="798" t="s">
        <v>2074</v>
      </c>
      <c r="D275" s="826" t="s">
        <v>3345</v>
      </c>
      <c r="E275" s="798" t="s">
        <v>3346</v>
      </c>
      <c r="F275" s="826" t="s">
        <v>3347</v>
      </c>
      <c r="G275" s="798" t="s">
        <v>2525</v>
      </c>
      <c r="H275" s="798" t="s">
        <v>2526</v>
      </c>
      <c r="I275" s="812">
        <v>1169.6400000000001</v>
      </c>
      <c r="J275" s="812">
        <v>12</v>
      </c>
      <c r="K275" s="813">
        <v>14035.7</v>
      </c>
    </row>
    <row r="276" spans="1:11" ht="14.4" customHeight="1" x14ac:dyDescent="0.3">
      <c r="A276" s="794" t="s">
        <v>591</v>
      </c>
      <c r="B276" s="795" t="s">
        <v>592</v>
      </c>
      <c r="C276" s="798" t="s">
        <v>2074</v>
      </c>
      <c r="D276" s="826" t="s">
        <v>3345</v>
      </c>
      <c r="E276" s="798" t="s">
        <v>3346</v>
      </c>
      <c r="F276" s="826" t="s">
        <v>3347</v>
      </c>
      <c r="G276" s="798" t="s">
        <v>2527</v>
      </c>
      <c r="H276" s="798" t="s">
        <v>2528</v>
      </c>
      <c r="I276" s="812">
        <v>1185.24</v>
      </c>
      <c r="J276" s="812">
        <v>1</v>
      </c>
      <c r="K276" s="813">
        <v>1185.24</v>
      </c>
    </row>
    <row r="277" spans="1:11" ht="14.4" customHeight="1" x14ac:dyDescent="0.3">
      <c r="A277" s="794" t="s">
        <v>591</v>
      </c>
      <c r="B277" s="795" t="s">
        <v>592</v>
      </c>
      <c r="C277" s="798" t="s">
        <v>2074</v>
      </c>
      <c r="D277" s="826" t="s">
        <v>3345</v>
      </c>
      <c r="E277" s="798" t="s">
        <v>3346</v>
      </c>
      <c r="F277" s="826" t="s">
        <v>3347</v>
      </c>
      <c r="G277" s="798" t="s">
        <v>2529</v>
      </c>
      <c r="H277" s="798" t="s">
        <v>2530</v>
      </c>
      <c r="I277" s="812">
        <v>878.72</v>
      </c>
      <c r="J277" s="812">
        <v>2</v>
      </c>
      <c r="K277" s="813">
        <v>1757.43</v>
      </c>
    </row>
    <row r="278" spans="1:11" ht="14.4" customHeight="1" x14ac:dyDescent="0.3">
      <c r="A278" s="794" t="s">
        <v>591</v>
      </c>
      <c r="B278" s="795" t="s">
        <v>592</v>
      </c>
      <c r="C278" s="798" t="s">
        <v>2074</v>
      </c>
      <c r="D278" s="826" t="s">
        <v>3345</v>
      </c>
      <c r="E278" s="798" t="s">
        <v>3346</v>
      </c>
      <c r="F278" s="826" t="s">
        <v>3347</v>
      </c>
      <c r="G278" s="798" t="s">
        <v>2531</v>
      </c>
      <c r="H278" s="798" t="s">
        <v>2532</v>
      </c>
      <c r="I278" s="812">
        <v>878.72</v>
      </c>
      <c r="J278" s="812">
        <v>4</v>
      </c>
      <c r="K278" s="813">
        <v>3514.87</v>
      </c>
    </row>
    <row r="279" spans="1:11" ht="14.4" customHeight="1" x14ac:dyDescent="0.3">
      <c r="A279" s="794" t="s">
        <v>591</v>
      </c>
      <c r="B279" s="795" t="s">
        <v>592</v>
      </c>
      <c r="C279" s="798" t="s">
        <v>2074</v>
      </c>
      <c r="D279" s="826" t="s">
        <v>3345</v>
      </c>
      <c r="E279" s="798" t="s">
        <v>3346</v>
      </c>
      <c r="F279" s="826" t="s">
        <v>3347</v>
      </c>
      <c r="G279" s="798" t="s">
        <v>2533</v>
      </c>
      <c r="H279" s="798" t="s">
        <v>2534</v>
      </c>
      <c r="I279" s="812">
        <v>878.72</v>
      </c>
      <c r="J279" s="812">
        <v>1</v>
      </c>
      <c r="K279" s="813">
        <v>878.72</v>
      </c>
    </row>
    <row r="280" spans="1:11" ht="14.4" customHeight="1" x14ac:dyDescent="0.3">
      <c r="A280" s="794" t="s">
        <v>591</v>
      </c>
      <c r="B280" s="795" t="s">
        <v>592</v>
      </c>
      <c r="C280" s="798" t="s">
        <v>2074</v>
      </c>
      <c r="D280" s="826" t="s">
        <v>3345</v>
      </c>
      <c r="E280" s="798" t="s">
        <v>3346</v>
      </c>
      <c r="F280" s="826" t="s">
        <v>3347</v>
      </c>
      <c r="G280" s="798" t="s">
        <v>2535</v>
      </c>
      <c r="H280" s="798" t="s">
        <v>2536</v>
      </c>
      <c r="I280" s="812">
        <v>6662.06</v>
      </c>
      <c r="J280" s="812">
        <v>1</v>
      </c>
      <c r="K280" s="813">
        <v>6662.06</v>
      </c>
    </row>
    <row r="281" spans="1:11" ht="14.4" customHeight="1" x14ac:dyDescent="0.3">
      <c r="A281" s="794" t="s">
        <v>591</v>
      </c>
      <c r="B281" s="795" t="s">
        <v>592</v>
      </c>
      <c r="C281" s="798" t="s">
        <v>2074</v>
      </c>
      <c r="D281" s="826" t="s">
        <v>3345</v>
      </c>
      <c r="E281" s="798" t="s">
        <v>3346</v>
      </c>
      <c r="F281" s="826" t="s">
        <v>3347</v>
      </c>
      <c r="G281" s="798" t="s">
        <v>2537</v>
      </c>
      <c r="H281" s="798" t="s">
        <v>2538</v>
      </c>
      <c r="I281" s="812">
        <v>195.90666666666667</v>
      </c>
      <c r="J281" s="812">
        <v>3</v>
      </c>
      <c r="K281" s="813">
        <v>587.72</v>
      </c>
    </row>
    <row r="282" spans="1:11" ht="14.4" customHeight="1" x14ac:dyDescent="0.3">
      <c r="A282" s="794" t="s">
        <v>591</v>
      </c>
      <c r="B282" s="795" t="s">
        <v>592</v>
      </c>
      <c r="C282" s="798" t="s">
        <v>2074</v>
      </c>
      <c r="D282" s="826" t="s">
        <v>3345</v>
      </c>
      <c r="E282" s="798" t="s">
        <v>3346</v>
      </c>
      <c r="F282" s="826" t="s">
        <v>3347</v>
      </c>
      <c r="G282" s="798" t="s">
        <v>2539</v>
      </c>
      <c r="H282" s="798" t="s">
        <v>2540</v>
      </c>
      <c r="I282" s="812">
        <v>5442.95</v>
      </c>
      <c r="J282" s="812">
        <v>1</v>
      </c>
      <c r="K282" s="813">
        <v>5442.95</v>
      </c>
    </row>
    <row r="283" spans="1:11" ht="14.4" customHeight="1" x14ac:dyDescent="0.3">
      <c r="A283" s="794" t="s">
        <v>591</v>
      </c>
      <c r="B283" s="795" t="s">
        <v>592</v>
      </c>
      <c r="C283" s="798" t="s">
        <v>2074</v>
      </c>
      <c r="D283" s="826" t="s">
        <v>3345</v>
      </c>
      <c r="E283" s="798" t="s">
        <v>3346</v>
      </c>
      <c r="F283" s="826" t="s">
        <v>3347</v>
      </c>
      <c r="G283" s="798" t="s">
        <v>2541</v>
      </c>
      <c r="H283" s="798" t="s">
        <v>2542</v>
      </c>
      <c r="I283" s="812">
        <v>935.72</v>
      </c>
      <c r="J283" s="812">
        <v>1</v>
      </c>
      <c r="K283" s="813">
        <v>935.72</v>
      </c>
    </row>
    <row r="284" spans="1:11" ht="14.4" customHeight="1" x14ac:dyDescent="0.3">
      <c r="A284" s="794" t="s">
        <v>591</v>
      </c>
      <c r="B284" s="795" t="s">
        <v>592</v>
      </c>
      <c r="C284" s="798" t="s">
        <v>2074</v>
      </c>
      <c r="D284" s="826" t="s">
        <v>3345</v>
      </c>
      <c r="E284" s="798" t="s">
        <v>3346</v>
      </c>
      <c r="F284" s="826" t="s">
        <v>3347</v>
      </c>
      <c r="G284" s="798" t="s">
        <v>2543</v>
      </c>
      <c r="H284" s="798" t="s">
        <v>2544</v>
      </c>
      <c r="I284" s="812">
        <v>4312.5</v>
      </c>
      <c r="J284" s="812">
        <v>2</v>
      </c>
      <c r="K284" s="813">
        <v>8625</v>
      </c>
    </row>
    <row r="285" spans="1:11" ht="14.4" customHeight="1" x14ac:dyDescent="0.3">
      <c r="A285" s="794" t="s">
        <v>591</v>
      </c>
      <c r="B285" s="795" t="s">
        <v>592</v>
      </c>
      <c r="C285" s="798" t="s">
        <v>2074</v>
      </c>
      <c r="D285" s="826" t="s">
        <v>3345</v>
      </c>
      <c r="E285" s="798" t="s">
        <v>3346</v>
      </c>
      <c r="F285" s="826" t="s">
        <v>3347</v>
      </c>
      <c r="G285" s="798" t="s">
        <v>2545</v>
      </c>
      <c r="H285" s="798" t="s">
        <v>2546</v>
      </c>
      <c r="I285" s="812">
        <v>680.67</v>
      </c>
      <c r="J285" s="812">
        <v>2</v>
      </c>
      <c r="K285" s="813">
        <v>1361.35</v>
      </c>
    </row>
    <row r="286" spans="1:11" ht="14.4" customHeight="1" x14ac:dyDescent="0.3">
      <c r="A286" s="794" t="s">
        <v>591</v>
      </c>
      <c r="B286" s="795" t="s">
        <v>592</v>
      </c>
      <c r="C286" s="798" t="s">
        <v>2074</v>
      </c>
      <c r="D286" s="826" t="s">
        <v>3345</v>
      </c>
      <c r="E286" s="798" t="s">
        <v>3346</v>
      </c>
      <c r="F286" s="826" t="s">
        <v>3347</v>
      </c>
      <c r="G286" s="798" t="s">
        <v>2547</v>
      </c>
      <c r="H286" s="798" t="s">
        <v>2548</v>
      </c>
      <c r="I286" s="812">
        <v>770.99</v>
      </c>
      <c r="J286" s="812">
        <v>2</v>
      </c>
      <c r="K286" s="813">
        <v>1541.97</v>
      </c>
    </row>
    <row r="287" spans="1:11" ht="14.4" customHeight="1" x14ac:dyDescent="0.3">
      <c r="A287" s="794" t="s">
        <v>591</v>
      </c>
      <c r="B287" s="795" t="s">
        <v>592</v>
      </c>
      <c r="C287" s="798" t="s">
        <v>2074</v>
      </c>
      <c r="D287" s="826" t="s">
        <v>3345</v>
      </c>
      <c r="E287" s="798" t="s">
        <v>3346</v>
      </c>
      <c r="F287" s="826" t="s">
        <v>3347</v>
      </c>
      <c r="G287" s="798" t="s">
        <v>2549</v>
      </c>
      <c r="H287" s="798" t="s">
        <v>2550</v>
      </c>
      <c r="I287" s="812">
        <v>939.62</v>
      </c>
      <c r="J287" s="812">
        <v>12</v>
      </c>
      <c r="K287" s="813">
        <v>11275.44</v>
      </c>
    </row>
    <row r="288" spans="1:11" ht="14.4" customHeight="1" x14ac:dyDescent="0.3">
      <c r="A288" s="794" t="s">
        <v>591</v>
      </c>
      <c r="B288" s="795" t="s">
        <v>592</v>
      </c>
      <c r="C288" s="798" t="s">
        <v>2074</v>
      </c>
      <c r="D288" s="826" t="s">
        <v>3345</v>
      </c>
      <c r="E288" s="798" t="s">
        <v>3346</v>
      </c>
      <c r="F288" s="826" t="s">
        <v>3347</v>
      </c>
      <c r="G288" s="798" t="s">
        <v>2551</v>
      </c>
      <c r="H288" s="798" t="s">
        <v>2552</v>
      </c>
      <c r="I288" s="812">
        <v>1135.44</v>
      </c>
      <c r="J288" s="812">
        <v>8</v>
      </c>
      <c r="K288" s="813">
        <v>9083.52</v>
      </c>
    </row>
    <row r="289" spans="1:11" ht="14.4" customHeight="1" x14ac:dyDescent="0.3">
      <c r="A289" s="794" t="s">
        <v>591</v>
      </c>
      <c r="B289" s="795" t="s">
        <v>592</v>
      </c>
      <c r="C289" s="798" t="s">
        <v>2074</v>
      </c>
      <c r="D289" s="826" t="s">
        <v>3345</v>
      </c>
      <c r="E289" s="798" t="s">
        <v>3346</v>
      </c>
      <c r="F289" s="826" t="s">
        <v>3347</v>
      </c>
      <c r="G289" s="798" t="s">
        <v>2553</v>
      </c>
      <c r="H289" s="798" t="s">
        <v>2554</v>
      </c>
      <c r="I289" s="812">
        <v>195.90833333333333</v>
      </c>
      <c r="J289" s="812">
        <v>8</v>
      </c>
      <c r="K289" s="813">
        <v>1567.28</v>
      </c>
    </row>
    <row r="290" spans="1:11" ht="14.4" customHeight="1" x14ac:dyDescent="0.3">
      <c r="A290" s="794" t="s">
        <v>591</v>
      </c>
      <c r="B290" s="795" t="s">
        <v>592</v>
      </c>
      <c r="C290" s="798" t="s">
        <v>2074</v>
      </c>
      <c r="D290" s="826" t="s">
        <v>3345</v>
      </c>
      <c r="E290" s="798" t="s">
        <v>3346</v>
      </c>
      <c r="F290" s="826" t="s">
        <v>3347</v>
      </c>
      <c r="G290" s="798" t="s">
        <v>2555</v>
      </c>
      <c r="H290" s="798" t="s">
        <v>2556</v>
      </c>
      <c r="I290" s="812">
        <v>527.85</v>
      </c>
      <c r="J290" s="812">
        <v>2</v>
      </c>
      <c r="K290" s="813">
        <v>1055.7</v>
      </c>
    </row>
    <row r="291" spans="1:11" ht="14.4" customHeight="1" x14ac:dyDescent="0.3">
      <c r="A291" s="794" t="s">
        <v>591</v>
      </c>
      <c r="B291" s="795" t="s">
        <v>592</v>
      </c>
      <c r="C291" s="798" t="s">
        <v>2074</v>
      </c>
      <c r="D291" s="826" t="s">
        <v>3345</v>
      </c>
      <c r="E291" s="798" t="s">
        <v>3346</v>
      </c>
      <c r="F291" s="826" t="s">
        <v>3347</v>
      </c>
      <c r="G291" s="798" t="s">
        <v>2557</v>
      </c>
      <c r="H291" s="798" t="s">
        <v>2558</v>
      </c>
      <c r="I291" s="812">
        <v>943</v>
      </c>
      <c r="J291" s="812">
        <v>2</v>
      </c>
      <c r="K291" s="813">
        <v>1886</v>
      </c>
    </row>
    <row r="292" spans="1:11" ht="14.4" customHeight="1" x14ac:dyDescent="0.3">
      <c r="A292" s="794" t="s">
        <v>591</v>
      </c>
      <c r="B292" s="795" t="s">
        <v>592</v>
      </c>
      <c r="C292" s="798" t="s">
        <v>2074</v>
      </c>
      <c r="D292" s="826" t="s">
        <v>3345</v>
      </c>
      <c r="E292" s="798" t="s">
        <v>3346</v>
      </c>
      <c r="F292" s="826" t="s">
        <v>3347</v>
      </c>
      <c r="G292" s="798" t="s">
        <v>2559</v>
      </c>
      <c r="H292" s="798" t="s">
        <v>2560</v>
      </c>
      <c r="I292" s="812">
        <v>943</v>
      </c>
      <c r="J292" s="812">
        <v>9</v>
      </c>
      <c r="K292" s="813">
        <v>8487</v>
      </c>
    </row>
    <row r="293" spans="1:11" ht="14.4" customHeight="1" x14ac:dyDescent="0.3">
      <c r="A293" s="794" t="s">
        <v>591</v>
      </c>
      <c r="B293" s="795" t="s">
        <v>592</v>
      </c>
      <c r="C293" s="798" t="s">
        <v>2074</v>
      </c>
      <c r="D293" s="826" t="s">
        <v>3345</v>
      </c>
      <c r="E293" s="798" t="s">
        <v>3346</v>
      </c>
      <c r="F293" s="826" t="s">
        <v>3347</v>
      </c>
      <c r="G293" s="798" t="s">
        <v>2561</v>
      </c>
      <c r="H293" s="798" t="s">
        <v>2562</v>
      </c>
      <c r="I293" s="812">
        <v>9154</v>
      </c>
      <c r="J293" s="812">
        <v>1</v>
      </c>
      <c r="K293" s="813">
        <v>9154</v>
      </c>
    </row>
    <row r="294" spans="1:11" ht="14.4" customHeight="1" x14ac:dyDescent="0.3">
      <c r="A294" s="794" t="s">
        <v>591</v>
      </c>
      <c r="B294" s="795" t="s">
        <v>592</v>
      </c>
      <c r="C294" s="798" t="s">
        <v>2074</v>
      </c>
      <c r="D294" s="826" t="s">
        <v>3345</v>
      </c>
      <c r="E294" s="798" t="s">
        <v>3346</v>
      </c>
      <c r="F294" s="826" t="s">
        <v>3347</v>
      </c>
      <c r="G294" s="798" t="s">
        <v>2563</v>
      </c>
      <c r="H294" s="798" t="s">
        <v>2564</v>
      </c>
      <c r="I294" s="812">
        <v>990.15</v>
      </c>
      <c r="J294" s="812">
        <v>3</v>
      </c>
      <c r="K294" s="813">
        <v>2970.45</v>
      </c>
    </row>
    <row r="295" spans="1:11" ht="14.4" customHeight="1" x14ac:dyDescent="0.3">
      <c r="A295" s="794" t="s">
        <v>591</v>
      </c>
      <c r="B295" s="795" t="s">
        <v>592</v>
      </c>
      <c r="C295" s="798" t="s">
        <v>2074</v>
      </c>
      <c r="D295" s="826" t="s">
        <v>3345</v>
      </c>
      <c r="E295" s="798" t="s">
        <v>3346</v>
      </c>
      <c r="F295" s="826" t="s">
        <v>3347</v>
      </c>
      <c r="G295" s="798" t="s">
        <v>2565</v>
      </c>
      <c r="H295" s="798" t="s">
        <v>2566</v>
      </c>
      <c r="I295" s="812">
        <v>527.85</v>
      </c>
      <c r="J295" s="812">
        <v>14</v>
      </c>
      <c r="K295" s="813">
        <v>7389.9000000000005</v>
      </c>
    </row>
    <row r="296" spans="1:11" ht="14.4" customHeight="1" x14ac:dyDescent="0.3">
      <c r="A296" s="794" t="s">
        <v>591</v>
      </c>
      <c r="B296" s="795" t="s">
        <v>592</v>
      </c>
      <c r="C296" s="798" t="s">
        <v>2074</v>
      </c>
      <c r="D296" s="826" t="s">
        <v>3345</v>
      </c>
      <c r="E296" s="798" t="s">
        <v>3346</v>
      </c>
      <c r="F296" s="826" t="s">
        <v>3347</v>
      </c>
      <c r="G296" s="798" t="s">
        <v>2567</v>
      </c>
      <c r="H296" s="798" t="s">
        <v>2568</v>
      </c>
      <c r="I296" s="812">
        <v>1856.1</v>
      </c>
      <c r="J296" s="812">
        <v>2</v>
      </c>
      <c r="K296" s="813">
        <v>3712.2</v>
      </c>
    </row>
    <row r="297" spans="1:11" ht="14.4" customHeight="1" x14ac:dyDescent="0.3">
      <c r="A297" s="794" t="s">
        <v>591</v>
      </c>
      <c r="B297" s="795" t="s">
        <v>592</v>
      </c>
      <c r="C297" s="798" t="s">
        <v>2074</v>
      </c>
      <c r="D297" s="826" t="s">
        <v>3345</v>
      </c>
      <c r="E297" s="798" t="s">
        <v>3346</v>
      </c>
      <c r="F297" s="826" t="s">
        <v>3347</v>
      </c>
      <c r="G297" s="798" t="s">
        <v>2569</v>
      </c>
      <c r="H297" s="798" t="s">
        <v>2570</v>
      </c>
      <c r="I297" s="812">
        <v>426.92</v>
      </c>
      <c r="J297" s="812">
        <v>1</v>
      </c>
      <c r="K297" s="813">
        <v>426.92</v>
      </c>
    </row>
    <row r="298" spans="1:11" ht="14.4" customHeight="1" x14ac:dyDescent="0.3">
      <c r="A298" s="794" t="s">
        <v>591</v>
      </c>
      <c r="B298" s="795" t="s">
        <v>592</v>
      </c>
      <c r="C298" s="798" t="s">
        <v>2074</v>
      </c>
      <c r="D298" s="826" t="s">
        <v>3345</v>
      </c>
      <c r="E298" s="798" t="s">
        <v>3346</v>
      </c>
      <c r="F298" s="826" t="s">
        <v>3347</v>
      </c>
      <c r="G298" s="798" t="s">
        <v>2571</v>
      </c>
      <c r="H298" s="798" t="s">
        <v>2572</v>
      </c>
      <c r="I298" s="812">
        <v>426.91</v>
      </c>
      <c r="J298" s="812">
        <v>1</v>
      </c>
      <c r="K298" s="813">
        <v>426.91</v>
      </c>
    </row>
    <row r="299" spans="1:11" ht="14.4" customHeight="1" x14ac:dyDescent="0.3">
      <c r="A299" s="794" t="s">
        <v>591</v>
      </c>
      <c r="B299" s="795" t="s">
        <v>592</v>
      </c>
      <c r="C299" s="798" t="s">
        <v>2074</v>
      </c>
      <c r="D299" s="826" t="s">
        <v>3345</v>
      </c>
      <c r="E299" s="798" t="s">
        <v>3346</v>
      </c>
      <c r="F299" s="826" t="s">
        <v>3347</v>
      </c>
      <c r="G299" s="798" t="s">
        <v>2573</v>
      </c>
      <c r="H299" s="798" t="s">
        <v>2574</v>
      </c>
      <c r="I299" s="812">
        <v>294.36</v>
      </c>
      <c r="J299" s="812">
        <v>1</v>
      </c>
      <c r="K299" s="813">
        <v>294.36</v>
      </c>
    </row>
    <row r="300" spans="1:11" ht="14.4" customHeight="1" x14ac:dyDescent="0.3">
      <c r="A300" s="794" t="s">
        <v>591</v>
      </c>
      <c r="B300" s="795" t="s">
        <v>592</v>
      </c>
      <c r="C300" s="798" t="s">
        <v>2074</v>
      </c>
      <c r="D300" s="826" t="s">
        <v>3345</v>
      </c>
      <c r="E300" s="798" t="s">
        <v>3346</v>
      </c>
      <c r="F300" s="826" t="s">
        <v>3347</v>
      </c>
      <c r="G300" s="798" t="s">
        <v>2575</v>
      </c>
      <c r="H300" s="798" t="s">
        <v>2576</v>
      </c>
      <c r="I300" s="812">
        <v>6253.875</v>
      </c>
      <c r="J300" s="812">
        <v>2</v>
      </c>
      <c r="K300" s="813">
        <v>12507.75</v>
      </c>
    </row>
    <row r="301" spans="1:11" ht="14.4" customHeight="1" x14ac:dyDescent="0.3">
      <c r="A301" s="794" t="s">
        <v>591</v>
      </c>
      <c r="B301" s="795" t="s">
        <v>592</v>
      </c>
      <c r="C301" s="798" t="s">
        <v>2074</v>
      </c>
      <c r="D301" s="826" t="s">
        <v>3345</v>
      </c>
      <c r="E301" s="798" t="s">
        <v>3346</v>
      </c>
      <c r="F301" s="826" t="s">
        <v>3347</v>
      </c>
      <c r="G301" s="798" t="s">
        <v>2577</v>
      </c>
      <c r="H301" s="798" t="s">
        <v>2578</v>
      </c>
      <c r="I301" s="812">
        <v>1322.6775</v>
      </c>
      <c r="J301" s="812">
        <v>5</v>
      </c>
      <c r="K301" s="813">
        <v>6613.3899999999994</v>
      </c>
    </row>
    <row r="302" spans="1:11" ht="14.4" customHeight="1" x14ac:dyDescent="0.3">
      <c r="A302" s="794" t="s">
        <v>591</v>
      </c>
      <c r="B302" s="795" t="s">
        <v>592</v>
      </c>
      <c r="C302" s="798" t="s">
        <v>2074</v>
      </c>
      <c r="D302" s="826" t="s">
        <v>3345</v>
      </c>
      <c r="E302" s="798" t="s">
        <v>3346</v>
      </c>
      <c r="F302" s="826" t="s">
        <v>3347</v>
      </c>
      <c r="G302" s="798" t="s">
        <v>2579</v>
      </c>
      <c r="H302" s="798" t="s">
        <v>2580</v>
      </c>
      <c r="I302" s="812">
        <v>1089.72</v>
      </c>
      <c r="J302" s="812">
        <v>2</v>
      </c>
      <c r="K302" s="813">
        <v>2179.44</v>
      </c>
    </row>
    <row r="303" spans="1:11" ht="14.4" customHeight="1" x14ac:dyDescent="0.3">
      <c r="A303" s="794" t="s">
        <v>591</v>
      </c>
      <c r="B303" s="795" t="s">
        <v>592</v>
      </c>
      <c r="C303" s="798" t="s">
        <v>2074</v>
      </c>
      <c r="D303" s="826" t="s">
        <v>3345</v>
      </c>
      <c r="E303" s="798" t="s">
        <v>3346</v>
      </c>
      <c r="F303" s="826" t="s">
        <v>3347</v>
      </c>
      <c r="G303" s="798" t="s">
        <v>2581</v>
      </c>
      <c r="H303" s="798" t="s">
        <v>2582</v>
      </c>
      <c r="I303" s="812">
        <v>4600</v>
      </c>
      <c r="J303" s="812">
        <v>5</v>
      </c>
      <c r="K303" s="813">
        <v>23000</v>
      </c>
    </row>
    <row r="304" spans="1:11" ht="14.4" customHeight="1" x14ac:dyDescent="0.3">
      <c r="A304" s="794" t="s">
        <v>591</v>
      </c>
      <c r="B304" s="795" t="s">
        <v>592</v>
      </c>
      <c r="C304" s="798" t="s">
        <v>2074</v>
      </c>
      <c r="D304" s="826" t="s">
        <v>3345</v>
      </c>
      <c r="E304" s="798" t="s">
        <v>3346</v>
      </c>
      <c r="F304" s="826" t="s">
        <v>3347</v>
      </c>
      <c r="G304" s="798" t="s">
        <v>2583</v>
      </c>
      <c r="H304" s="798" t="s">
        <v>2584</v>
      </c>
      <c r="I304" s="812">
        <v>4312.5</v>
      </c>
      <c r="J304" s="812">
        <v>1</v>
      </c>
      <c r="K304" s="813">
        <v>4312.5</v>
      </c>
    </row>
    <row r="305" spans="1:11" ht="14.4" customHeight="1" x14ac:dyDescent="0.3">
      <c r="A305" s="794" t="s">
        <v>591</v>
      </c>
      <c r="B305" s="795" t="s">
        <v>592</v>
      </c>
      <c r="C305" s="798" t="s">
        <v>2074</v>
      </c>
      <c r="D305" s="826" t="s">
        <v>3345</v>
      </c>
      <c r="E305" s="798" t="s">
        <v>3346</v>
      </c>
      <c r="F305" s="826" t="s">
        <v>3347</v>
      </c>
      <c r="G305" s="798" t="s">
        <v>2585</v>
      </c>
      <c r="H305" s="798" t="s">
        <v>2586</v>
      </c>
      <c r="I305" s="812">
        <v>527.85</v>
      </c>
      <c r="J305" s="812">
        <v>14</v>
      </c>
      <c r="K305" s="813">
        <v>7389.9000000000005</v>
      </c>
    </row>
    <row r="306" spans="1:11" ht="14.4" customHeight="1" x14ac:dyDescent="0.3">
      <c r="A306" s="794" t="s">
        <v>591</v>
      </c>
      <c r="B306" s="795" t="s">
        <v>592</v>
      </c>
      <c r="C306" s="798" t="s">
        <v>2074</v>
      </c>
      <c r="D306" s="826" t="s">
        <v>3345</v>
      </c>
      <c r="E306" s="798" t="s">
        <v>3346</v>
      </c>
      <c r="F306" s="826" t="s">
        <v>3347</v>
      </c>
      <c r="G306" s="798" t="s">
        <v>2587</v>
      </c>
      <c r="H306" s="798" t="s">
        <v>2588</v>
      </c>
      <c r="I306" s="812">
        <v>3795</v>
      </c>
      <c r="J306" s="812">
        <v>1</v>
      </c>
      <c r="K306" s="813">
        <v>3795</v>
      </c>
    </row>
    <row r="307" spans="1:11" ht="14.4" customHeight="1" x14ac:dyDescent="0.3">
      <c r="A307" s="794" t="s">
        <v>591</v>
      </c>
      <c r="B307" s="795" t="s">
        <v>592</v>
      </c>
      <c r="C307" s="798" t="s">
        <v>2074</v>
      </c>
      <c r="D307" s="826" t="s">
        <v>3345</v>
      </c>
      <c r="E307" s="798" t="s">
        <v>3346</v>
      </c>
      <c r="F307" s="826" t="s">
        <v>3347</v>
      </c>
      <c r="G307" s="798" t="s">
        <v>2589</v>
      </c>
      <c r="H307" s="798" t="s">
        <v>2590</v>
      </c>
      <c r="I307" s="812">
        <v>281.68571428571431</v>
      </c>
      <c r="J307" s="812">
        <v>11</v>
      </c>
      <c r="K307" s="813">
        <v>3098.58</v>
      </c>
    </row>
    <row r="308" spans="1:11" ht="14.4" customHeight="1" x14ac:dyDescent="0.3">
      <c r="A308" s="794" t="s">
        <v>591</v>
      </c>
      <c r="B308" s="795" t="s">
        <v>592</v>
      </c>
      <c r="C308" s="798" t="s">
        <v>2074</v>
      </c>
      <c r="D308" s="826" t="s">
        <v>3345</v>
      </c>
      <c r="E308" s="798" t="s">
        <v>3346</v>
      </c>
      <c r="F308" s="826" t="s">
        <v>3347</v>
      </c>
      <c r="G308" s="798" t="s">
        <v>2591</v>
      </c>
      <c r="H308" s="798" t="s">
        <v>2592</v>
      </c>
      <c r="I308" s="812">
        <v>588.91999999999996</v>
      </c>
      <c r="J308" s="812">
        <v>2</v>
      </c>
      <c r="K308" s="813">
        <v>1177.8399999999999</v>
      </c>
    </row>
    <row r="309" spans="1:11" ht="14.4" customHeight="1" x14ac:dyDescent="0.3">
      <c r="A309" s="794" t="s">
        <v>591</v>
      </c>
      <c r="B309" s="795" t="s">
        <v>592</v>
      </c>
      <c r="C309" s="798" t="s">
        <v>2074</v>
      </c>
      <c r="D309" s="826" t="s">
        <v>3345</v>
      </c>
      <c r="E309" s="798" t="s">
        <v>3346</v>
      </c>
      <c r="F309" s="826" t="s">
        <v>3347</v>
      </c>
      <c r="G309" s="798" t="s">
        <v>2593</v>
      </c>
      <c r="H309" s="798" t="s">
        <v>2594</v>
      </c>
      <c r="I309" s="812">
        <v>248.4</v>
      </c>
      <c r="J309" s="812">
        <v>2</v>
      </c>
      <c r="K309" s="813">
        <v>496.8</v>
      </c>
    </row>
    <row r="310" spans="1:11" ht="14.4" customHeight="1" x14ac:dyDescent="0.3">
      <c r="A310" s="794" t="s">
        <v>591</v>
      </c>
      <c r="B310" s="795" t="s">
        <v>592</v>
      </c>
      <c r="C310" s="798" t="s">
        <v>2074</v>
      </c>
      <c r="D310" s="826" t="s">
        <v>3345</v>
      </c>
      <c r="E310" s="798" t="s">
        <v>3346</v>
      </c>
      <c r="F310" s="826" t="s">
        <v>3347</v>
      </c>
      <c r="G310" s="798" t="s">
        <v>2595</v>
      </c>
      <c r="H310" s="798" t="s">
        <v>2596</v>
      </c>
      <c r="I310" s="812">
        <v>1856.0999999999997</v>
      </c>
      <c r="J310" s="812">
        <v>3</v>
      </c>
      <c r="K310" s="813">
        <v>5568.2999999999993</v>
      </c>
    </row>
    <row r="311" spans="1:11" ht="14.4" customHeight="1" x14ac:dyDescent="0.3">
      <c r="A311" s="794" t="s">
        <v>591</v>
      </c>
      <c r="B311" s="795" t="s">
        <v>592</v>
      </c>
      <c r="C311" s="798" t="s">
        <v>2074</v>
      </c>
      <c r="D311" s="826" t="s">
        <v>3345</v>
      </c>
      <c r="E311" s="798" t="s">
        <v>3346</v>
      </c>
      <c r="F311" s="826" t="s">
        <v>3347</v>
      </c>
      <c r="G311" s="798" t="s">
        <v>2597</v>
      </c>
      <c r="H311" s="798" t="s">
        <v>2598</v>
      </c>
      <c r="I311" s="812">
        <v>3510.26</v>
      </c>
      <c r="J311" s="812">
        <v>1</v>
      </c>
      <c r="K311" s="813">
        <v>3510.26</v>
      </c>
    </row>
    <row r="312" spans="1:11" ht="14.4" customHeight="1" x14ac:dyDescent="0.3">
      <c r="A312" s="794" t="s">
        <v>591</v>
      </c>
      <c r="B312" s="795" t="s">
        <v>592</v>
      </c>
      <c r="C312" s="798" t="s">
        <v>2074</v>
      </c>
      <c r="D312" s="826" t="s">
        <v>3345</v>
      </c>
      <c r="E312" s="798" t="s">
        <v>3346</v>
      </c>
      <c r="F312" s="826" t="s">
        <v>3347</v>
      </c>
      <c r="G312" s="798" t="s">
        <v>2599</v>
      </c>
      <c r="H312" s="798" t="s">
        <v>2600</v>
      </c>
      <c r="I312" s="812">
        <v>939.63333333333333</v>
      </c>
      <c r="J312" s="812">
        <v>11</v>
      </c>
      <c r="K312" s="813">
        <v>10335.9</v>
      </c>
    </row>
    <row r="313" spans="1:11" ht="14.4" customHeight="1" x14ac:dyDescent="0.3">
      <c r="A313" s="794" t="s">
        <v>591</v>
      </c>
      <c r="B313" s="795" t="s">
        <v>592</v>
      </c>
      <c r="C313" s="798" t="s">
        <v>2074</v>
      </c>
      <c r="D313" s="826" t="s">
        <v>3345</v>
      </c>
      <c r="E313" s="798" t="s">
        <v>3346</v>
      </c>
      <c r="F313" s="826" t="s">
        <v>3347</v>
      </c>
      <c r="G313" s="798" t="s">
        <v>2601</v>
      </c>
      <c r="H313" s="798" t="s">
        <v>2602</v>
      </c>
      <c r="I313" s="812">
        <v>11408</v>
      </c>
      <c r="J313" s="812">
        <v>2</v>
      </c>
      <c r="K313" s="813">
        <v>22816</v>
      </c>
    </row>
    <row r="314" spans="1:11" ht="14.4" customHeight="1" x14ac:dyDescent="0.3">
      <c r="A314" s="794" t="s">
        <v>591</v>
      </c>
      <c r="B314" s="795" t="s">
        <v>592</v>
      </c>
      <c r="C314" s="798" t="s">
        <v>2074</v>
      </c>
      <c r="D314" s="826" t="s">
        <v>3345</v>
      </c>
      <c r="E314" s="798" t="s">
        <v>3346</v>
      </c>
      <c r="F314" s="826" t="s">
        <v>3347</v>
      </c>
      <c r="G314" s="798" t="s">
        <v>2603</v>
      </c>
      <c r="H314" s="798" t="s">
        <v>2604</v>
      </c>
      <c r="I314" s="812">
        <v>2162</v>
      </c>
      <c r="J314" s="812">
        <v>1</v>
      </c>
      <c r="K314" s="813">
        <v>2162</v>
      </c>
    </row>
    <row r="315" spans="1:11" ht="14.4" customHeight="1" x14ac:dyDescent="0.3">
      <c r="A315" s="794" t="s">
        <v>591</v>
      </c>
      <c r="B315" s="795" t="s">
        <v>592</v>
      </c>
      <c r="C315" s="798" t="s">
        <v>2074</v>
      </c>
      <c r="D315" s="826" t="s">
        <v>3345</v>
      </c>
      <c r="E315" s="798" t="s">
        <v>3346</v>
      </c>
      <c r="F315" s="826" t="s">
        <v>3347</v>
      </c>
      <c r="G315" s="798" t="s">
        <v>2605</v>
      </c>
      <c r="H315" s="798" t="s">
        <v>2606</v>
      </c>
      <c r="I315" s="812">
        <v>943</v>
      </c>
      <c r="J315" s="812">
        <v>3</v>
      </c>
      <c r="K315" s="813">
        <v>2829</v>
      </c>
    </row>
    <row r="316" spans="1:11" ht="14.4" customHeight="1" x14ac:dyDescent="0.3">
      <c r="A316" s="794" t="s">
        <v>591</v>
      </c>
      <c r="B316" s="795" t="s">
        <v>592</v>
      </c>
      <c r="C316" s="798" t="s">
        <v>2074</v>
      </c>
      <c r="D316" s="826" t="s">
        <v>3345</v>
      </c>
      <c r="E316" s="798" t="s">
        <v>3346</v>
      </c>
      <c r="F316" s="826" t="s">
        <v>3347</v>
      </c>
      <c r="G316" s="798" t="s">
        <v>2607</v>
      </c>
      <c r="H316" s="798" t="s">
        <v>2608</v>
      </c>
      <c r="I316" s="812">
        <v>1552.5</v>
      </c>
      <c r="J316" s="812">
        <v>1</v>
      </c>
      <c r="K316" s="813">
        <v>1552.5</v>
      </c>
    </row>
    <row r="317" spans="1:11" ht="14.4" customHeight="1" x14ac:dyDescent="0.3">
      <c r="A317" s="794" t="s">
        <v>591</v>
      </c>
      <c r="B317" s="795" t="s">
        <v>592</v>
      </c>
      <c r="C317" s="798" t="s">
        <v>2074</v>
      </c>
      <c r="D317" s="826" t="s">
        <v>3345</v>
      </c>
      <c r="E317" s="798" t="s">
        <v>3346</v>
      </c>
      <c r="F317" s="826" t="s">
        <v>3347</v>
      </c>
      <c r="G317" s="798" t="s">
        <v>2609</v>
      </c>
      <c r="H317" s="798" t="s">
        <v>2610</v>
      </c>
      <c r="I317" s="812">
        <v>3795</v>
      </c>
      <c r="J317" s="812">
        <v>3</v>
      </c>
      <c r="K317" s="813">
        <v>11385</v>
      </c>
    </row>
    <row r="318" spans="1:11" ht="14.4" customHeight="1" x14ac:dyDescent="0.3">
      <c r="A318" s="794" t="s">
        <v>591</v>
      </c>
      <c r="B318" s="795" t="s">
        <v>592</v>
      </c>
      <c r="C318" s="798" t="s">
        <v>2074</v>
      </c>
      <c r="D318" s="826" t="s">
        <v>3345</v>
      </c>
      <c r="E318" s="798" t="s">
        <v>3346</v>
      </c>
      <c r="F318" s="826" t="s">
        <v>3347</v>
      </c>
      <c r="G318" s="798" t="s">
        <v>2611</v>
      </c>
      <c r="H318" s="798" t="s">
        <v>2612</v>
      </c>
      <c r="I318" s="812">
        <v>527.85</v>
      </c>
      <c r="J318" s="812">
        <v>2</v>
      </c>
      <c r="K318" s="813">
        <v>1055.7</v>
      </c>
    </row>
    <row r="319" spans="1:11" ht="14.4" customHeight="1" x14ac:dyDescent="0.3">
      <c r="A319" s="794" t="s">
        <v>591</v>
      </c>
      <c r="B319" s="795" t="s">
        <v>592</v>
      </c>
      <c r="C319" s="798" t="s">
        <v>2074</v>
      </c>
      <c r="D319" s="826" t="s">
        <v>3345</v>
      </c>
      <c r="E319" s="798" t="s">
        <v>3346</v>
      </c>
      <c r="F319" s="826" t="s">
        <v>3347</v>
      </c>
      <c r="G319" s="798" t="s">
        <v>2613</v>
      </c>
      <c r="H319" s="798" t="s">
        <v>2614</v>
      </c>
      <c r="I319" s="812">
        <v>3795</v>
      </c>
      <c r="J319" s="812">
        <v>1</v>
      </c>
      <c r="K319" s="813">
        <v>3795</v>
      </c>
    </row>
    <row r="320" spans="1:11" ht="14.4" customHeight="1" x14ac:dyDescent="0.3">
      <c r="A320" s="794" t="s">
        <v>591</v>
      </c>
      <c r="B320" s="795" t="s">
        <v>592</v>
      </c>
      <c r="C320" s="798" t="s">
        <v>2074</v>
      </c>
      <c r="D320" s="826" t="s">
        <v>3345</v>
      </c>
      <c r="E320" s="798" t="s">
        <v>3346</v>
      </c>
      <c r="F320" s="826" t="s">
        <v>3347</v>
      </c>
      <c r="G320" s="798" t="s">
        <v>2615</v>
      </c>
      <c r="H320" s="798" t="s">
        <v>2616</v>
      </c>
      <c r="I320" s="812">
        <v>11408</v>
      </c>
      <c r="J320" s="812">
        <v>1</v>
      </c>
      <c r="K320" s="813">
        <v>11408</v>
      </c>
    </row>
    <row r="321" spans="1:11" ht="14.4" customHeight="1" x14ac:dyDescent="0.3">
      <c r="A321" s="794" t="s">
        <v>591</v>
      </c>
      <c r="B321" s="795" t="s">
        <v>592</v>
      </c>
      <c r="C321" s="798" t="s">
        <v>2074</v>
      </c>
      <c r="D321" s="826" t="s">
        <v>3345</v>
      </c>
      <c r="E321" s="798" t="s">
        <v>3346</v>
      </c>
      <c r="F321" s="826" t="s">
        <v>3347</v>
      </c>
      <c r="G321" s="798" t="s">
        <v>2617</v>
      </c>
      <c r="H321" s="798" t="s">
        <v>2618</v>
      </c>
      <c r="I321" s="812">
        <v>1089.72</v>
      </c>
      <c r="J321" s="812">
        <v>1</v>
      </c>
      <c r="K321" s="813">
        <v>1089.72</v>
      </c>
    </row>
    <row r="322" spans="1:11" ht="14.4" customHeight="1" x14ac:dyDescent="0.3">
      <c r="A322" s="794" t="s">
        <v>591</v>
      </c>
      <c r="B322" s="795" t="s">
        <v>592</v>
      </c>
      <c r="C322" s="798" t="s">
        <v>2074</v>
      </c>
      <c r="D322" s="826" t="s">
        <v>3345</v>
      </c>
      <c r="E322" s="798" t="s">
        <v>3346</v>
      </c>
      <c r="F322" s="826" t="s">
        <v>3347</v>
      </c>
      <c r="G322" s="798" t="s">
        <v>2619</v>
      </c>
      <c r="H322" s="798" t="s">
        <v>2620</v>
      </c>
      <c r="I322" s="812">
        <v>1215.46</v>
      </c>
      <c r="J322" s="812">
        <v>2</v>
      </c>
      <c r="K322" s="813">
        <v>2430.92</v>
      </c>
    </row>
    <row r="323" spans="1:11" ht="14.4" customHeight="1" x14ac:dyDescent="0.3">
      <c r="A323" s="794" t="s">
        <v>591</v>
      </c>
      <c r="B323" s="795" t="s">
        <v>592</v>
      </c>
      <c r="C323" s="798" t="s">
        <v>2074</v>
      </c>
      <c r="D323" s="826" t="s">
        <v>3345</v>
      </c>
      <c r="E323" s="798" t="s">
        <v>3346</v>
      </c>
      <c r="F323" s="826" t="s">
        <v>3347</v>
      </c>
      <c r="G323" s="798" t="s">
        <v>2621</v>
      </c>
      <c r="H323" s="798" t="s">
        <v>2622</v>
      </c>
      <c r="I323" s="812">
        <v>4600</v>
      </c>
      <c r="J323" s="812">
        <v>2</v>
      </c>
      <c r="K323" s="813">
        <v>9200</v>
      </c>
    </row>
    <row r="324" spans="1:11" ht="14.4" customHeight="1" x14ac:dyDescent="0.3">
      <c r="A324" s="794" t="s">
        <v>591</v>
      </c>
      <c r="B324" s="795" t="s">
        <v>592</v>
      </c>
      <c r="C324" s="798" t="s">
        <v>2074</v>
      </c>
      <c r="D324" s="826" t="s">
        <v>3345</v>
      </c>
      <c r="E324" s="798" t="s">
        <v>3346</v>
      </c>
      <c r="F324" s="826" t="s">
        <v>3347</v>
      </c>
      <c r="G324" s="798" t="s">
        <v>2623</v>
      </c>
      <c r="H324" s="798" t="s">
        <v>2624</v>
      </c>
      <c r="I324" s="812">
        <v>7424.3</v>
      </c>
      <c r="J324" s="812">
        <v>2</v>
      </c>
      <c r="K324" s="813">
        <v>14848.6</v>
      </c>
    </row>
    <row r="325" spans="1:11" ht="14.4" customHeight="1" x14ac:dyDescent="0.3">
      <c r="A325" s="794" t="s">
        <v>591</v>
      </c>
      <c r="B325" s="795" t="s">
        <v>592</v>
      </c>
      <c r="C325" s="798" t="s">
        <v>2074</v>
      </c>
      <c r="D325" s="826" t="s">
        <v>3345</v>
      </c>
      <c r="E325" s="798" t="s">
        <v>3346</v>
      </c>
      <c r="F325" s="826" t="s">
        <v>3347</v>
      </c>
      <c r="G325" s="798" t="s">
        <v>2625</v>
      </c>
      <c r="H325" s="798" t="s">
        <v>2626</v>
      </c>
      <c r="I325" s="812">
        <v>8126.07</v>
      </c>
      <c r="J325" s="812">
        <v>1</v>
      </c>
      <c r="K325" s="813">
        <v>8126.07</v>
      </c>
    </row>
    <row r="326" spans="1:11" ht="14.4" customHeight="1" x14ac:dyDescent="0.3">
      <c r="A326" s="794" t="s">
        <v>591</v>
      </c>
      <c r="B326" s="795" t="s">
        <v>592</v>
      </c>
      <c r="C326" s="798" t="s">
        <v>2074</v>
      </c>
      <c r="D326" s="826" t="s">
        <v>3345</v>
      </c>
      <c r="E326" s="798" t="s">
        <v>3346</v>
      </c>
      <c r="F326" s="826" t="s">
        <v>3347</v>
      </c>
      <c r="G326" s="798" t="s">
        <v>2627</v>
      </c>
      <c r="H326" s="798" t="s">
        <v>2628</v>
      </c>
      <c r="I326" s="812">
        <v>880.15</v>
      </c>
      <c r="J326" s="812">
        <v>3</v>
      </c>
      <c r="K326" s="813">
        <v>2640.46</v>
      </c>
    </row>
    <row r="327" spans="1:11" ht="14.4" customHeight="1" x14ac:dyDescent="0.3">
      <c r="A327" s="794" t="s">
        <v>591</v>
      </c>
      <c r="B327" s="795" t="s">
        <v>592</v>
      </c>
      <c r="C327" s="798" t="s">
        <v>2074</v>
      </c>
      <c r="D327" s="826" t="s">
        <v>3345</v>
      </c>
      <c r="E327" s="798" t="s">
        <v>3346</v>
      </c>
      <c r="F327" s="826" t="s">
        <v>3347</v>
      </c>
      <c r="G327" s="798" t="s">
        <v>2629</v>
      </c>
      <c r="H327" s="798" t="s">
        <v>2630</v>
      </c>
      <c r="I327" s="812">
        <v>1213.51</v>
      </c>
      <c r="J327" s="812">
        <v>2</v>
      </c>
      <c r="K327" s="813">
        <v>2427.0100000000002</v>
      </c>
    </row>
    <row r="328" spans="1:11" ht="14.4" customHeight="1" x14ac:dyDescent="0.3">
      <c r="A328" s="794" t="s">
        <v>591</v>
      </c>
      <c r="B328" s="795" t="s">
        <v>592</v>
      </c>
      <c r="C328" s="798" t="s">
        <v>2074</v>
      </c>
      <c r="D328" s="826" t="s">
        <v>3345</v>
      </c>
      <c r="E328" s="798" t="s">
        <v>3346</v>
      </c>
      <c r="F328" s="826" t="s">
        <v>3347</v>
      </c>
      <c r="G328" s="798" t="s">
        <v>2631</v>
      </c>
      <c r="H328" s="798" t="s">
        <v>2632</v>
      </c>
      <c r="I328" s="812">
        <v>1215.46</v>
      </c>
      <c r="J328" s="812">
        <v>1</v>
      </c>
      <c r="K328" s="813">
        <v>1215.46</v>
      </c>
    </row>
    <row r="329" spans="1:11" ht="14.4" customHeight="1" x14ac:dyDescent="0.3">
      <c r="A329" s="794" t="s">
        <v>591</v>
      </c>
      <c r="B329" s="795" t="s">
        <v>592</v>
      </c>
      <c r="C329" s="798" t="s">
        <v>2074</v>
      </c>
      <c r="D329" s="826" t="s">
        <v>3345</v>
      </c>
      <c r="E329" s="798" t="s">
        <v>3346</v>
      </c>
      <c r="F329" s="826" t="s">
        <v>3347</v>
      </c>
      <c r="G329" s="798" t="s">
        <v>2633</v>
      </c>
      <c r="H329" s="798" t="s">
        <v>2634</v>
      </c>
      <c r="I329" s="812">
        <v>370.39</v>
      </c>
      <c r="J329" s="812">
        <v>3</v>
      </c>
      <c r="K329" s="813">
        <v>1111.17</v>
      </c>
    </row>
    <row r="330" spans="1:11" ht="14.4" customHeight="1" x14ac:dyDescent="0.3">
      <c r="A330" s="794" t="s">
        <v>591</v>
      </c>
      <c r="B330" s="795" t="s">
        <v>592</v>
      </c>
      <c r="C330" s="798" t="s">
        <v>2074</v>
      </c>
      <c r="D330" s="826" t="s">
        <v>3345</v>
      </c>
      <c r="E330" s="798" t="s">
        <v>3346</v>
      </c>
      <c r="F330" s="826" t="s">
        <v>3347</v>
      </c>
      <c r="G330" s="798" t="s">
        <v>2635</v>
      </c>
      <c r="H330" s="798" t="s">
        <v>2636</v>
      </c>
      <c r="I330" s="812">
        <v>5175</v>
      </c>
      <c r="J330" s="812">
        <v>3</v>
      </c>
      <c r="K330" s="813">
        <v>15525</v>
      </c>
    </row>
    <row r="331" spans="1:11" ht="14.4" customHeight="1" x14ac:dyDescent="0.3">
      <c r="A331" s="794" t="s">
        <v>591</v>
      </c>
      <c r="B331" s="795" t="s">
        <v>592</v>
      </c>
      <c r="C331" s="798" t="s">
        <v>2074</v>
      </c>
      <c r="D331" s="826" t="s">
        <v>3345</v>
      </c>
      <c r="E331" s="798" t="s">
        <v>3346</v>
      </c>
      <c r="F331" s="826" t="s">
        <v>3347</v>
      </c>
      <c r="G331" s="798" t="s">
        <v>2637</v>
      </c>
      <c r="H331" s="798" t="s">
        <v>2638</v>
      </c>
      <c r="I331" s="812">
        <v>3795</v>
      </c>
      <c r="J331" s="812">
        <v>1</v>
      </c>
      <c r="K331" s="813">
        <v>3795</v>
      </c>
    </row>
    <row r="332" spans="1:11" ht="14.4" customHeight="1" x14ac:dyDescent="0.3">
      <c r="A332" s="794" t="s">
        <v>591</v>
      </c>
      <c r="B332" s="795" t="s">
        <v>592</v>
      </c>
      <c r="C332" s="798" t="s">
        <v>2074</v>
      </c>
      <c r="D332" s="826" t="s">
        <v>3345</v>
      </c>
      <c r="E332" s="798" t="s">
        <v>3346</v>
      </c>
      <c r="F332" s="826" t="s">
        <v>3347</v>
      </c>
      <c r="G332" s="798" t="s">
        <v>2639</v>
      </c>
      <c r="H332" s="798" t="s">
        <v>2640</v>
      </c>
      <c r="I332" s="812">
        <v>294.35000000000002</v>
      </c>
      <c r="J332" s="812">
        <v>1</v>
      </c>
      <c r="K332" s="813">
        <v>294.35000000000002</v>
      </c>
    </row>
    <row r="333" spans="1:11" ht="14.4" customHeight="1" x14ac:dyDescent="0.3">
      <c r="A333" s="794" t="s">
        <v>591</v>
      </c>
      <c r="B333" s="795" t="s">
        <v>592</v>
      </c>
      <c r="C333" s="798" t="s">
        <v>2074</v>
      </c>
      <c r="D333" s="826" t="s">
        <v>3345</v>
      </c>
      <c r="E333" s="798" t="s">
        <v>3346</v>
      </c>
      <c r="F333" s="826" t="s">
        <v>3347</v>
      </c>
      <c r="G333" s="798" t="s">
        <v>2641</v>
      </c>
      <c r="H333" s="798" t="s">
        <v>2642</v>
      </c>
      <c r="I333" s="812">
        <v>11408</v>
      </c>
      <c r="J333" s="812">
        <v>3</v>
      </c>
      <c r="K333" s="813">
        <v>34224</v>
      </c>
    </row>
    <row r="334" spans="1:11" ht="14.4" customHeight="1" x14ac:dyDescent="0.3">
      <c r="A334" s="794" t="s">
        <v>591</v>
      </c>
      <c r="B334" s="795" t="s">
        <v>592</v>
      </c>
      <c r="C334" s="798" t="s">
        <v>2074</v>
      </c>
      <c r="D334" s="826" t="s">
        <v>3345</v>
      </c>
      <c r="E334" s="798" t="s">
        <v>3346</v>
      </c>
      <c r="F334" s="826" t="s">
        <v>3347</v>
      </c>
      <c r="G334" s="798" t="s">
        <v>2643</v>
      </c>
      <c r="H334" s="798" t="s">
        <v>2644</v>
      </c>
      <c r="I334" s="812">
        <v>9733.3700000000008</v>
      </c>
      <c r="J334" s="812">
        <v>1</v>
      </c>
      <c r="K334" s="813">
        <v>9733.3700000000008</v>
      </c>
    </row>
    <row r="335" spans="1:11" ht="14.4" customHeight="1" x14ac:dyDescent="0.3">
      <c r="A335" s="794" t="s">
        <v>591</v>
      </c>
      <c r="B335" s="795" t="s">
        <v>592</v>
      </c>
      <c r="C335" s="798" t="s">
        <v>2074</v>
      </c>
      <c r="D335" s="826" t="s">
        <v>3345</v>
      </c>
      <c r="E335" s="798" t="s">
        <v>3346</v>
      </c>
      <c r="F335" s="826" t="s">
        <v>3347</v>
      </c>
      <c r="G335" s="798" t="s">
        <v>2645</v>
      </c>
      <c r="H335" s="798" t="s">
        <v>2646</v>
      </c>
      <c r="I335" s="812">
        <v>1856.1</v>
      </c>
      <c r="J335" s="812">
        <v>3</v>
      </c>
      <c r="K335" s="813">
        <v>5568.2999999999993</v>
      </c>
    </row>
    <row r="336" spans="1:11" ht="14.4" customHeight="1" x14ac:dyDescent="0.3">
      <c r="A336" s="794" t="s">
        <v>591</v>
      </c>
      <c r="B336" s="795" t="s">
        <v>592</v>
      </c>
      <c r="C336" s="798" t="s">
        <v>2074</v>
      </c>
      <c r="D336" s="826" t="s">
        <v>3345</v>
      </c>
      <c r="E336" s="798" t="s">
        <v>3346</v>
      </c>
      <c r="F336" s="826" t="s">
        <v>3347</v>
      </c>
      <c r="G336" s="798" t="s">
        <v>2647</v>
      </c>
      <c r="H336" s="798" t="s">
        <v>2648</v>
      </c>
      <c r="I336" s="812">
        <v>506</v>
      </c>
      <c r="J336" s="812">
        <v>2</v>
      </c>
      <c r="K336" s="813">
        <v>1012</v>
      </c>
    </row>
    <row r="337" spans="1:11" ht="14.4" customHeight="1" x14ac:dyDescent="0.3">
      <c r="A337" s="794" t="s">
        <v>591</v>
      </c>
      <c r="B337" s="795" t="s">
        <v>592</v>
      </c>
      <c r="C337" s="798" t="s">
        <v>2074</v>
      </c>
      <c r="D337" s="826" t="s">
        <v>3345</v>
      </c>
      <c r="E337" s="798" t="s">
        <v>3346</v>
      </c>
      <c r="F337" s="826" t="s">
        <v>3347</v>
      </c>
      <c r="G337" s="798" t="s">
        <v>2649</v>
      </c>
      <c r="H337" s="798" t="s">
        <v>2650</v>
      </c>
      <c r="I337" s="812">
        <v>617.98</v>
      </c>
      <c r="J337" s="812">
        <v>2</v>
      </c>
      <c r="K337" s="813">
        <v>1235.96</v>
      </c>
    </row>
    <row r="338" spans="1:11" ht="14.4" customHeight="1" x14ac:dyDescent="0.3">
      <c r="A338" s="794" t="s">
        <v>591</v>
      </c>
      <c r="B338" s="795" t="s">
        <v>592</v>
      </c>
      <c r="C338" s="798" t="s">
        <v>2074</v>
      </c>
      <c r="D338" s="826" t="s">
        <v>3345</v>
      </c>
      <c r="E338" s="798" t="s">
        <v>3346</v>
      </c>
      <c r="F338" s="826" t="s">
        <v>3347</v>
      </c>
      <c r="G338" s="798" t="s">
        <v>2651</v>
      </c>
      <c r="H338" s="798" t="s">
        <v>2652</v>
      </c>
      <c r="I338" s="812">
        <v>8256.69</v>
      </c>
      <c r="J338" s="812">
        <v>1</v>
      </c>
      <c r="K338" s="813">
        <v>8256.69</v>
      </c>
    </row>
    <row r="339" spans="1:11" ht="14.4" customHeight="1" x14ac:dyDescent="0.3">
      <c r="A339" s="794" t="s">
        <v>591</v>
      </c>
      <c r="B339" s="795" t="s">
        <v>592</v>
      </c>
      <c r="C339" s="798" t="s">
        <v>2074</v>
      </c>
      <c r="D339" s="826" t="s">
        <v>3345</v>
      </c>
      <c r="E339" s="798" t="s">
        <v>3346</v>
      </c>
      <c r="F339" s="826" t="s">
        <v>3347</v>
      </c>
      <c r="G339" s="798" t="s">
        <v>2653</v>
      </c>
      <c r="H339" s="798" t="s">
        <v>2654</v>
      </c>
      <c r="I339" s="812">
        <v>597.495</v>
      </c>
      <c r="J339" s="812">
        <v>3</v>
      </c>
      <c r="K339" s="813">
        <v>1793.25</v>
      </c>
    </row>
    <row r="340" spans="1:11" ht="14.4" customHeight="1" x14ac:dyDescent="0.3">
      <c r="A340" s="794" t="s">
        <v>591</v>
      </c>
      <c r="B340" s="795" t="s">
        <v>592</v>
      </c>
      <c r="C340" s="798" t="s">
        <v>2074</v>
      </c>
      <c r="D340" s="826" t="s">
        <v>3345</v>
      </c>
      <c r="E340" s="798" t="s">
        <v>3346</v>
      </c>
      <c r="F340" s="826" t="s">
        <v>3347</v>
      </c>
      <c r="G340" s="798" t="s">
        <v>2655</v>
      </c>
      <c r="H340" s="798" t="s">
        <v>2656</v>
      </c>
      <c r="I340" s="812">
        <v>4600</v>
      </c>
      <c r="J340" s="812">
        <v>1</v>
      </c>
      <c r="K340" s="813">
        <v>4600</v>
      </c>
    </row>
    <row r="341" spans="1:11" ht="14.4" customHeight="1" x14ac:dyDescent="0.3">
      <c r="A341" s="794" t="s">
        <v>591</v>
      </c>
      <c r="B341" s="795" t="s">
        <v>592</v>
      </c>
      <c r="C341" s="798" t="s">
        <v>2074</v>
      </c>
      <c r="D341" s="826" t="s">
        <v>3345</v>
      </c>
      <c r="E341" s="798" t="s">
        <v>3346</v>
      </c>
      <c r="F341" s="826" t="s">
        <v>3347</v>
      </c>
      <c r="G341" s="798" t="s">
        <v>2657</v>
      </c>
      <c r="H341" s="798" t="s">
        <v>2658</v>
      </c>
      <c r="I341" s="812">
        <v>525.37</v>
      </c>
      <c r="J341" s="812">
        <v>3</v>
      </c>
      <c r="K341" s="813">
        <v>1576.1</v>
      </c>
    </row>
    <row r="342" spans="1:11" ht="14.4" customHeight="1" x14ac:dyDescent="0.3">
      <c r="A342" s="794" t="s">
        <v>591</v>
      </c>
      <c r="B342" s="795" t="s">
        <v>592</v>
      </c>
      <c r="C342" s="798" t="s">
        <v>2074</v>
      </c>
      <c r="D342" s="826" t="s">
        <v>3345</v>
      </c>
      <c r="E342" s="798" t="s">
        <v>3346</v>
      </c>
      <c r="F342" s="826" t="s">
        <v>3347</v>
      </c>
      <c r="G342" s="798" t="s">
        <v>2659</v>
      </c>
      <c r="H342" s="798" t="s">
        <v>2660</v>
      </c>
      <c r="I342" s="812">
        <v>801.21</v>
      </c>
      <c r="J342" s="812">
        <v>1</v>
      </c>
      <c r="K342" s="813">
        <v>801.21</v>
      </c>
    </row>
    <row r="343" spans="1:11" ht="14.4" customHeight="1" x14ac:dyDescent="0.3">
      <c r="A343" s="794" t="s">
        <v>591</v>
      </c>
      <c r="B343" s="795" t="s">
        <v>592</v>
      </c>
      <c r="C343" s="798" t="s">
        <v>2074</v>
      </c>
      <c r="D343" s="826" t="s">
        <v>3345</v>
      </c>
      <c r="E343" s="798" t="s">
        <v>3346</v>
      </c>
      <c r="F343" s="826" t="s">
        <v>3347</v>
      </c>
      <c r="G343" s="798" t="s">
        <v>2661</v>
      </c>
      <c r="H343" s="798" t="s">
        <v>2662</v>
      </c>
      <c r="I343" s="812">
        <v>11355.26</v>
      </c>
      <c r="J343" s="812">
        <v>2</v>
      </c>
      <c r="K343" s="813">
        <v>22710.52</v>
      </c>
    </row>
    <row r="344" spans="1:11" ht="14.4" customHeight="1" x14ac:dyDescent="0.3">
      <c r="A344" s="794" t="s">
        <v>591</v>
      </c>
      <c r="B344" s="795" t="s">
        <v>592</v>
      </c>
      <c r="C344" s="798" t="s">
        <v>2074</v>
      </c>
      <c r="D344" s="826" t="s">
        <v>3345</v>
      </c>
      <c r="E344" s="798" t="s">
        <v>3346</v>
      </c>
      <c r="F344" s="826" t="s">
        <v>3347</v>
      </c>
      <c r="G344" s="798" t="s">
        <v>2663</v>
      </c>
      <c r="H344" s="798" t="s">
        <v>2664</v>
      </c>
      <c r="I344" s="812">
        <v>4600</v>
      </c>
      <c r="J344" s="812">
        <v>1</v>
      </c>
      <c r="K344" s="813">
        <v>4600</v>
      </c>
    </row>
    <row r="345" spans="1:11" ht="14.4" customHeight="1" x14ac:dyDescent="0.3">
      <c r="A345" s="794" t="s">
        <v>591</v>
      </c>
      <c r="B345" s="795" t="s">
        <v>592</v>
      </c>
      <c r="C345" s="798" t="s">
        <v>2074</v>
      </c>
      <c r="D345" s="826" t="s">
        <v>3345</v>
      </c>
      <c r="E345" s="798" t="s">
        <v>3346</v>
      </c>
      <c r="F345" s="826" t="s">
        <v>3347</v>
      </c>
      <c r="G345" s="798" t="s">
        <v>2665</v>
      </c>
      <c r="H345" s="798" t="s">
        <v>2666</v>
      </c>
      <c r="I345" s="812">
        <v>6539.79</v>
      </c>
      <c r="J345" s="812">
        <v>1</v>
      </c>
      <c r="K345" s="813">
        <v>6539.79</v>
      </c>
    </row>
    <row r="346" spans="1:11" ht="14.4" customHeight="1" x14ac:dyDescent="0.3">
      <c r="A346" s="794" t="s">
        <v>591</v>
      </c>
      <c r="B346" s="795" t="s">
        <v>592</v>
      </c>
      <c r="C346" s="798" t="s">
        <v>2074</v>
      </c>
      <c r="D346" s="826" t="s">
        <v>3345</v>
      </c>
      <c r="E346" s="798" t="s">
        <v>3346</v>
      </c>
      <c r="F346" s="826" t="s">
        <v>3347</v>
      </c>
      <c r="G346" s="798" t="s">
        <v>2667</v>
      </c>
      <c r="H346" s="798" t="s">
        <v>2668</v>
      </c>
      <c r="I346" s="812">
        <v>3686.3249999999998</v>
      </c>
      <c r="J346" s="812">
        <v>2</v>
      </c>
      <c r="K346" s="813">
        <v>7372.65</v>
      </c>
    </row>
    <row r="347" spans="1:11" ht="14.4" customHeight="1" x14ac:dyDescent="0.3">
      <c r="A347" s="794" t="s">
        <v>591</v>
      </c>
      <c r="B347" s="795" t="s">
        <v>592</v>
      </c>
      <c r="C347" s="798" t="s">
        <v>2074</v>
      </c>
      <c r="D347" s="826" t="s">
        <v>3345</v>
      </c>
      <c r="E347" s="798" t="s">
        <v>3346</v>
      </c>
      <c r="F347" s="826" t="s">
        <v>3347</v>
      </c>
      <c r="G347" s="798" t="s">
        <v>2669</v>
      </c>
      <c r="H347" s="798" t="s">
        <v>2670</v>
      </c>
      <c r="I347" s="812">
        <v>615.58000000000004</v>
      </c>
      <c r="J347" s="812">
        <v>1</v>
      </c>
      <c r="K347" s="813">
        <v>615.58000000000004</v>
      </c>
    </row>
    <row r="348" spans="1:11" ht="14.4" customHeight="1" x14ac:dyDescent="0.3">
      <c r="A348" s="794" t="s">
        <v>591</v>
      </c>
      <c r="B348" s="795" t="s">
        <v>592</v>
      </c>
      <c r="C348" s="798" t="s">
        <v>2074</v>
      </c>
      <c r="D348" s="826" t="s">
        <v>3345</v>
      </c>
      <c r="E348" s="798" t="s">
        <v>3346</v>
      </c>
      <c r="F348" s="826" t="s">
        <v>3347</v>
      </c>
      <c r="G348" s="798" t="s">
        <v>2671</v>
      </c>
      <c r="H348" s="798" t="s">
        <v>2672</v>
      </c>
      <c r="I348" s="812">
        <v>3510.26</v>
      </c>
      <c r="J348" s="812">
        <v>2</v>
      </c>
      <c r="K348" s="813">
        <v>7020.52</v>
      </c>
    </row>
    <row r="349" spans="1:11" ht="14.4" customHeight="1" x14ac:dyDescent="0.3">
      <c r="A349" s="794" t="s">
        <v>591</v>
      </c>
      <c r="B349" s="795" t="s">
        <v>592</v>
      </c>
      <c r="C349" s="798" t="s">
        <v>2074</v>
      </c>
      <c r="D349" s="826" t="s">
        <v>3345</v>
      </c>
      <c r="E349" s="798" t="s">
        <v>3346</v>
      </c>
      <c r="F349" s="826" t="s">
        <v>3347</v>
      </c>
      <c r="G349" s="798" t="s">
        <v>2673</v>
      </c>
      <c r="H349" s="798" t="s">
        <v>2674</v>
      </c>
      <c r="I349" s="812">
        <v>9660</v>
      </c>
      <c r="J349" s="812">
        <v>1</v>
      </c>
      <c r="K349" s="813">
        <v>9660</v>
      </c>
    </row>
    <row r="350" spans="1:11" ht="14.4" customHeight="1" x14ac:dyDescent="0.3">
      <c r="A350" s="794" t="s">
        <v>591</v>
      </c>
      <c r="B350" s="795" t="s">
        <v>592</v>
      </c>
      <c r="C350" s="798" t="s">
        <v>2074</v>
      </c>
      <c r="D350" s="826" t="s">
        <v>3345</v>
      </c>
      <c r="E350" s="798" t="s">
        <v>3346</v>
      </c>
      <c r="F350" s="826" t="s">
        <v>3347</v>
      </c>
      <c r="G350" s="798" t="s">
        <v>2675</v>
      </c>
      <c r="H350" s="798" t="s">
        <v>2676</v>
      </c>
      <c r="I350" s="812">
        <v>527.85</v>
      </c>
      <c r="J350" s="812">
        <v>1</v>
      </c>
      <c r="K350" s="813">
        <v>527.85</v>
      </c>
    </row>
    <row r="351" spans="1:11" ht="14.4" customHeight="1" x14ac:dyDescent="0.3">
      <c r="A351" s="794" t="s">
        <v>591</v>
      </c>
      <c r="B351" s="795" t="s">
        <v>592</v>
      </c>
      <c r="C351" s="798" t="s">
        <v>2074</v>
      </c>
      <c r="D351" s="826" t="s">
        <v>3345</v>
      </c>
      <c r="E351" s="798" t="s">
        <v>3346</v>
      </c>
      <c r="F351" s="826" t="s">
        <v>3347</v>
      </c>
      <c r="G351" s="798" t="s">
        <v>2677</v>
      </c>
      <c r="H351" s="798" t="s">
        <v>2678</v>
      </c>
      <c r="I351" s="812">
        <v>9154</v>
      </c>
      <c r="J351" s="812">
        <v>2</v>
      </c>
      <c r="K351" s="813">
        <v>18308</v>
      </c>
    </row>
    <row r="352" spans="1:11" ht="14.4" customHeight="1" x14ac:dyDescent="0.3">
      <c r="A352" s="794" t="s">
        <v>591</v>
      </c>
      <c r="B352" s="795" t="s">
        <v>592</v>
      </c>
      <c r="C352" s="798" t="s">
        <v>2074</v>
      </c>
      <c r="D352" s="826" t="s">
        <v>3345</v>
      </c>
      <c r="E352" s="798" t="s">
        <v>3346</v>
      </c>
      <c r="F352" s="826" t="s">
        <v>3347</v>
      </c>
      <c r="G352" s="798" t="s">
        <v>2679</v>
      </c>
      <c r="H352" s="798" t="s">
        <v>2680</v>
      </c>
      <c r="I352" s="812">
        <v>4208.2033333333338</v>
      </c>
      <c r="J352" s="812">
        <v>3</v>
      </c>
      <c r="K352" s="813">
        <v>12624.61</v>
      </c>
    </row>
    <row r="353" spans="1:11" ht="14.4" customHeight="1" x14ac:dyDescent="0.3">
      <c r="A353" s="794" t="s">
        <v>591</v>
      </c>
      <c r="B353" s="795" t="s">
        <v>592</v>
      </c>
      <c r="C353" s="798" t="s">
        <v>2074</v>
      </c>
      <c r="D353" s="826" t="s">
        <v>3345</v>
      </c>
      <c r="E353" s="798" t="s">
        <v>3346</v>
      </c>
      <c r="F353" s="826" t="s">
        <v>3347</v>
      </c>
      <c r="G353" s="798" t="s">
        <v>2681</v>
      </c>
      <c r="H353" s="798" t="s">
        <v>2682</v>
      </c>
      <c r="I353" s="812">
        <v>248.4</v>
      </c>
      <c r="J353" s="812">
        <v>2</v>
      </c>
      <c r="K353" s="813">
        <v>496.8</v>
      </c>
    </row>
    <row r="354" spans="1:11" ht="14.4" customHeight="1" x14ac:dyDescent="0.3">
      <c r="A354" s="794" t="s">
        <v>591</v>
      </c>
      <c r="B354" s="795" t="s">
        <v>592</v>
      </c>
      <c r="C354" s="798" t="s">
        <v>2074</v>
      </c>
      <c r="D354" s="826" t="s">
        <v>3345</v>
      </c>
      <c r="E354" s="798" t="s">
        <v>3346</v>
      </c>
      <c r="F354" s="826" t="s">
        <v>3347</v>
      </c>
      <c r="G354" s="798" t="s">
        <v>2683</v>
      </c>
      <c r="H354" s="798" t="s">
        <v>2684</v>
      </c>
      <c r="I354" s="812">
        <v>580.49199999999996</v>
      </c>
      <c r="J354" s="812">
        <v>5</v>
      </c>
      <c r="K354" s="813">
        <v>2902.46</v>
      </c>
    </row>
    <row r="355" spans="1:11" ht="14.4" customHeight="1" x14ac:dyDescent="0.3">
      <c r="A355" s="794" t="s">
        <v>591</v>
      </c>
      <c r="B355" s="795" t="s">
        <v>592</v>
      </c>
      <c r="C355" s="798" t="s">
        <v>2074</v>
      </c>
      <c r="D355" s="826" t="s">
        <v>3345</v>
      </c>
      <c r="E355" s="798" t="s">
        <v>3346</v>
      </c>
      <c r="F355" s="826" t="s">
        <v>3347</v>
      </c>
      <c r="G355" s="798" t="s">
        <v>2685</v>
      </c>
      <c r="H355" s="798" t="s">
        <v>2686</v>
      </c>
      <c r="I355" s="812">
        <v>3510.26</v>
      </c>
      <c r="J355" s="812">
        <v>1</v>
      </c>
      <c r="K355" s="813">
        <v>3510.26</v>
      </c>
    </row>
    <row r="356" spans="1:11" ht="14.4" customHeight="1" x14ac:dyDescent="0.3">
      <c r="A356" s="794" t="s">
        <v>591</v>
      </c>
      <c r="B356" s="795" t="s">
        <v>592</v>
      </c>
      <c r="C356" s="798" t="s">
        <v>2074</v>
      </c>
      <c r="D356" s="826" t="s">
        <v>3345</v>
      </c>
      <c r="E356" s="798" t="s">
        <v>3346</v>
      </c>
      <c r="F356" s="826" t="s">
        <v>3347</v>
      </c>
      <c r="G356" s="798" t="s">
        <v>2687</v>
      </c>
      <c r="H356" s="798" t="s">
        <v>2688</v>
      </c>
      <c r="I356" s="812">
        <v>3510.26</v>
      </c>
      <c r="J356" s="812">
        <v>1</v>
      </c>
      <c r="K356" s="813">
        <v>3510.26</v>
      </c>
    </row>
    <row r="357" spans="1:11" ht="14.4" customHeight="1" x14ac:dyDescent="0.3">
      <c r="A357" s="794" t="s">
        <v>591</v>
      </c>
      <c r="B357" s="795" t="s">
        <v>592</v>
      </c>
      <c r="C357" s="798" t="s">
        <v>2074</v>
      </c>
      <c r="D357" s="826" t="s">
        <v>3345</v>
      </c>
      <c r="E357" s="798" t="s">
        <v>3346</v>
      </c>
      <c r="F357" s="826" t="s">
        <v>3347</v>
      </c>
      <c r="G357" s="798" t="s">
        <v>2689</v>
      </c>
      <c r="H357" s="798" t="s">
        <v>2690</v>
      </c>
      <c r="I357" s="812">
        <v>4600</v>
      </c>
      <c r="J357" s="812">
        <v>2</v>
      </c>
      <c r="K357" s="813">
        <v>9200</v>
      </c>
    </row>
    <row r="358" spans="1:11" ht="14.4" customHeight="1" x14ac:dyDescent="0.3">
      <c r="A358" s="794" t="s">
        <v>591</v>
      </c>
      <c r="B358" s="795" t="s">
        <v>592</v>
      </c>
      <c r="C358" s="798" t="s">
        <v>2074</v>
      </c>
      <c r="D358" s="826" t="s">
        <v>3345</v>
      </c>
      <c r="E358" s="798" t="s">
        <v>3346</v>
      </c>
      <c r="F358" s="826" t="s">
        <v>3347</v>
      </c>
      <c r="G358" s="798" t="s">
        <v>2691</v>
      </c>
      <c r="H358" s="798" t="s">
        <v>2692</v>
      </c>
      <c r="I358" s="812">
        <v>3526.4600000000005</v>
      </c>
      <c r="J358" s="812">
        <v>3</v>
      </c>
      <c r="K358" s="813">
        <v>10579.380000000001</v>
      </c>
    </row>
    <row r="359" spans="1:11" ht="14.4" customHeight="1" x14ac:dyDescent="0.3">
      <c r="A359" s="794" t="s">
        <v>591</v>
      </c>
      <c r="B359" s="795" t="s">
        <v>592</v>
      </c>
      <c r="C359" s="798" t="s">
        <v>2074</v>
      </c>
      <c r="D359" s="826" t="s">
        <v>3345</v>
      </c>
      <c r="E359" s="798" t="s">
        <v>3346</v>
      </c>
      <c r="F359" s="826" t="s">
        <v>3347</v>
      </c>
      <c r="G359" s="798" t="s">
        <v>2693</v>
      </c>
      <c r="H359" s="798" t="s">
        <v>2694</v>
      </c>
      <c r="I359" s="812">
        <v>680.68</v>
      </c>
      <c r="J359" s="812">
        <v>1</v>
      </c>
      <c r="K359" s="813">
        <v>680.68</v>
      </c>
    </row>
    <row r="360" spans="1:11" ht="14.4" customHeight="1" x14ac:dyDescent="0.3">
      <c r="A360" s="794" t="s">
        <v>591</v>
      </c>
      <c r="B360" s="795" t="s">
        <v>592</v>
      </c>
      <c r="C360" s="798" t="s">
        <v>2074</v>
      </c>
      <c r="D360" s="826" t="s">
        <v>3345</v>
      </c>
      <c r="E360" s="798" t="s">
        <v>3346</v>
      </c>
      <c r="F360" s="826" t="s">
        <v>3347</v>
      </c>
      <c r="G360" s="798" t="s">
        <v>2695</v>
      </c>
      <c r="H360" s="798" t="s">
        <v>2696</v>
      </c>
      <c r="I360" s="812">
        <v>1405.5250000000001</v>
      </c>
      <c r="J360" s="812">
        <v>2</v>
      </c>
      <c r="K360" s="813">
        <v>2811.05</v>
      </c>
    </row>
    <row r="361" spans="1:11" ht="14.4" customHeight="1" x14ac:dyDescent="0.3">
      <c r="A361" s="794" t="s">
        <v>591</v>
      </c>
      <c r="B361" s="795" t="s">
        <v>592</v>
      </c>
      <c r="C361" s="798" t="s">
        <v>2074</v>
      </c>
      <c r="D361" s="826" t="s">
        <v>3345</v>
      </c>
      <c r="E361" s="798" t="s">
        <v>3346</v>
      </c>
      <c r="F361" s="826" t="s">
        <v>3347</v>
      </c>
      <c r="G361" s="798" t="s">
        <v>2697</v>
      </c>
      <c r="H361" s="798" t="s">
        <v>2698</v>
      </c>
      <c r="I361" s="812">
        <v>1066.33</v>
      </c>
      <c r="J361" s="812">
        <v>5</v>
      </c>
      <c r="K361" s="813">
        <v>5331.63</v>
      </c>
    </row>
    <row r="362" spans="1:11" ht="14.4" customHeight="1" x14ac:dyDescent="0.3">
      <c r="A362" s="794" t="s">
        <v>591</v>
      </c>
      <c r="B362" s="795" t="s">
        <v>592</v>
      </c>
      <c r="C362" s="798" t="s">
        <v>2074</v>
      </c>
      <c r="D362" s="826" t="s">
        <v>3345</v>
      </c>
      <c r="E362" s="798" t="s">
        <v>3346</v>
      </c>
      <c r="F362" s="826" t="s">
        <v>3347</v>
      </c>
      <c r="G362" s="798" t="s">
        <v>2699</v>
      </c>
      <c r="H362" s="798" t="s">
        <v>2700</v>
      </c>
      <c r="I362" s="812">
        <v>1215.46</v>
      </c>
      <c r="J362" s="812">
        <v>1</v>
      </c>
      <c r="K362" s="813">
        <v>1215.46</v>
      </c>
    </row>
    <row r="363" spans="1:11" ht="14.4" customHeight="1" x14ac:dyDescent="0.3">
      <c r="A363" s="794" t="s">
        <v>591</v>
      </c>
      <c r="B363" s="795" t="s">
        <v>592</v>
      </c>
      <c r="C363" s="798" t="s">
        <v>2074</v>
      </c>
      <c r="D363" s="826" t="s">
        <v>3345</v>
      </c>
      <c r="E363" s="798" t="s">
        <v>3346</v>
      </c>
      <c r="F363" s="826" t="s">
        <v>3347</v>
      </c>
      <c r="G363" s="798" t="s">
        <v>2701</v>
      </c>
      <c r="H363" s="798" t="s">
        <v>2702</v>
      </c>
      <c r="I363" s="812">
        <v>1839.08</v>
      </c>
      <c r="J363" s="812">
        <v>1</v>
      </c>
      <c r="K363" s="813">
        <v>1839.08</v>
      </c>
    </row>
    <row r="364" spans="1:11" ht="14.4" customHeight="1" x14ac:dyDescent="0.3">
      <c r="A364" s="794" t="s">
        <v>591</v>
      </c>
      <c r="B364" s="795" t="s">
        <v>592</v>
      </c>
      <c r="C364" s="798" t="s">
        <v>2074</v>
      </c>
      <c r="D364" s="826" t="s">
        <v>3345</v>
      </c>
      <c r="E364" s="798" t="s">
        <v>3346</v>
      </c>
      <c r="F364" s="826" t="s">
        <v>3347</v>
      </c>
      <c r="G364" s="798" t="s">
        <v>2703</v>
      </c>
      <c r="H364" s="798" t="s">
        <v>2704</v>
      </c>
      <c r="I364" s="812">
        <v>680.69</v>
      </c>
      <c r="J364" s="812">
        <v>1</v>
      </c>
      <c r="K364" s="813">
        <v>680.69</v>
      </c>
    </row>
    <row r="365" spans="1:11" ht="14.4" customHeight="1" x14ac:dyDescent="0.3">
      <c r="A365" s="794" t="s">
        <v>591</v>
      </c>
      <c r="B365" s="795" t="s">
        <v>592</v>
      </c>
      <c r="C365" s="798" t="s">
        <v>2074</v>
      </c>
      <c r="D365" s="826" t="s">
        <v>3345</v>
      </c>
      <c r="E365" s="798" t="s">
        <v>3346</v>
      </c>
      <c r="F365" s="826" t="s">
        <v>3347</v>
      </c>
      <c r="G365" s="798" t="s">
        <v>2705</v>
      </c>
      <c r="H365" s="798" t="s">
        <v>2706</v>
      </c>
      <c r="I365" s="812">
        <v>1135.44</v>
      </c>
      <c r="J365" s="812">
        <v>5</v>
      </c>
      <c r="K365" s="813">
        <v>5677.2000000000007</v>
      </c>
    </row>
    <row r="366" spans="1:11" ht="14.4" customHeight="1" x14ac:dyDescent="0.3">
      <c r="A366" s="794" t="s">
        <v>591</v>
      </c>
      <c r="B366" s="795" t="s">
        <v>592</v>
      </c>
      <c r="C366" s="798" t="s">
        <v>2074</v>
      </c>
      <c r="D366" s="826" t="s">
        <v>3345</v>
      </c>
      <c r="E366" s="798" t="s">
        <v>3346</v>
      </c>
      <c r="F366" s="826" t="s">
        <v>3347</v>
      </c>
      <c r="G366" s="798" t="s">
        <v>2707</v>
      </c>
      <c r="H366" s="798" t="s">
        <v>2708</v>
      </c>
      <c r="I366" s="812">
        <v>8717</v>
      </c>
      <c r="J366" s="812">
        <v>1</v>
      </c>
      <c r="K366" s="813">
        <v>8717</v>
      </c>
    </row>
    <row r="367" spans="1:11" ht="14.4" customHeight="1" x14ac:dyDescent="0.3">
      <c r="A367" s="794" t="s">
        <v>591</v>
      </c>
      <c r="B367" s="795" t="s">
        <v>592</v>
      </c>
      <c r="C367" s="798" t="s">
        <v>2074</v>
      </c>
      <c r="D367" s="826" t="s">
        <v>3345</v>
      </c>
      <c r="E367" s="798" t="s">
        <v>3346</v>
      </c>
      <c r="F367" s="826" t="s">
        <v>3347</v>
      </c>
      <c r="G367" s="798" t="s">
        <v>2709</v>
      </c>
      <c r="H367" s="798" t="s">
        <v>2710</v>
      </c>
      <c r="I367" s="812">
        <v>561.11</v>
      </c>
      <c r="J367" s="812">
        <v>4</v>
      </c>
      <c r="K367" s="813">
        <v>2244.44</v>
      </c>
    </row>
    <row r="368" spans="1:11" ht="14.4" customHeight="1" x14ac:dyDescent="0.3">
      <c r="A368" s="794" t="s">
        <v>591</v>
      </c>
      <c r="B368" s="795" t="s">
        <v>592</v>
      </c>
      <c r="C368" s="798" t="s">
        <v>2074</v>
      </c>
      <c r="D368" s="826" t="s">
        <v>3345</v>
      </c>
      <c r="E368" s="798" t="s">
        <v>3346</v>
      </c>
      <c r="F368" s="826" t="s">
        <v>3347</v>
      </c>
      <c r="G368" s="798" t="s">
        <v>2711</v>
      </c>
      <c r="H368" s="798" t="s">
        <v>2712</v>
      </c>
      <c r="I368" s="812">
        <v>6555</v>
      </c>
      <c r="J368" s="812">
        <v>2</v>
      </c>
      <c r="K368" s="813">
        <v>13110</v>
      </c>
    </row>
    <row r="369" spans="1:11" ht="14.4" customHeight="1" x14ac:dyDescent="0.3">
      <c r="A369" s="794" t="s">
        <v>591</v>
      </c>
      <c r="B369" s="795" t="s">
        <v>592</v>
      </c>
      <c r="C369" s="798" t="s">
        <v>2074</v>
      </c>
      <c r="D369" s="826" t="s">
        <v>3345</v>
      </c>
      <c r="E369" s="798" t="s">
        <v>3346</v>
      </c>
      <c r="F369" s="826" t="s">
        <v>3347</v>
      </c>
      <c r="G369" s="798" t="s">
        <v>2713</v>
      </c>
      <c r="H369" s="798" t="s">
        <v>2714</v>
      </c>
      <c r="I369" s="812">
        <v>2518.5</v>
      </c>
      <c r="J369" s="812">
        <v>4</v>
      </c>
      <c r="K369" s="813">
        <v>10074</v>
      </c>
    </row>
    <row r="370" spans="1:11" ht="14.4" customHeight="1" x14ac:dyDescent="0.3">
      <c r="A370" s="794" t="s">
        <v>591</v>
      </c>
      <c r="B370" s="795" t="s">
        <v>592</v>
      </c>
      <c r="C370" s="798" t="s">
        <v>2074</v>
      </c>
      <c r="D370" s="826" t="s">
        <v>3345</v>
      </c>
      <c r="E370" s="798" t="s">
        <v>3346</v>
      </c>
      <c r="F370" s="826" t="s">
        <v>3347</v>
      </c>
      <c r="G370" s="798" t="s">
        <v>2715</v>
      </c>
      <c r="H370" s="798" t="s">
        <v>2716</v>
      </c>
      <c r="I370" s="812">
        <v>1135.44</v>
      </c>
      <c r="J370" s="812">
        <v>5</v>
      </c>
      <c r="K370" s="813">
        <v>5677.2000000000007</v>
      </c>
    </row>
    <row r="371" spans="1:11" ht="14.4" customHeight="1" x14ac:dyDescent="0.3">
      <c r="A371" s="794" t="s">
        <v>591</v>
      </c>
      <c r="B371" s="795" t="s">
        <v>592</v>
      </c>
      <c r="C371" s="798" t="s">
        <v>2074</v>
      </c>
      <c r="D371" s="826" t="s">
        <v>3345</v>
      </c>
      <c r="E371" s="798" t="s">
        <v>3346</v>
      </c>
      <c r="F371" s="826" t="s">
        <v>3347</v>
      </c>
      <c r="G371" s="798" t="s">
        <v>2717</v>
      </c>
      <c r="H371" s="798" t="s">
        <v>2718</v>
      </c>
      <c r="I371" s="812">
        <v>2518.5</v>
      </c>
      <c r="J371" s="812">
        <v>1</v>
      </c>
      <c r="K371" s="813">
        <v>2518.5</v>
      </c>
    </row>
    <row r="372" spans="1:11" ht="14.4" customHeight="1" x14ac:dyDescent="0.3">
      <c r="A372" s="794" t="s">
        <v>591</v>
      </c>
      <c r="B372" s="795" t="s">
        <v>592</v>
      </c>
      <c r="C372" s="798" t="s">
        <v>2074</v>
      </c>
      <c r="D372" s="826" t="s">
        <v>3345</v>
      </c>
      <c r="E372" s="798" t="s">
        <v>3346</v>
      </c>
      <c r="F372" s="826" t="s">
        <v>3347</v>
      </c>
      <c r="G372" s="798" t="s">
        <v>2719</v>
      </c>
      <c r="H372" s="798" t="s">
        <v>2720</v>
      </c>
      <c r="I372" s="812">
        <v>527.85</v>
      </c>
      <c r="J372" s="812">
        <v>2</v>
      </c>
      <c r="K372" s="813">
        <v>1055.7</v>
      </c>
    </row>
    <row r="373" spans="1:11" ht="14.4" customHeight="1" x14ac:dyDescent="0.3">
      <c r="A373" s="794" t="s">
        <v>591</v>
      </c>
      <c r="B373" s="795" t="s">
        <v>592</v>
      </c>
      <c r="C373" s="798" t="s">
        <v>2074</v>
      </c>
      <c r="D373" s="826" t="s">
        <v>3345</v>
      </c>
      <c r="E373" s="798" t="s">
        <v>3346</v>
      </c>
      <c r="F373" s="826" t="s">
        <v>3347</v>
      </c>
      <c r="G373" s="798" t="s">
        <v>2721</v>
      </c>
      <c r="H373" s="798" t="s">
        <v>2722</v>
      </c>
      <c r="I373" s="812">
        <v>3510.26</v>
      </c>
      <c r="J373" s="812">
        <v>1</v>
      </c>
      <c r="K373" s="813">
        <v>3510.26</v>
      </c>
    </row>
    <row r="374" spans="1:11" ht="14.4" customHeight="1" x14ac:dyDescent="0.3">
      <c r="A374" s="794" t="s">
        <v>591</v>
      </c>
      <c r="B374" s="795" t="s">
        <v>592</v>
      </c>
      <c r="C374" s="798" t="s">
        <v>2074</v>
      </c>
      <c r="D374" s="826" t="s">
        <v>3345</v>
      </c>
      <c r="E374" s="798" t="s">
        <v>3346</v>
      </c>
      <c r="F374" s="826" t="s">
        <v>3347</v>
      </c>
      <c r="G374" s="798" t="s">
        <v>2723</v>
      </c>
      <c r="H374" s="798" t="s">
        <v>2724</v>
      </c>
      <c r="I374" s="812">
        <v>3510.26</v>
      </c>
      <c r="J374" s="812">
        <v>1</v>
      </c>
      <c r="K374" s="813">
        <v>3510.26</v>
      </c>
    </row>
    <row r="375" spans="1:11" ht="14.4" customHeight="1" x14ac:dyDescent="0.3">
      <c r="A375" s="794" t="s">
        <v>591</v>
      </c>
      <c r="B375" s="795" t="s">
        <v>592</v>
      </c>
      <c r="C375" s="798" t="s">
        <v>2074</v>
      </c>
      <c r="D375" s="826" t="s">
        <v>3345</v>
      </c>
      <c r="E375" s="798" t="s">
        <v>3346</v>
      </c>
      <c r="F375" s="826" t="s">
        <v>3347</v>
      </c>
      <c r="G375" s="798" t="s">
        <v>2725</v>
      </c>
      <c r="H375" s="798" t="s">
        <v>2726</v>
      </c>
      <c r="I375" s="812">
        <v>6707.95</v>
      </c>
      <c r="J375" s="812">
        <v>1</v>
      </c>
      <c r="K375" s="813">
        <v>6707.95</v>
      </c>
    </row>
    <row r="376" spans="1:11" ht="14.4" customHeight="1" x14ac:dyDescent="0.3">
      <c r="A376" s="794" t="s">
        <v>591</v>
      </c>
      <c r="B376" s="795" t="s">
        <v>592</v>
      </c>
      <c r="C376" s="798" t="s">
        <v>2074</v>
      </c>
      <c r="D376" s="826" t="s">
        <v>3345</v>
      </c>
      <c r="E376" s="798" t="s">
        <v>3346</v>
      </c>
      <c r="F376" s="826" t="s">
        <v>3347</v>
      </c>
      <c r="G376" s="798" t="s">
        <v>2727</v>
      </c>
      <c r="H376" s="798" t="s">
        <v>2728</v>
      </c>
      <c r="I376" s="812">
        <v>596.38</v>
      </c>
      <c r="J376" s="812">
        <v>1</v>
      </c>
      <c r="K376" s="813">
        <v>596.38</v>
      </c>
    </row>
    <row r="377" spans="1:11" ht="14.4" customHeight="1" x14ac:dyDescent="0.3">
      <c r="A377" s="794" t="s">
        <v>591</v>
      </c>
      <c r="B377" s="795" t="s">
        <v>592</v>
      </c>
      <c r="C377" s="798" t="s">
        <v>2074</v>
      </c>
      <c r="D377" s="826" t="s">
        <v>3345</v>
      </c>
      <c r="E377" s="798" t="s">
        <v>3346</v>
      </c>
      <c r="F377" s="826" t="s">
        <v>3347</v>
      </c>
      <c r="G377" s="798" t="s">
        <v>2729</v>
      </c>
      <c r="H377" s="798" t="s">
        <v>2730</v>
      </c>
      <c r="I377" s="812">
        <v>935.71</v>
      </c>
      <c r="J377" s="812">
        <v>2</v>
      </c>
      <c r="K377" s="813">
        <v>1871.42</v>
      </c>
    </row>
    <row r="378" spans="1:11" ht="14.4" customHeight="1" x14ac:dyDescent="0.3">
      <c r="A378" s="794" t="s">
        <v>591</v>
      </c>
      <c r="B378" s="795" t="s">
        <v>592</v>
      </c>
      <c r="C378" s="798" t="s">
        <v>2074</v>
      </c>
      <c r="D378" s="826" t="s">
        <v>3345</v>
      </c>
      <c r="E378" s="798" t="s">
        <v>3346</v>
      </c>
      <c r="F378" s="826" t="s">
        <v>3347</v>
      </c>
      <c r="G378" s="798" t="s">
        <v>2731</v>
      </c>
      <c r="H378" s="798" t="s">
        <v>2732</v>
      </c>
      <c r="I378" s="812">
        <v>9893.2099999999991</v>
      </c>
      <c r="J378" s="812">
        <v>1</v>
      </c>
      <c r="K378" s="813">
        <v>9893.2099999999991</v>
      </c>
    </row>
    <row r="379" spans="1:11" ht="14.4" customHeight="1" x14ac:dyDescent="0.3">
      <c r="A379" s="794" t="s">
        <v>591</v>
      </c>
      <c r="B379" s="795" t="s">
        <v>592</v>
      </c>
      <c r="C379" s="798" t="s">
        <v>2074</v>
      </c>
      <c r="D379" s="826" t="s">
        <v>3345</v>
      </c>
      <c r="E379" s="798" t="s">
        <v>3346</v>
      </c>
      <c r="F379" s="826" t="s">
        <v>3347</v>
      </c>
      <c r="G379" s="798" t="s">
        <v>2733</v>
      </c>
      <c r="H379" s="798" t="s">
        <v>2734</v>
      </c>
      <c r="I379" s="812">
        <v>506</v>
      </c>
      <c r="J379" s="812">
        <v>1</v>
      </c>
      <c r="K379" s="813">
        <v>506</v>
      </c>
    </row>
    <row r="380" spans="1:11" ht="14.4" customHeight="1" x14ac:dyDescent="0.3">
      <c r="A380" s="794" t="s">
        <v>591</v>
      </c>
      <c r="B380" s="795" t="s">
        <v>592</v>
      </c>
      <c r="C380" s="798" t="s">
        <v>2074</v>
      </c>
      <c r="D380" s="826" t="s">
        <v>3345</v>
      </c>
      <c r="E380" s="798" t="s">
        <v>3346</v>
      </c>
      <c r="F380" s="826" t="s">
        <v>3347</v>
      </c>
      <c r="G380" s="798" t="s">
        <v>2735</v>
      </c>
      <c r="H380" s="798" t="s">
        <v>2736</v>
      </c>
      <c r="I380" s="812">
        <v>880.15</v>
      </c>
      <c r="J380" s="812">
        <v>1</v>
      </c>
      <c r="K380" s="813">
        <v>880.15</v>
      </c>
    </row>
    <row r="381" spans="1:11" ht="14.4" customHeight="1" x14ac:dyDescent="0.3">
      <c r="A381" s="794" t="s">
        <v>591</v>
      </c>
      <c r="B381" s="795" t="s">
        <v>592</v>
      </c>
      <c r="C381" s="798" t="s">
        <v>2074</v>
      </c>
      <c r="D381" s="826" t="s">
        <v>3345</v>
      </c>
      <c r="E381" s="798" t="s">
        <v>3346</v>
      </c>
      <c r="F381" s="826" t="s">
        <v>3347</v>
      </c>
      <c r="G381" s="798" t="s">
        <v>2737</v>
      </c>
      <c r="H381" s="798" t="s">
        <v>2738</v>
      </c>
      <c r="I381" s="812">
        <v>1066.83</v>
      </c>
      <c r="J381" s="812">
        <v>1</v>
      </c>
      <c r="K381" s="813">
        <v>1066.83</v>
      </c>
    </row>
    <row r="382" spans="1:11" ht="14.4" customHeight="1" x14ac:dyDescent="0.3">
      <c r="A382" s="794" t="s">
        <v>591</v>
      </c>
      <c r="B382" s="795" t="s">
        <v>592</v>
      </c>
      <c r="C382" s="798" t="s">
        <v>2074</v>
      </c>
      <c r="D382" s="826" t="s">
        <v>3345</v>
      </c>
      <c r="E382" s="798" t="s">
        <v>3346</v>
      </c>
      <c r="F382" s="826" t="s">
        <v>3347</v>
      </c>
      <c r="G382" s="798" t="s">
        <v>2739</v>
      </c>
      <c r="H382" s="798" t="s">
        <v>2740</v>
      </c>
      <c r="I382" s="812">
        <v>939.99</v>
      </c>
      <c r="J382" s="812">
        <v>1</v>
      </c>
      <c r="K382" s="813">
        <v>939.99</v>
      </c>
    </row>
    <row r="383" spans="1:11" ht="14.4" customHeight="1" x14ac:dyDescent="0.3">
      <c r="A383" s="794" t="s">
        <v>591</v>
      </c>
      <c r="B383" s="795" t="s">
        <v>592</v>
      </c>
      <c r="C383" s="798" t="s">
        <v>2074</v>
      </c>
      <c r="D383" s="826" t="s">
        <v>3345</v>
      </c>
      <c r="E383" s="798" t="s">
        <v>3346</v>
      </c>
      <c r="F383" s="826" t="s">
        <v>3347</v>
      </c>
      <c r="G383" s="798" t="s">
        <v>2741</v>
      </c>
      <c r="H383" s="798" t="s">
        <v>2742</v>
      </c>
      <c r="I383" s="812">
        <v>1008.82</v>
      </c>
      <c r="J383" s="812">
        <v>2</v>
      </c>
      <c r="K383" s="813">
        <v>2017.63</v>
      </c>
    </row>
    <row r="384" spans="1:11" ht="14.4" customHeight="1" x14ac:dyDescent="0.3">
      <c r="A384" s="794" t="s">
        <v>591</v>
      </c>
      <c r="B384" s="795" t="s">
        <v>592</v>
      </c>
      <c r="C384" s="798" t="s">
        <v>2074</v>
      </c>
      <c r="D384" s="826" t="s">
        <v>3345</v>
      </c>
      <c r="E384" s="798" t="s">
        <v>3346</v>
      </c>
      <c r="F384" s="826" t="s">
        <v>3347</v>
      </c>
      <c r="G384" s="798" t="s">
        <v>2743</v>
      </c>
      <c r="H384" s="798" t="s">
        <v>2744</v>
      </c>
      <c r="I384" s="812">
        <v>2450.4</v>
      </c>
      <c r="J384" s="812">
        <v>1</v>
      </c>
      <c r="K384" s="813">
        <v>2450.4</v>
      </c>
    </row>
    <row r="385" spans="1:11" ht="14.4" customHeight="1" x14ac:dyDescent="0.3">
      <c r="A385" s="794" t="s">
        <v>591</v>
      </c>
      <c r="B385" s="795" t="s">
        <v>592</v>
      </c>
      <c r="C385" s="798" t="s">
        <v>2074</v>
      </c>
      <c r="D385" s="826" t="s">
        <v>3345</v>
      </c>
      <c r="E385" s="798" t="s">
        <v>3346</v>
      </c>
      <c r="F385" s="826" t="s">
        <v>3347</v>
      </c>
      <c r="G385" s="798" t="s">
        <v>2745</v>
      </c>
      <c r="H385" s="798" t="s">
        <v>2746</v>
      </c>
      <c r="I385" s="812">
        <v>943</v>
      </c>
      <c r="J385" s="812">
        <v>2</v>
      </c>
      <c r="K385" s="813">
        <v>1886</v>
      </c>
    </row>
    <row r="386" spans="1:11" ht="14.4" customHeight="1" x14ac:dyDescent="0.3">
      <c r="A386" s="794" t="s">
        <v>591</v>
      </c>
      <c r="B386" s="795" t="s">
        <v>592</v>
      </c>
      <c r="C386" s="798" t="s">
        <v>2074</v>
      </c>
      <c r="D386" s="826" t="s">
        <v>3345</v>
      </c>
      <c r="E386" s="798" t="s">
        <v>3346</v>
      </c>
      <c r="F386" s="826" t="s">
        <v>3347</v>
      </c>
      <c r="G386" s="798" t="s">
        <v>2747</v>
      </c>
      <c r="H386" s="798" t="s">
        <v>2748</v>
      </c>
      <c r="I386" s="812">
        <v>597.49153846153831</v>
      </c>
      <c r="J386" s="812">
        <v>16</v>
      </c>
      <c r="K386" s="813">
        <v>9559.869999999999</v>
      </c>
    </row>
    <row r="387" spans="1:11" ht="14.4" customHeight="1" x14ac:dyDescent="0.3">
      <c r="A387" s="794" t="s">
        <v>591</v>
      </c>
      <c r="B387" s="795" t="s">
        <v>592</v>
      </c>
      <c r="C387" s="798" t="s">
        <v>2074</v>
      </c>
      <c r="D387" s="826" t="s">
        <v>3345</v>
      </c>
      <c r="E387" s="798" t="s">
        <v>3346</v>
      </c>
      <c r="F387" s="826" t="s">
        <v>3347</v>
      </c>
      <c r="G387" s="798" t="s">
        <v>2749</v>
      </c>
      <c r="H387" s="798" t="s">
        <v>2750</v>
      </c>
      <c r="I387" s="812">
        <v>596.38</v>
      </c>
      <c r="J387" s="812">
        <v>3</v>
      </c>
      <c r="K387" s="813">
        <v>1789.15</v>
      </c>
    </row>
    <row r="388" spans="1:11" ht="14.4" customHeight="1" x14ac:dyDescent="0.3">
      <c r="A388" s="794" t="s">
        <v>591</v>
      </c>
      <c r="B388" s="795" t="s">
        <v>592</v>
      </c>
      <c r="C388" s="798" t="s">
        <v>2074</v>
      </c>
      <c r="D388" s="826" t="s">
        <v>3345</v>
      </c>
      <c r="E388" s="798" t="s">
        <v>3346</v>
      </c>
      <c r="F388" s="826" t="s">
        <v>3347</v>
      </c>
      <c r="G388" s="798" t="s">
        <v>2751</v>
      </c>
      <c r="H388" s="798" t="s">
        <v>2752</v>
      </c>
      <c r="I388" s="812">
        <v>640.83000000000004</v>
      </c>
      <c r="J388" s="812">
        <v>1</v>
      </c>
      <c r="K388" s="813">
        <v>640.83000000000004</v>
      </c>
    </row>
    <row r="389" spans="1:11" ht="14.4" customHeight="1" x14ac:dyDescent="0.3">
      <c r="A389" s="794" t="s">
        <v>591</v>
      </c>
      <c r="B389" s="795" t="s">
        <v>592</v>
      </c>
      <c r="C389" s="798" t="s">
        <v>2074</v>
      </c>
      <c r="D389" s="826" t="s">
        <v>3345</v>
      </c>
      <c r="E389" s="798" t="s">
        <v>3346</v>
      </c>
      <c r="F389" s="826" t="s">
        <v>3347</v>
      </c>
      <c r="G389" s="798" t="s">
        <v>2753</v>
      </c>
      <c r="H389" s="798" t="s">
        <v>2754</v>
      </c>
      <c r="I389" s="812">
        <v>596.74</v>
      </c>
      <c r="J389" s="812">
        <v>1</v>
      </c>
      <c r="K389" s="813">
        <v>596.74</v>
      </c>
    </row>
    <row r="390" spans="1:11" ht="14.4" customHeight="1" x14ac:dyDescent="0.3">
      <c r="A390" s="794" t="s">
        <v>591</v>
      </c>
      <c r="B390" s="795" t="s">
        <v>592</v>
      </c>
      <c r="C390" s="798" t="s">
        <v>2074</v>
      </c>
      <c r="D390" s="826" t="s">
        <v>3345</v>
      </c>
      <c r="E390" s="798" t="s">
        <v>3346</v>
      </c>
      <c r="F390" s="826" t="s">
        <v>3347</v>
      </c>
      <c r="G390" s="798" t="s">
        <v>2755</v>
      </c>
      <c r="H390" s="798" t="s">
        <v>2756</v>
      </c>
      <c r="I390" s="812">
        <v>8766.4500000000007</v>
      </c>
      <c r="J390" s="812">
        <v>1</v>
      </c>
      <c r="K390" s="813">
        <v>8766.4500000000007</v>
      </c>
    </row>
    <row r="391" spans="1:11" ht="14.4" customHeight="1" x14ac:dyDescent="0.3">
      <c r="A391" s="794" t="s">
        <v>591</v>
      </c>
      <c r="B391" s="795" t="s">
        <v>592</v>
      </c>
      <c r="C391" s="798" t="s">
        <v>2074</v>
      </c>
      <c r="D391" s="826" t="s">
        <v>3345</v>
      </c>
      <c r="E391" s="798" t="s">
        <v>3346</v>
      </c>
      <c r="F391" s="826" t="s">
        <v>3347</v>
      </c>
      <c r="G391" s="798" t="s">
        <v>2757</v>
      </c>
      <c r="H391" s="798" t="s">
        <v>2758</v>
      </c>
      <c r="I391" s="812">
        <v>805</v>
      </c>
      <c r="J391" s="812">
        <v>1</v>
      </c>
      <c r="K391" s="813">
        <v>805</v>
      </c>
    </row>
    <row r="392" spans="1:11" ht="14.4" customHeight="1" x14ac:dyDescent="0.3">
      <c r="A392" s="794" t="s">
        <v>591</v>
      </c>
      <c r="B392" s="795" t="s">
        <v>592</v>
      </c>
      <c r="C392" s="798" t="s">
        <v>2074</v>
      </c>
      <c r="D392" s="826" t="s">
        <v>3345</v>
      </c>
      <c r="E392" s="798" t="s">
        <v>3346</v>
      </c>
      <c r="F392" s="826" t="s">
        <v>3347</v>
      </c>
      <c r="G392" s="798" t="s">
        <v>2759</v>
      </c>
      <c r="H392" s="798" t="s">
        <v>2760</v>
      </c>
      <c r="I392" s="812">
        <v>3859.17</v>
      </c>
      <c r="J392" s="812">
        <v>2</v>
      </c>
      <c r="K392" s="813">
        <v>7718.34</v>
      </c>
    </row>
    <row r="393" spans="1:11" ht="14.4" customHeight="1" x14ac:dyDescent="0.3">
      <c r="A393" s="794" t="s">
        <v>591</v>
      </c>
      <c r="B393" s="795" t="s">
        <v>592</v>
      </c>
      <c r="C393" s="798" t="s">
        <v>2074</v>
      </c>
      <c r="D393" s="826" t="s">
        <v>3345</v>
      </c>
      <c r="E393" s="798" t="s">
        <v>3346</v>
      </c>
      <c r="F393" s="826" t="s">
        <v>3347</v>
      </c>
      <c r="G393" s="798" t="s">
        <v>2761</v>
      </c>
      <c r="H393" s="798" t="s">
        <v>2762</v>
      </c>
      <c r="I393" s="812">
        <v>943</v>
      </c>
      <c r="J393" s="812">
        <v>1</v>
      </c>
      <c r="K393" s="813">
        <v>943</v>
      </c>
    </row>
    <row r="394" spans="1:11" ht="14.4" customHeight="1" x14ac:dyDescent="0.3">
      <c r="A394" s="794" t="s">
        <v>591</v>
      </c>
      <c r="B394" s="795" t="s">
        <v>592</v>
      </c>
      <c r="C394" s="798" t="s">
        <v>2074</v>
      </c>
      <c r="D394" s="826" t="s">
        <v>3345</v>
      </c>
      <c r="E394" s="798" t="s">
        <v>3346</v>
      </c>
      <c r="F394" s="826" t="s">
        <v>3347</v>
      </c>
      <c r="G394" s="798" t="s">
        <v>2763</v>
      </c>
      <c r="H394" s="798" t="s">
        <v>2764</v>
      </c>
      <c r="I394" s="812">
        <v>770.98500000000001</v>
      </c>
      <c r="J394" s="812">
        <v>2</v>
      </c>
      <c r="K394" s="813">
        <v>1541.97</v>
      </c>
    </row>
    <row r="395" spans="1:11" ht="14.4" customHeight="1" x14ac:dyDescent="0.3">
      <c r="A395" s="794" t="s">
        <v>591</v>
      </c>
      <c r="B395" s="795" t="s">
        <v>592</v>
      </c>
      <c r="C395" s="798" t="s">
        <v>2074</v>
      </c>
      <c r="D395" s="826" t="s">
        <v>3345</v>
      </c>
      <c r="E395" s="798" t="s">
        <v>3346</v>
      </c>
      <c r="F395" s="826" t="s">
        <v>3347</v>
      </c>
      <c r="G395" s="798" t="s">
        <v>2765</v>
      </c>
      <c r="H395" s="798" t="s">
        <v>2766</v>
      </c>
      <c r="I395" s="812">
        <v>770.98</v>
      </c>
      <c r="J395" s="812">
        <v>2</v>
      </c>
      <c r="K395" s="813">
        <v>1541.96</v>
      </c>
    </row>
    <row r="396" spans="1:11" ht="14.4" customHeight="1" x14ac:dyDescent="0.3">
      <c r="A396" s="794" t="s">
        <v>591</v>
      </c>
      <c r="B396" s="795" t="s">
        <v>592</v>
      </c>
      <c r="C396" s="798" t="s">
        <v>2074</v>
      </c>
      <c r="D396" s="826" t="s">
        <v>3345</v>
      </c>
      <c r="E396" s="798" t="s">
        <v>3346</v>
      </c>
      <c r="F396" s="826" t="s">
        <v>3347</v>
      </c>
      <c r="G396" s="798" t="s">
        <v>2767</v>
      </c>
      <c r="H396" s="798" t="s">
        <v>2768</v>
      </c>
      <c r="I396" s="812">
        <v>1066.33</v>
      </c>
      <c r="J396" s="812">
        <v>5</v>
      </c>
      <c r="K396" s="813">
        <v>5331.65</v>
      </c>
    </row>
    <row r="397" spans="1:11" ht="14.4" customHeight="1" x14ac:dyDescent="0.3">
      <c r="A397" s="794" t="s">
        <v>591</v>
      </c>
      <c r="B397" s="795" t="s">
        <v>592</v>
      </c>
      <c r="C397" s="798" t="s">
        <v>2074</v>
      </c>
      <c r="D397" s="826" t="s">
        <v>3345</v>
      </c>
      <c r="E397" s="798" t="s">
        <v>3346</v>
      </c>
      <c r="F397" s="826" t="s">
        <v>3347</v>
      </c>
      <c r="G397" s="798" t="s">
        <v>2769</v>
      </c>
      <c r="H397" s="798" t="s">
        <v>2770</v>
      </c>
      <c r="I397" s="812">
        <v>1579.9916666666666</v>
      </c>
      <c r="J397" s="812">
        <v>19</v>
      </c>
      <c r="K397" s="813">
        <v>30019.82</v>
      </c>
    </row>
    <row r="398" spans="1:11" ht="14.4" customHeight="1" x14ac:dyDescent="0.3">
      <c r="A398" s="794" t="s">
        <v>591</v>
      </c>
      <c r="B398" s="795" t="s">
        <v>592</v>
      </c>
      <c r="C398" s="798" t="s">
        <v>2074</v>
      </c>
      <c r="D398" s="826" t="s">
        <v>3345</v>
      </c>
      <c r="E398" s="798" t="s">
        <v>3346</v>
      </c>
      <c r="F398" s="826" t="s">
        <v>3347</v>
      </c>
      <c r="G398" s="798" t="s">
        <v>2771</v>
      </c>
      <c r="H398" s="798" t="s">
        <v>2772</v>
      </c>
      <c r="I398" s="812">
        <v>884.05</v>
      </c>
      <c r="J398" s="812">
        <v>2</v>
      </c>
      <c r="K398" s="813">
        <v>1768.1</v>
      </c>
    </row>
    <row r="399" spans="1:11" ht="14.4" customHeight="1" x14ac:dyDescent="0.3">
      <c r="A399" s="794" t="s">
        <v>591</v>
      </c>
      <c r="B399" s="795" t="s">
        <v>592</v>
      </c>
      <c r="C399" s="798" t="s">
        <v>2074</v>
      </c>
      <c r="D399" s="826" t="s">
        <v>3345</v>
      </c>
      <c r="E399" s="798" t="s">
        <v>3346</v>
      </c>
      <c r="F399" s="826" t="s">
        <v>3347</v>
      </c>
      <c r="G399" s="798" t="s">
        <v>2773</v>
      </c>
      <c r="H399" s="798" t="s">
        <v>2774</v>
      </c>
      <c r="I399" s="812">
        <v>1579.9866666666667</v>
      </c>
      <c r="J399" s="812">
        <v>14</v>
      </c>
      <c r="K399" s="813">
        <v>22119.809999999998</v>
      </c>
    </row>
    <row r="400" spans="1:11" ht="14.4" customHeight="1" x14ac:dyDescent="0.3">
      <c r="A400" s="794" t="s">
        <v>591</v>
      </c>
      <c r="B400" s="795" t="s">
        <v>592</v>
      </c>
      <c r="C400" s="798" t="s">
        <v>2074</v>
      </c>
      <c r="D400" s="826" t="s">
        <v>3345</v>
      </c>
      <c r="E400" s="798" t="s">
        <v>3346</v>
      </c>
      <c r="F400" s="826" t="s">
        <v>3347</v>
      </c>
      <c r="G400" s="798" t="s">
        <v>2775</v>
      </c>
      <c r="H400" s="798" t="s">
        <v>2776</v>
      </c>
      <c r="I400" s="812">
        <v>1008.8075000000001</v>
      </c>
      <c r="J400" s="812">
        <v>14</v>
      </c>
      <c r="K400" s="813">
        <v>14123.3</v>
      </c>
    </row>
    <row r="401" spans="1:11" ht="14.4" customHeight="1" x14ac:dyDescent="0.3">
      <c r="A401" s="794" t="s">
        <v>591</v>
      </c>
      <c r="B401" s="795" t="s">
        <v>592</v>
      </c>
      <c r="C401" s="798" t="s">
        <v>2074</v>
      </c>
      <c r="D401" s="826" t="s">
        <v>3345</v>
      </c>
      <c r="E401" s="798" t="s">
        <v>3346</v>
      </c>
      <c r="F401" s="826" t="s">
        <v>3347</v>
      </c>
      <c r="G401" s="798" t="s">
        <v>2777</v>
      </c>
      <c r="H401" s="798" t="s">
        <v>2778</v>
      </c>
      <c r="I401" s="812">
        <v>281.69666666666666</v>
      </c>
      <c r="J401" s="812">
        <v>7</v>
      </c>
      <c r="K401" s="813">
        <v>1971.88</v>
      </c>
    </row>
    <row r="402" spans="1:11" ht="14.4" customHeight="1" x14ac:dyDescent="0.3">
      <c r="A402" s="794" t="s">
        <v>591</v>
      </c>
      <c r="B402" s="795" t="s">
        <v>592</v>
      </c>
      <c r="C402" s="798" t="s">
        <v>2074</v>
      </c>
      <c r="D402" s="826" t="s">
        <v>3345</v>
      </c>
      <c r="E402" s="798" t="s">
        <v>3346</v>
      </c>
      <c r="F402" s="826" t="s">
        <v>3347</v>
      </c>
      <c r="G402" s="798" t="s">
        <v>2779</v>
      </c>
      <c r="H402" s="798" t="s">
        <v>2780</v>
      </c>
      <c r="I402" s="812">
        <v>1579.9816666666666</v>
      </c>
      <c r="J402" s="812">
        <v>26</v>
      </c>
      <c r="K402" s="813">
        <v>41079.619999999995</v>
      </c>
    </row>
    <row r="403" spans="1:11" ht="14.4" customHeight="1" x14ac:dyDescent="0.3">
      <c r="A403" s="794" t="s">
        <v>591</v>
      </c>
      <c r="B403" s="795" t="s">
        <v>592</v>
      </c>
      <c r="C403" s="798" t="s">
        <v>2074</v>
      </c>
      <c r="D403" s="826" t="s">
        <v>3345</v>
      </c>
      <c r="E403" s="798" t="s">
        <v>3346</v>
      </c>
      <c r="F403" s="826" t="s">
        <v>3347</v>
      </c>
      <c r="G403" s="798" t="s">
        <v>2781</v>
      </c>
      <c r="H403" s="798" t="s">
        <v>2782</v>
      </c>
      <c r="I403" s="812">
        <v>1008.8166666666667</v>
      </c>
      <c r="J403" s="812">
        <v>7</v>
      </c>
      <c r="K403" s="813">
        <v>7061.7000000000007</v>
      </c>
    </row>
    <row r="404" spans="1:11" ht="14.4" customHeight="1" x14ac:dyDescent="0.3">
      <c r="A404" s="794" t="s">
        <v>591</v>
      </c>
      <c r="B404" s="795" t="s">
        <v>592</v>
      </c>
      <c r="C404" s="798" t="s">
        <v>2074</v>
      </c>
      <c r="D404" s="826" t="s">
        <v>3345</v>
      </c>
      <c r="E404" s="798" t="s">
        <v>3346</v>
      </c>
      <c r="F404" s="826" t="s">
        <v>3347</v>
      </c>
      <c r="G404" s="798" t="s">
        <v>2783</v>
      </c>
      <c r="H404" s="798" t="s">
        <v>2784</v>
      </c>
      <c r="I404" s="812">
        <v>886.01</v>
      </c>
      <c r="J404" s="812">
        <v>1</v>
      </c>
      <c r="K404" s="813">
        <v>886.01</v>
      </c>
    </row>
    <row r="405" spans="1:11" ht="14.4" customHeight="1" x14ac:dyDescent="0.3">
      <c r="A405" s="794" t="s">
        <v>591</v>
      </c>
      <c r="B405" s="795" t="s">
        <v>592</v>
      </c>
      <c r="C405" s="798" t="s">
        <v>2074</v>
      </c>
      <c r="D405" s="826" t="s">
        <v>3345</v>
      </c>
      <c r="E405" s="798" t="s">
        <v>3346</v>
      </c>
      <c r="F405" s="826" t="s">
        <v>3347</v>
      </c>
      <c r="G405" s="798" t="s">
        <v>2785</v>
      </c>
      <c r="H405" s="798" t="s">
        <v>2786</v>
      </c>
      <c r="I405" s="812">
        <v>403.52</v>
      </c>
      <c r="J405" s="812">
        <v>4</v>
      </c>
      <c r="K405" s="813">
        <v>1614.08</v>
      </c>
    </row>
    <row r="406" spans="1:11" ht="14.4" customHeight="1" x14ac:dyDescent="0.3">
      <c r="A406" s="794" t="s">
        <v>591</v>
      </c>
      <c r="B406" s="795" t="s">
        <v>592</v>
      </c>
      <c r="C406" s="798" t="s">
        <v>2074</v>
      </c>
      <c r="D406" s="826" t="s">
        <v>3345</v>
      </c>
      <c r="E406" s="798" t="s">
        <v>3346</v>
      </c>
      <c r="F406" s="826" t="s">
        <v>3347</v>
      </c>
      <c r="G406" s="798" t="s">
        <v>2787</v>
      </c>
      <c r="H406" s="798" t="s">
        <v>2788</v>
      </c>
      <c r="I406" s="812">
        <v>281.69722222222219</v>
      </c>
      <c r="J406" s="812">
        <v>56</v>
      </c>
      <c r="K406" s="813">
        <v>15775.029999999999</v>
      </c>
    </row>
    <row r="407" spans="1:11" ht="14.4" customHeight="1" x14ac:dyDescent="0.3">
      <c r="A407" s="794" t="s">
        <v>591</v>
      </c>
      <c r="B407" s="795" t="s">
        <v>592</v>
      </c>
      <c r="C407" s="798" t="s">
        <v>2074</v>
      </c>
      <c r="D407" s="826" t="s">
        <v>3345</v>
      </c>
      <c r="E407" s="798" t="s">
        <v>3346</v>
      </c>
      <c r="F407" s="826" t="s">
        <v>3347</v>
      </c>
      <c r="G407" s="798" t="s">
        <v>2789</v>
      </c>
      <c r="H407" s="798" t="s">
        <v>2790</v>
      </c>
      <c r="I407" s="812">
        <v>7886.3</v>
      </c>
      <c r="J407" s="812">
        <v>1</v>
      </c>
      <c r="K407" s="813">
        <v>7886.3</v>
      </c>
    </row>
    <row r="408" spans="1:11" ht="14.4" customHeight="1" x14ac:dyDescent="0.3">
      <c r="A408" s="794" t="s">
        <v>591</v>
      </c>
      <c r="B408" s="795" t="s">
        <v>592</v>
      </c>
      <c r="C408" s="798" t="s">
        <v>2074</v>
      </c>
      <c r="D408" s="826" t="s">
        <v>3345</v>
      </c>
      <c r="E408" s="798" t="s">
        <v>3346</v>
      </c>
      <c r="F408" s="826" t="s">
        <v>3347</v>
      </c>
      <c r="G408" s="798" t="s">
        <v>2791</v>
      </c>
      <c r="H408" s="798" t="s">
        <v>2792</v>
      </c>
      <c r="I408" s="812">
        <v>195.92666666666665</v>
      </c>
      <c r="J408" s="812">
        <v>8</v>
      </c>
      <c r="K408" s="813">
        <v>1567.3999999999999</v>
      </c>
    </row>
    <row r="409" spans="1:11" ht="14.4" customHeight="1" x14ac:dyDescent="0.3">
      <c r="A409" s="794" t="s">
        <v>591</v>
      </c>
      <c r="B409" s="795" t="s">
        <v>592</v>
      </c>
      <c r="C409" s="798" t="s">
        <v>2074</v>
      </c>
      <c r="D409" s="826" t="s">
        <v>3345</v>
      </c>
      <c r="E409" s="798" t="s">
        <v>3346</v>
      </c>
      <c r="F409" s="826" t="s">
        <v>3347</v>
      </c>
      <c r="G409" s="798" t="s">
        <v>2793</v>
      </c>
      <c r="H409" s="798" t="s">
        <v>2794</v>
      </c>
      <c r="I409" s="812">
        <v>9084.2199999999993</v>
      </c>
      <c r="J409" s="812">
        <v>1</v>
      </c>
      <c r="K409" s="813">
        <v>9084.2199999999993</v>
      </c>
    </row>
    <row r="410" spans="1:11" ht="14.4" customHeight="1" x14ac:dyDescent="0.3">
      <c r="A410" s="794" t="s">
        <v>591</v>
      </c>
      <c r="B410" s="795" t="s">
        <v>592</v>
      </c>
      <c r="C410" s="798" t="s">
        <v>2074</v>
      </c>
      <c r="D410" s="826" t="s">
        <v>3345</v>
      </c>
      <c r="E410" s="798" t="s">
        <v>3346</v>
      </c>
      <c r="F410" s="826" t="s">
        <v>3347</v>
      </c>
      <c r="G410" s="798" t="s">
        <v>2795</v>
      </c>
      <c r="H410" s="798" t="s">
        <v>2796</v>
      </c>
      <c r="I410" s="812">
        <v>1215.46</v>
      </c>
      <c r="J410" s="812">
        <v>4</v>
      </c>
      <c r="K410" s="813">
        <v>4861.84</v>
      </c>
    </row>
    <row r="411" spans="1:11" ht="14.4" customHeight="1" x14ac:dyDescent="0.3">
      <c r="A411" s="794" t="s">
        <v>591</v>
      </c>
      <c r="B411" s="795" t="s">
        <v>592</v>
      </c>
      <c r="C411" s="798" t="s">
        <v>2074</v>
      </c>
      <c r="D411" s="826" t="s">
        <v>3345</v>
      </c>
      <c r="E411" s="798" t="s">
        <v>3346</v>
      </c>
      <c r="F411" s="826" t="s">
        <v>3347</v>
      </c>
      <c r="G411" s="798" t="s">
        <v>2797</v>
      </c>
      <c r="H411" s="798" t="s">
        <v>2798</v>
      </c>
      <c r="I411" s="812">
        <v>880.13499999999999</v>
      </c>
      <c r="J411" s="812">
        <v>3</v>
      </c>
      <c r="K411" s="813">
        <v>2640.39</v>
      </c>
    </row>
    <row r="412" spans="1:11" ht="14.4" customHeight="1" x14ac:dyDescent="0.3">
      <c r="A412" s="794" t="s">
        <v>591</v>
      </c>
      <c r="B412" s="795" t="s">
        <v>592</v>
      </c>
      <c r="C412" s="798" t="s">
        <v>2074</v>
      </c>
      <c r="D412" s="826" t="s">
        <v>3345</v>
      </c>
      <c r="E412" s="798" t="s">
        <v>3346</v>
      </c>
      <c r="F412" s="826" t="s">
        <v>3347</v>
      </c>
      <c r="G412" s="798" t="s">
        <v>2799</v>
      </c>
      <c r="H412" s="798" t="s">
        <v>2800</v>
      </c>
      <c r="I412" s="812">
        <v>9087.1299999999992</v>
      </c>
      <c r="J412" s="812">
        <v>1</v>
      </c>
      <c r="K412" s="813">
        <v>9087.1299999999992</v>
      </c>
    </row>
    <row r="413" spans="1:11" ht="14.4" customHeight="1" x14ac:dyDescent="0.3">
      <c r="A413" s="794" t="s">
        <v>591</v>
      </c>
      <c r="B413" s="795" t="s">
        <v>592</v>
      </c>
      <c r="C413" s="798" t="s">
        <v>2074</v>
      </c>
      <c r="D413" s="826" t="s">
        <v>3345</v>
      </c>
      <c r="E413" s="798" t="s">
        <v>3346</v>
      </c>
      <c r="F413" s="826" t="s">
        <v>3347</v>
      </c>
      <c r="G413" s="798" t="s">
        <v>2801</v>
      </c>
      <c r="H413" s="798" t="s">
        <v>2802</v>
      </c>
      <c r="I413" s="812">
        <v>618</v>
      </c>
      <c r="J413" s="812">
        <v>1</v>
      </c>
      <c r="K413" s="813">
        <v>618</v>
      </c>
    </row>
    <row r="414" spans="1:11" ht="14.4" customHeight="1" x14ac:dyDescent="0.3">
      <c r="A414" s="794" t="s">
        <v>591</v>
      </c>
      <c r="B414" s="795" t="s">
        <v>592</v>
      </c>
      <c r="C414" s="798" t="s">
        <v>2074</v>
      </c>
      <c r="D414" s="826" t="s">
        <v>3345</v>
      </c>
      <c r="E414" s="798" t="s">
        <v>3346</v>
      </c>
      <c r="F414" s="826" t="s">
        <v>3347</v>
      </c>
      <c r="G414" s="798" t="s">
        <v>2803</v>
      </c>
      <c r="H414" s="798" t="s">
        <v>2804</v>
      </c>
      <c r="I414" s="812">
        <v>1215.46</v>
      </c>
      <c r="J414" s="812">
        <v>3</v>
      </c>
      <c r="K414" s="813">
        <v>3646.38</v>
      </c>
    </row>
    <row r="415" spans="1:11" ht="14.4" customHeight="1" x14ac:dyDescent="0.3">
      <c r="A415" s="794" t="s">
        <v>591</v>
      </c>
      <c r="B415" s="795" t="s">
        <v>592</v>
      </c>
      <c r="C415" s="798" t="s">
        <v>2074</v>
      </c>
      <c r="D415" s="826" t="s">
        <v>3345</v>
      </c>
      <c r="E415" s="798" t="s">
        <v>3346</v>
      </c>
      <c r="F415" s="826" t="s">
        <v>3347</v>
      </c>
      <c r="G415" s="798" t="s">
        <v>2805</v>
      </c>
      <c r="H415" s="798" t="s">
        <v>2806</v>
      </c>
      <c r="I415" s="812">
        <v>186.17</v>
      </c>
      <c r="J415" s="812">
        <v>3</v>
      </c>
      <c r="K415" s="813">
        <v>558.51</v>
      </c>
    </row>
    <row r="416" spans="1:11" ht="14.4" customHeight="1" x14ac:dyDescent="0.3">
      <c r="A416" s="794" t="s">
        <v>591</v>
      </c>
      <c r="B416" s="795" t="s">
        <v>592</v>
      </c>
      <c r="C416" s="798" t="s">
        <v>2074</v>
      </c>
      <c r="D416" s="826" t="s">
        <v>3345</v>
      </c>
      <c r="E416" s="798" t="s">
        <v>3346</v>
      </c>
      <c r="F416" s="826" t="s">
        <v>3347</v>
      </c>
      <c r="G416" s="798" t="s">
        <v>2807</v>
      </c>
      <c r="H416" s="798" t="s">
        <v>2808</v>
      </c>
      <c r="I416" s="812">
        <v>281.69</v>
      </c>
      <c r="J416" s="812">
        <v>6</v>
      </c>
      <c r="K416" s="813">
        <v>1690.15</v>
      </c>
    </row>
    <row r="417" spans="1:11" ht="14.4" customHeight="1" x14ac:dyDescent="0.3">
      <c r="A417" s="794" t="s">
        <v>591</v>
      </c>
      <c r="B417" s="795" t="s">
        <v>592</v>
      </c>
      <c r="C417" s="798" t="s">
        <v>2074</v>
      </c>
      <c r="D417" s="826" t="s">
        <v>3345</v>
      </c>
      <c r="E417" s="798" t="s">
        <v>3346</v>
      </c>
      <c r="F417" s="826" t="s">
        <v>3347</v>
      </c>
      <c r="G417" s="798" t="s">
        <v>2809</v>
      </c>
      <c r="H417" s="798" t="s">
        <v>2810</v>
      </c>
      <c r="I417" s="812">
        <v>884.06</v>
      </c>
      <c r="J417" s="812">
        <v>4</v>
      </c>
      <c r="K417" s="813">
        <v>3536.25</v>
      </c>
    </row>
    <row r="418" spans="1:11" ht="14.4" customHeight="1" x14ac:dyDescent="0.3">
      <c r="A418" s="794" t="s">
        <v>591</v>
      </c>
      <c r="B418" s="795" t="s">
        <v>592</v>
      </c>
      <c r="C418" s="798" t="s">
        <v>2074</v>
      </c>
      <c r="D418" s="826" t="s">
        <v>3345</v>
      </c>
      <c r="E418" s="798" t="s">
        <v>3346</v>
      </c>
      <c r="F418" s="826" t="s">
        <v>3347</v>
      </c>
      <c r="G418" s="798" t="s">
        <v>2811</v>
      </c>
      <c r="H418" s="798" t="s">
        <v>2812</v>
      </c>
      <c r="I418" s="812">
        <v>370.38666666666666</v>
      </c>
      <c r="J418" s="812">
        <v>12</v>
      </c>
      <c r="K418" s="813">
        <v>4444.66</v>
      </c>
    </row>
    <row r="419" spans="1:11" ht="14.4" customHeight="1" x14ac:dyDescent="0.3">
      <c r="A419" s="794" t="s">
        <v>591</v>
      </c>
      <c r="B419" s="795" t="s">
        <v>592</v>
      </c>
      <c r="C419" s="798" t="s">
        <v>2074</v>
      </c>
      <c r="D419" s="826" t="s">
        <v>3345</v>
      </c>
      <c r="E419" s="798" t="s">
        <v>3346</v>
      </c>
      <c r="F419" s="826" t="s">
        <v>3347</v>
      </c>
      <c r="G419" s="798" t="s">
        <v>2813</v>
      </c>
      <c r="H419" s="798" t="s">
        <v>2814</v>
      </c>
      <c r="I419" s="812">
        <v>426.91500000000002</v>
      </c>
      <c r="J419" s="812">
        <v>2</v>
      </c>
      <c r="K419" s="813">
        <v>853.83</v>
      </c>
    </row>
    <row r="420" spans="1:11" ht="14.4" customHeight="1" x14ac:dyDescent="0.3">
      <c r="A420" s="794" t="s">
        <v>591</v>
      </c>
      <c r="B420" s="795" t="s">
        <v>592</v>
      </c>
      <c r="C420" s="798" t="s">
        <v>2074</v>
      </c>
      <c r="D420" s="826" t="s">
        <v>3345</v>
      </c>
      <c r="E420" s="798" t="s">
        <v>3346</v>
      </c>
      <c r="F420" s="826" t="s">
        <v>3347</v>
      </c>
      <c r="G420" s="798" t="s">
        <v>2815</v>
      </c>
      <c r="H420" s="798" t="s">
        <v>2816</v>
      </c>
      <c r="I420" s="812">
        <v>7029.57</v>
      </c>
      <c r="J420" s="812">
        <v>2</v>
      </c>
      <c r="K420" s="813">
        <v>14059.14</v>
      </c>
    </row>
    <row r="421" spans="1:11" ht="14.4" customHeight="1" x14ac:dyDescent="0.3">
      <c r="A421" s="794" t="s">
        <v>591</v>
      </c>
      <c r="B421" s="795" t="s">
        <v>592</v>
      </c>
      <c r="C421" s="798" t="s">
        <v>2074</v>
      </c>
      <c r="D421" s="826" t="s">
        <v>3345</v>
      </c>
      <c r="E421" s="798" t="s">
        <v>3346</v>
      </c>
      <c r="F421" s="826" t="s">
        <v>3347</v>
      </c>
      <c r="G421" s="798" t="s">
        <v>2817</v>
      </c>
      <c r="H421" s="798" t="s">
        <v>2818</v>
      </c>
      <c r="I421" s="812">
        <v>1008.8219999999999</v>
      </c>
      <c r="J421" s="812">
        <v>6</v>
      </c>
      <c r="K421" s="813">
        <v>6052.92</v>
      </c>
    </row>
    <row r="422" spans="1:11" ht="14.4" customHeight="1" x14ac:dyDescent="0.3">
      <c r="A422" s="794" t="s">
        <v>591</v>
      </c>
      <c r="B422" s="795" t="s">
        <v>592</v>
      </c>
      <c r="C422" s="798" t="s">
        <v>2074</v>
      </c>
      <c r="D422" s="826" t="s">
        <v>3345</v>
      </c>
      <c r="E422" s="798" t="s">
        <v>3346</v>
      </c>
      <c r="F422" s="826" t="s">
        <v>3347</v>
      </c>
      <c r="G422" s="798" t="s">
        <v>2819</v>
      </c>
      <c r="H422" s="798" t="s">
        <v>2820</v>
      </c>
      <c r="I422" s="812">
        <v>617.96</v>
      </c>
      <c r="J422" s="812">
        <v>1</v>
      </c>
      <c r="K422" s="813">
        <v>617.96</v>
      </c>
    </row>
    <row r="423" spans="1:11" ht="14.4" customHeight="1" x14ac:dyDescent="0.3">
      <c r="A423" s="794" t="s">
        <v>591</v>
      </c>
      <c r="B423" s="795" t="s">
        <v>592</v>
      </c>
      <c r="C423" s="798" t="s">
        <v>2074</v>
      </c>
      <c r="D423" s="826" t="s">
        <v>3345</v>
      </c>
      <c r="E423" s="798" t="s">
        <v>3346</v>
      </c>
      <c r="F423" s="826" t="s">
        <v>3347</v>
      </c>
      <c r="G423" s="798" t="s">
        <v>2821</v>
      </c>
      <c r="H423" s="798" t="s">
        <v>2822</v>
      </c>
      <c r="I423" s="812">
        <v>426.92</v>
      </c>
      <c r="J423" s="812">
        <v>4</v>
      </c>
      <c r="K423" s="813">
        <v>1707.66</v>
      </c>
    </row>
    <row r="424" spans="1:11" ht="14.4" customHeight="1" x14ac:dyDescent="0.3">
      <c r="A424" s="794" t="s">
        <v>591</v>
      </c>
      <c r="B424" s="795" t="s">
        <v>592</v>
      </c>
      <c r="C424" s="798" t="s">
        <v>2074</v>
      </c>
      <c r="D424" s="826" t="s">
        <v>3345</v>
      </c>
      <c r="E424" s="798" t="s">
        <v>3346</v>
      </c>
      <c r="F424" s="826" t="s">
        <v>3347</v>
      </c>
      <c r="G424" s="798" t="s">
        <v>2823</v>
      </c>
      <c r="H424" s="798" t="s">
        <v>2824</v>
      </c>
      <c r="I424" s="812">
        <v>1213.5</v>
      </c>
      <c r="J424" s="812">
        <v>1</v>
      </c>
      <c r="K424" s="813">
        <v>1213.5</v>
      </c>
    </row>
    <row r="425" spans="1:11" ht="14.4" customHeight="1" x14ac:dyDescent="0.3">
      <c r="A425" s="794" t="s">
        <v>591</v>
      </c>
      <c r="B425" s="795" t="s">
        <v>592</v>
      </c>
      <c r="C425" s="798" t="s">
        <v>2074</v>
      </c>
      <c r="D425" s="826" t="s">
        <v>3345</v>
      </c>
      <c r="E425" s="798" t="s">
        <v>3346</v>
      </c>
      <c r="F425" s="826" t="s">
        <v>3347</v>
      </c>
      <c r="G425" s="798" t="s">
        <v>2825</v>
      </c>
      <c r="H425" s="798" t="s">
        <v>2826</v>
      </c>
      <c r="I425" s="812">
        <v>1213.5</v>
      </c>
      <c r="J425" s="812">
        <v>1</v>
      </c>
      <c r="K425" s="813">
        <v>1213.5</v>
      </c>
    </row>
    <row r="426" spans="1:11" ht="14.4" customHeight="1" x14ac:dyDescent="0.3">
      <c r="A426" s="794" t="s">
        <v>591</v>
      </c>
      <c r="B426" s="795" t="s">
        <v>592</v>
      </c>
      <c r="C426" s="798" t="s">
        <v>2074</v>
      </c>
      <c r="D426" s="826" t="s">
        <v>3345</v>
      </c>
      <c r="E426" s="798" t="s">
        <v>3346</v>
      </c>
      <c r="F426" s="826" t="s">
        <v>3347</v>
      </c>
      <c r="G426" s="798" t="s">
        <v>2827</v>
      </c>
      <c r="H426" s="798" t="s">
        <v>2828</v>
      </c>
      <c r="I426" s="812">
        <v>728.1</v>
      </c>
      <c r="J426" s="812">
        <v>1</v>
      </c>
      <c r="K426" s="813">
        <v>728.1</v>
      </c>
    </row>
    <row r="427" spans="1:11" ht="14.4" customHeight="1" x14ac:dyDescent="0.3">
      <c r="A427" s="794" t="s">
        <v>591</v>
      </c>
      <c r="B427" s="795" t="s">
        <v>592</v>
      </c>
      <c r="C427" s="798" t="s">
        <v>2074</v>
      </c>
      <c r="D427" s="826" t="s">
        <v>3345</v>
      </c>
      <c r="E427" s="798" t="s">
        <v>3346</v>
      </c>
      <c r="F427" s="826" t="s">
        <v>3347</v>
      </c>
      <c r="G427" s="798" t="s">
        <v>2829</v>
      </c>
      <c r="H427" s="798" t="s">
        <v>2830</v>
      </c>
      <c r="I427" s="812">
        <v>1089.72</v>
      </c>
      <c r="J427" s="812">
        <v>2</v>
      </c>
      <c r="K427" s="813">
        <v>2179.44</v>
      </c>
    </row>
    <row r="428" spans="1:11" ht="14.4" customHeight="1" x14ac:dyDescent="0.3">
      <c r="A428" s="794" t="s">
        <v>591</v>
      </c>
      <c r="B428" s="795" t="s">
        <v>592</v>
      </c>
      <c r="C428" s="798" t="s">
        <v>2074</v>
      </c>
      <c r="D428" s="826" t="s">
        <v>3345</v>
      </c>
      <c r="E428" s="798" t="s">
        <v>3346</v>
      </c>
      <c r="F428" s="826" t="s">
        <v>3347</v>
      </c>
      <c r="G428" s="798" t="s">
        <v>2831</v>
      </c>
      <c r="H428" s="798" t="s">
        <v>2832</v>
      </c>
      <c r="I428" s="812">
        <v>1213.5</v>
      </c>
      <c r="J428" s="812">
        <v>2</v>
      </c>
      <c r="K428" s="813">
        <v>2427</v>
      </c>
    </row>
    <row r="429" spans="1:11" ht="14.4" customHeight="1" x14ac:dyDescent="0.3">
      <c r="A429" s="794" t="s">
        <v>591</v>
      </c>
      <c r="B429" s="795" t="s">
        <v>592</v>
      </c>
      <c r="C429" s="798" t="s">
        <v>2074</v>
      </c>
      <c r="D429" s="826" t="s">
        <v>3345</v>
      </c>
      <c r="E429" s="798" t="s">
        <v>3346</v>
      </c>
      <c r="F429" s="826" t="s">
        <v>3347</v>
      </c>
      <c r="G429" s="798" t="s">
        <v>2833</v>
      </c>
      <c r="H429" s="798" t="s">
        <v>2834</v>
      </c>
      <c r="I429" s="812">
        <v>1053.6500000000001</v>
      </c>
      <c r="J429" s="812">
        <v>1</v>
      </c>
      <c r="K429" s="813">
        <v>1053.6500000000001</v>
      </c>
    </row>
    <row r="430" spans="1:11" ht="14.4" customHeight="1" x14ac:dyDescent="0.3">
      <c r="A430" s="794" t="s">
        <v>591</v>
      </c>
      <c r="B430" s="795" t="s">
        <v>592</v>
      </c>
      <c r="C430" s="798" t="s">
        <v>2074</v>
      </c>
      <c r="D430" s="826" t="s">
        <v>3345</v>
      </c>
      <c r="E430" s="798" t="s">
        <v>3346</v>
      </c>
      <c r="F430" s="826" t="s">
        <v>3347</v>
      </c>
      <c r="G430" s="798" t="s">
        <v>2835</v>
      </c>
      <c r="H430" s="798" t="s">
        <v>2836</v>
      </c>
      <c r="I430" s="812">
        <v>1089.72</v>
      </c>
      <c r="J430" s="812">
        <v>1</v>
      </c>
      <c r="K430" s="813">
        <v>1089.72</v>
      </c>
    </row>
    <row r="431" spans="1:11" ht="14.4" customHeight="1" x14ac:dyDescent="0.3">
      <c r="A431" s="794" t="s">
        <v>591</v>
      </c>
      <c r="B431" s="795" t="s">
        <v>592</v>
      </c>
      <c r="C431" s="798" t="s">
        <v>2074</v>
      </c>
      <c r="D431" s="826" t="s">
        <v>3345</v>
      </c>
      <c r="E431" s="798" t="s">
        <v>3346</v>
      </c>
      <c r="F431" s="826" t="s">
        <v>3347</v>
      </c>
      <c r="G431" s="798" t="s">
        <v>2837</v>
      </c>
      <c r="H431" s="798" t="s">
        <v>2838</v>
      </c>
      <c r="I431" s="812">
        <v>403.52</v>
      </c>
      <c r="J431" s="812">
        <v>9</v>
      </c>
      <c r="K431" s="813">
        <v>3631.6899999999996</v>
      </c>
    </row>
    <row r="432" spans="1:11" ht="14.4" customHeight="1" x14ac:dyDescent="0.3">
      <c r="A432" s="794" t="s">
        <v>591</v>
      </c>
      <c r="B432" s="795" t="s">
        <v>592</v>
      </c>
      <c r="C432" s="798" t="s">
        <v>2074</v>
      </c>
      <c r="D432" s="826" t="s">
        <v>3345</v>
      </c>
      <c r="E432" s="798" t="s">
        <v>3346</v>
      </c>
      <c r="F432" s="826" t="s">
        <v>3347</v>
      </c>
      <c r="G432" s="798" t="s">
        <v>2839</v>
      </c>
      <c r="H432" s="798" t="s">
        <v>2840</v>
      </c>
      <c r="I432" s="812">
        <v>403.52249999999998</v>
      </c>
      <c r="J432" s="812">
        <v>6</v>
      </c>
      <c r="K432" s="813">
        <v>2421.1499999999996</v>
      </c>
    </row>
    <row r="433" spans="1:11" ht="14.4" customHeight="1" x14ac:dyDescent="0.3">
      <c r="A433" s="794" t="s">
        <v>591</v>
      </c>
      <c r="B433" s="795" t="s">
        <v>592</v>
      </c>
      <c r="C433" s="798" t="s">
        <v>2074</v>
      </c>
      <c r="D433" s="826" t="s">
        <v>3345</v>
      </c>
      <c r="E433" s="798" t="s">
        <v>3346</v>
      </c>
      <c r="F433" s="826" t="s">
        <v>3347</v>
      </c>
      <c r="G433" s="798" t="s">
        <v>2841</v>
      </c>
      <c r="H433" s="798" t="s">
        <v>2842</v>
      </c>
      <c r="I433" s="812">
        <v>370.39</v>
      </c>
      <c r="J433" s="812">
        <v>2</v>
      </c>
      <c r="K433" s="813">
        <v>740.78</v>
      </c>
    </row>
    <row r="434" spans="1:11" ht="14.4" customHeight="1" x14ac:dyDescent="0.3">
      <c r="A434" s="794" t="s">
        <v>591</v>
      </c>
      <c r="B434" s="795" t="s">
        <v>592</v>
      </c>
      <c r="C434" s="798" t="s">
        <v>2074</v>
      </c>
      <c r="D434" s="826" t="s">
        <v>3345</v>
      </c>
      <c r="E434" s="798" t="s">
        <v>3346</v>
      </c>
      <c r="F434" s="826" t="s">
        <v>3347</v>
      </c>
      <c r="G434" s="798" t="s">
        <v>2843</v>
      </c>
      <c r="H434" s="798" t="s">
        <v>2844</v>
      </c>
      <c r="I434" s="812">
        <v>1089.72</v>
      </c>
      <c r="J434" s="812">
        <v>3</v>
      </c>
      <c r="K434" s="813">
        <v>3269.15</v>
      </c>
    </row>
    <row r="435" spans="1:11" ht="14.4" customHeight="1" x14ac:dyDescent="0.3">
      <c r="A435" s="794" t="s">
        <v>591</v>
      </c>
      <c r="B435" s="795" t="s">
        <v>592</v>
      </c>
      <c r="C435" s="798" t="s">
        <v>2074</v>
      </c>
      <c r="D435" s="826" t="s">
        <v>3345</v>
      </c>
      <c r="E435" s="798" t="s">
        <v>3346</v>
      </c>
      <c r="F435" s="826" t="s">
        <v>3347</v>
      </c>
      <c r="G435" s="798" t="s">
        <v>2845</v>
      </c>
      <c r="H435" s="798" t="s">
        <v>2846</v>
      </c>
      <c r="I435" s="812">
        <v>370.39</v>
      </c>
      <c r="J435" s="812">
        <v>1</v>
      </c>
      <c r="K435" s="813">
        <v>370.39</v>
      </c>
    </row>
    <row r="436" spans="1:11" ht="14.4" customHeight="1" x14ac:dyDescent="0.3">
      <c r="A436" s="794" t="s">
        <v>591</v>
      </c>
      <c r="B436" s="795" t="s">
        <v>592</v>
      </c>
      <c r="C436" s="798" t="s">
        <v>2074</v>
      </c>
      <c r="D436" s="826" t="s">
        <v>3345</v>
      </c>
      <c r="E436" s="798" t="s">
        <v>3346</v>
      </c>
      <c r="F436" s="826" t="s">
        <v>3347</v>
      </c>
      <c r="G436" s="798" t="s">
        <v>2847</v>
      </c>
      <c r="H436" s="798" t="s">
        <v>2848</v>
      </c>
      <c r="I436" s="812">
        <v>597.49</v>
      </c>
      <c r="J436" s="812">
        <v>3</v>
      </c>
      <c r="K436" s="813">
        <v>1792.47</v>
      </c>
    </row>
    <row r="437" spans="1:11" ht="14.4" customHeight="1" x14ac:dyDescent="0.3">
      <c r="A437" s="794" t="s">
        <v>591</v>
      </c>
      <c r="B437" s="795" t="s">
        <v>592</v>
      </c>
      <c r="C437" s="798" t="s">
        <v>2074</v>
      </c>
      <c r="D437" s="826" t="s">
        <v>3345</v>
      </c>
      <c r="E437" s="798" t="s">
        <v>3346</v>
      </c>
      <c r="F437" s="826" t="s">
        <v>3347</v>
      </c>
      <c r="G437" s="798" t="s">
        <v>2849</v>
      </c>
      <c r="H437" s="798" t="s">
        <v>2850</v>
      </c>
      <c r="I437" s="812">
        <v>281.69</v>
      </c>
      <c r="J437" s="812">
        <v>8</v>
      </c>
      <c r="K437" s="813">
        <v>2253.5299999999997</v>
      </c>
    </row>
    <row r="438" spans="1:11" ht="14.4" customHeight="1" x14ac:dyDescent="0.3">
      <c r="A438" s="794" t="s">
        <v>591</v>
      </c>
      <c r="B438" s="795" t="s">
        <v>592</v>
      </c>
      <c r="C438" s="798" t="s">
        <v>2074</v>
      </c>
      <c r="D438" s="826" t="s">
        <v>3345</v>
      </c>
      <c r="E438" s="798" t="s">
        <v>3346</v>
      </c>
      <c r="F438" s="826" t="s">
        <v>3347</v>
      </c>
      <c r="G438" s="798" t="s">
        <v>2851</v>
      </c>
      <c r="H438" s="798" t="s">
        <v>2852</v>
      </c>
      <c r="I438" s="812">
        <v>884.04</v>
      </c>
      <c r="J438" s="812">
        <v>5</v>
      </c>
      <c r="K438" s="813">
        <v>4420.2</v>
      </c>
    </row>
    <row r="439" spans="1:11" ht="14.4" customHeight="1" x14ac:dyDescent="0.3">
      <c r="A439" s="794" t="s">
        <v>591</v>
      </c>
      <c r="B439" s="795" t="s">
        <v>592</v>
      </c>
      <c r="C439" s="798" t="s">
        <v>2074</v>
      </c>
      <c r="D439" s="826" t="s">
        <v>3345</v>
      </c>
      <c r="E439" s="798" t="s">
        <v>3346</v>
      </c>
      <c r="F439" s="826" t="s">
        <v>3347</v>
      </c>
      <c r="G439" s="798" t="s">
        <v>2853</v>
      </c>
      <c r="H439" s="798" t="s">
        <v>2854</v>
      </c>
      <c r="I439" s="812">
        <v>940</v>
      </c>
      <c r="J439" s="812">
        <v>1</v>
      </c>
      <c r="K439" s="813">
        <v>940</v>
      </c>
    </row>
    <row r="440" spans="1:11" ht="14.4" customHeight="1" x14ac:dyDescent="0.3">
      <c r="A440" s="794" t="s">
        <v>591</v>
      </c>
      <c r="B440" s="795" t="s">
        <v>592</v>
      </c>
      <c r="C440" s="798" t="s">
        <v>2074</v>
      </c>
      <c r="D440" s="826" t="s">
        <v>3345</v>
      </c>
      <c r="E440" s="798" t="s">
        <v>3346</v>
      </c>
      <c r="F440" s="826" t="s">
        <v>3347</v>
      </c>
      <c r="G440" s="798" t="s">
        <v>2855</v>
      </c>
      <c r="H440" s="798" t="s">
        <v>2856</v>
      </c>
      <c r="I440" s="812">
        <v>597.4899999999999</v>
      </c>
      <c r="J440" s="812">
        <v>6</v>
      </c>
      <c r="K440" s="813">
        <v>3584.9399999999996</v>
      </c>
    </row>
    <row r="441" spans="1:11" ht="14.4" customHeight="1" x14ac:dyDescent="0.3">
      <c r="A441" s="794" t="s">
        <v>591</v>
      </c>
      <c r="B441" s="795" t="s">
        <v>592</v>
      </c>
      <c r="C441" s="798" t="s">
        <v>2074</v>
      </c>
      <c r="D441" s="826" t="s">
        <v>3345</v>
      </c>
      <c r="E441" s="798" t="s">
        <v>3346</v>
      </c>
      <c r="F441" s="826" t="s">
        <v>3347</v>
      </c>
      <c r="G441" s="798" t="s">
        <v>2857</v>
      </c>
      <c r="H441" s="798" t="s">
        <v>2858</v>
      </c>
      <c r="I441" s="812">
        <v>880.15</v>
      </c>
      <c r="J441" s="812">
        <v>2</v>
      </c>
      <c r="K441" s="813">
        <v>1760.3</v>
      </c>
    </row>
    <row r="442" spans="1:11" ht="14.4" customHeight="1" x14ac:dyDescent="0.3">
      <c r="A442" s="794" t="s">
        <v>591</v>
      </c>
      <c r="B442" s="795" t="s">
        <v>592</v>
      </c>
      <c r="C442" s="798" t="s">
        <v>2074</v>
      </c>
      <c r="D442" s="826" t="s">
        <v>3345</v>
      </c>
      <c r="E442" s="798" t="s">
        <v>3346</v>
      </c>
      <c r="F442" s="826" t="s">
        <v>3347</v>
      </c>
      <c r="G442" s="798" t="s">
        <v>2859</v>
      </c>
      <c r="H442" s="798" t="s">
        <v>2860</v>
      </c>
      <c r="I442" s="812">
        <v>398.65</v>
      </c>
      <c r="J442" s="812">
        <v>1</v>
      </c>
      <c r="K442" s="813">
        <v>398.65</v>
      </c>
    </row>
    <row r="443" spans="1:11" ht="14.4" customHeight="1" x14ac:dyDescent="0.3">
      <c r="A443" s="794" t="s">
        <v>591</v>
      </c>
      <c r="B443" s="795" t="s">
        <v>592</v>
      </c>
      <c r="C443" s="798" t="s">
        <v>2074</v>
      </c>
      <c r="D443" s="826" t="s">
        <v>3345</v>
      </c>
      <c r="E443" s="798" t="s">
        <v>3346</v>
      </c>
      <c r="F443" s="826" t="s">
        <v>3347</v>
      </c>
      <c r="G443" s="798" t="s">
        <v>2861</v>
      </c>
      <c r="H443" s="798" t="s">
        <v>2862</v>
      </c>
      <c r="I443" s="812">
        <v>1270.0228571428572</v>
      </c>
      <c r="J443" s="812">
        <v>7</v>
      </c>
      <c r="K443" s="813">
        <v>8890.16</v>
      </c>
    </row>
    <row r="444" spans="1:11" ht="14.4" customHeight="1" x14ac:dyDescent="0.3">
      <c r="A444" s="794" t="s">
        <v>591</v>
      </c>
      <c r="B444" s="795" t="s">
        <v>592</v>
      </c>
      <c r="C444" s="798" t="s">
        <v>2074</v>
      </c>
      <c r="D444" s="826" t="s">
        <v>3345</v>
      </c>
      <c r="E444" s="798" t="s">
        <v>3346</v>
      </c>
      <c r="F444" s="826" t="s">
        <v>3347</v>
      </c>
      <c r="G444" s="798" t="s">
        <v>2863</v>
      </c>
      <c r="H444" s="798" t="s">
        <v>2864</v>
      </c>
      <c r="I444" s="812">
        <v>7260.55</v>
      </c>
      <c r="J444" s="812">
        <v>1</v>
      </c>
      <c r="K444" s="813">
        <v>7260.55</v>
      </c>
    </row>
    <row r="445" spans="1:11" ht="14.4" customHeight="1" x14ac:dyDescent="0.3">
      <c r="A445" s="794" t="s">
        <v>591</v>
      </c>
      <c r="B445" s="795" t="s">
        <v>592</v>
      </c>
      <c r="C445" s="798" t="s">
        <v>2074</v>
      </c>
      <c r="D445" s="826" t="s">
        <v>3345</v>
      </c>
      <c r="E445" s="798" t="s">
        <v>3346</v>
      </c>
      <c r="F445" s="826" t="s">
        <v>3347</v>
      </c>
      <c r="G445" s="798" t="s">
        <v>2865</v>
      </c>
      <c r="H445" s="798" t="s">
        <v>2866</v>
      </c>
      <c r="I445" s="812">
        <v>588.91999999999996</v>
      </c>
      <c r="J445" s="812">
        <v>5</v>
      </c>
      <c r="K445" s="813">
        <v>2944.59</v>
      </c>
    </row>
    <row r="446" spans="1:11" ht="14.4" customHeight="1" x14ac:dyDescent="0.3">
      <c r="A446" s="794" t="s">
        <v>591</v>
      </c>
      <c r="B446" s="795" t="s">
        <v>592</v>
      </c>
      <c r="C446" s="798" t="s">
        <v>2074</v>
      </c>
      <c r="D446" s="826" t="s">
        <v>3345</v>
      </c>
      <c r="E446" s="798" t="s">
        <v>3346</v>
      </c>
      <c r="F446" s="826" t="s">
        <v>3347</v>
      </c>
      <c r="G446" s="798" t="s">
        <v>2867</v>
      </c>
      <c r="H446" s="798" t="s">
        <v>2868</v>
      </c>
      <c r="I446" s="812">
        <v>770.98</v>
      </c>
      <c r="J446" s="812">
        <v>1</v>
      </c>
      <c r="K446" s="813">
        <v>770.98</v>
      </c>
    </row>
    <row r="447" spans="1:11" ht="14.4" customHeight="1" x14ac:dyDescent="0.3">
      <c r="A447" s="794" t="s">
        <v>591</v>
      </c>
      <c r="B447" s="795" t="s">
        <v>592</v>
      </c>
      <c r="C447" s="798" t="s">
        <v>2074</v>
      </c>
      <c r="D447" s="826" t="s">
        <v>3345</v>
      </c>
      <c r="E447" s="798" t="s">
        <v>3346</v>
      </c>
      <c r="F447" s="826" t="s">
        <v>3347</v>
      </c>
      <c r="G447" s="798" t="s">
        <v>2869</v>
      </c>
      <c r="H447" s="798" t="s">
        <v>2870</v>
      </c>
      <c r="I447" s="812">
        <v>1175.97</v>
      </c>
      <c r="J447" s="812">
        <v>3</v>
      </c>
      <c r="K447" s="813">
        <v>3527.9</v>
      </c>
    </row>
    <row r="448" spans="1:11" ht="14.4" customHeight="1" x14ac:dyDescent="0.3">
      <c r="A448" s="794" t="s">
        <v>591</v>
      </c>
      <c r="B448" s="795" t="s">
        <v>592</v>
      </c>
      <c r="C448" s="798" t="s">
        <v>2074</v>
      </c>
      <c r="D448" s="826" t="s">
        <v>3345</v>
      </c>
      <c r="E448" s="798" t="s">
        <v>3346</v>
      </c>
      <c r="F448" s="826" t="s">
        <v>3347</v>
      </c>
      <c r="G448" s="798" t="s">
        <v>2871</v>
      </c>
      <c r="H448" s="798" t="s">
        <v>2872</v>
      </c>
      <c r="I448" s="812">
        <v>1175.96</v>
      </c>
      <c r="J448" s="812">
        <v>2</v>
      </c>
      <c r="K448" s="813">
        <v>2351.9299999999998</v>
      </c>
    </row>
    <row r="449" spans="1:11" ht="14.4" customHeight="1" x14ac:dyDescent="0.3">
      <c r="A449" s="794" t="s">
        <v>591</v>
      </c>
      <c r="B449" s="795" t="s">
        <v>592</v>
      </c>
      <c r="C449" s="798" t="s">
        <v>2074</v>
      </c>
      <c r="D449" s="826" t="s">
        <v>3345</v>
      </c>
      <c r="E449" s="798" t="s">
        <v>3346</v>
      </c>
      <c r="F449" s="826" t="s">
        <v>3347</v>
      </c>
      <c r="G449" s="798" t="s">
        <v>2873</v>
      </c>
      <c r="H449" s="798" t="s">
        <v>2874</v>
      </c>
      <c r="I449" s="812">
        <v>940</v>
      </c>
      <c r="J449" s="812">
        <v>1</v>
      </c>
      <c r="K449" s="813">
        <v>940</v>
      </c>
    </row>
    <row r="450" spans="1:11" ht="14.4" customHeight="1" x14ac:dyDescent="0.3">
      <c r="A450" s="794" t="s">
        <v>591</v>
      </c>
      <c r="B450" s="795" t="s">
        <v>592</v>
      </c>
      <c r="C450" s="798" t="s">
        <v>2074</v>
      </c>
      <c r="D450" s="826" t="s">
        <v>3345</v>
      </c>
      <c r="E450" s="798" t="s">
        <v>3346</v>
      </c>
      <c r="F450" s="826" t="s">
        <v>3347</v>
      </c>
      <c r="G450" s="798" t="s">
        <v>2875</v>
      </c>
      <c r="H450" s="798" t="s">
        <v>2876</v>
      </c>
      <c r="I450" s="812">
        <v>294.35000000000002</v>
      </c>
      <c r="J450" s="812">
        <v>1</v>
      </c>
      <c r="K450" s="813">
        <v>294.35000000000002</v>
      </c>
    </row>
    <row r="451" spans="1:11" ht="14.4" customHeight="1" x14ac:dyDescent="0.3">
      <c r="A451" s="794" t="s">
        <v>591</v>
      </c>
      <c r="B451" s="795" t="s">
        <v>592</v>
      </c>
      <c r="C451" s="798" t="s">
        <v>2074</v>
      </c>
      <c r="D451" s="826" t="s">
        <v>3345</v>
      </c>
      <c r="E451" s="798" t="s">
        <v>3346</v>
      </c>
      <c r="F451" s="826" t="s">
        <v>3347</v>
      </c>
      <c r="G451" s="798" t="s">
        <v>2877</v>
      </c>
      <c r="H451" s="798" t="s">
        <v>2878</v>
      </c>
      <c r="I451" s="812">
        <v>1161.8399999999999</v>
      </c>
      <c r="J451" s="812">
        <v>1</v>
      </c>
      <c r="K451" s="813">
        <v>1161.8399999999999</v>
      </c>
    </row>
    <row r="452" spans="1:11" ht="14.4" customHeight="1" x14ac:dyDescent="0.3">
      <c r="A452" s="794" t="s">
        <v>591</v>
      </c>
      <c r="B452" s="795" t="s">
        <v>592</v>
      </c>
      <c r="C452" s="798" t="s">
        <v>2074</v>
      </c>
      <c r="D452" s="826" t="s">
        <v>3345</v>
      </c>
      <c r="E452" s="798" t="s">
        <v>3346</v>
      </c>
      <c r="F452" s="826" t="s">
        <v>3347</v>
      </c>
      <c r="G452" s="798" t="s">
        <v>2879</v>
      </c>
      <c r="H452" s="798" t="s">
        <v>2880</v>
      </c>
      <c r="I452" s="812">
        <v>1322.6733333333334</v>
      </c>
      <c r="J452" s="812">
        <v>5</v>
      </c>
      <c r="K452" s="813">
        <v>6613.38</v>
      </c>
    </row>
    <row r="453" spans="1:11" ht="14.4" customHeight="1" x14ac:dyDescent="0.3">
      <c r="A453" s="794" t="s">
        <v>591</v>
      </c>
      <c r="B453" s="795" t="s">
        <v>592</v>
      </c>
      <c r="C453" s="798" t="s">
        <v>2074</v>
      </c>
      <c r="D453" s="826" t="s">
        <v>3345</v>
      </c>
      <c r="E453" s="798" t="s">
        <v>3346</v>
      </c>
      <c r="F453" s="826" t="s">
        <v>3347</v>
      </c>
      <c r="G453" s="798" t="s">
        <v>2881</v>
      </c>
      <c r="H453" s="798" t="s">
        <v>2882</v>
      </c>
      <c r="I453" s="812">
        <v>1161.8399999999999</v>
      </c>
      <c r="J453" s="812">
        <v>2</v>
      </c>
      <c r="K453" s="813">
        <v>2323.6799999999998</v>
      </c>
    </row>
    <row r="454" spans="1:11" ht="14.4" customHeight="1" x14ac:dyDescent="0.3">
      <c r="A454" s="794" t="s">
        <v>591</v>
      </c>
      <c r="B454" s="795" t="s">
        <v>592</v>
      </c>
      <c r="C454" s="798" t="s">
        <v>2074</v>
      </c>
      <c r="D454" s="826" t="s">
        <v>3345</v>
      </c>
      <c r="E454" s="798" t="s">
        <v>3346</v>
      </c>
      <c r="F454" s="826" t="s">
        <v>3347</v>
      </c>
      <c r="G454" s="798" t="s">
        <v>2883</v>
      </c>
      <c r="H454" s="798" t="s">
        <v>2884</v>
      </c>
      <c r="I454" s="812">
        <v>294.35000000000002</v>
      </c>
      <c r="J454" s="812">
        <v>2</v>
      </c>
      <c r="K454" s="813">
        <v>588.70000000000005</v>
      </c>
    </row>
    <row r="455" spans="1:11" ht="14.4" customHeight="1" x14ac:dyDescent="0.3">
      <c r="A455" s="794" t="s">
        <v>591</v>
      </c>
      <c r="B455" s="795" t="s">
        <v>592</v>
      </c>
      <c r="C455" s="798" t="s">
        <v>2074</v>
      </c>
      <c r="D455" s="826" t="s">
        <v>3345</v>
      </c>
      <c r="E455" s="798" t="s">
        <v>3346</v>
      </c>
      <c r="F455" s="826" t="s">
        <v>3347</v>
      </c>
      <c r="G455" s="798" t="s">
        <v>2885</v>
      </c>
      <c r="H455" s="798" t="s">
        <v>2886</v>
      </c>
      <c r="I455" s="812">
        <v>1089.72</v>
      </c>
      <c r="J455" s="812">
        <v>2</v>
      </c>
      <c r="K455" s="813">
        <v>2179.44</v>
      </c>
    </row>
    <row r="456" spans="1:11" ht="14.4" customHeight="1" x14ac:dyDescent="0.3">
      <c r="A456" s="794" t="s">
        <v>591</v>
      </c>
      <c r="B456" s="795" t="s">
        <v>592</v>
      </c>
      <c r="C456" s="798" t="s">
        <v>2074</v>
      </c>
      <c r="D456" s="826" t="s">
        <v>3345</v>
      </c>
      <c r="E456" s="798" t="s">
        <v>3346</v>
      </c>
      <c r="F456" s="826" t="s">
        <v>3347</v>
      </c>
      <c r="G456" s="798" t="s">
        <v>2887</v>
      </c>
      <c r="H456" s="798" t="s">
        <v>2888</v>
      </c>
      <c r="I456" s="812">
        <v>1217.4000000000001</v>
      </c>
      <c r="J456" s="812">
        <v>1</v>
      </c>
      <c r="K456" s="813">
        <v>1217.4000000000001</v>
      </c>
    </row>
    <row r="457" spans="1:11" ht="14.4" customHeight="1" x14ac:dyDescent="0.3">
      <c r="A457" s="794" t="s">
        <v>591</v>
      </c>
      <c r="B457" s="795" t="s">
        <v>592</v>
      </c>
      <c r="C457" s="798" t="s">
        <v>2074</v>
      </c>
      <c r="D457" s="826" t="s">
        <v>3345</v>
      </c>
      <c r="E457" s="798" t="s">
        <v>3346</v>
      </c>
      <c r="F457" s="826" t="s">
        <v>3347</v>
      </c>
      <c r="G457" s="798" t="s">
        <v>2889</v>
      </c>
      <c r="H457" s="798" t="s">
        <v>2890</v>
      </c>
      <c r="I457" s="812">
        <v>404.5</v>
      </c>
      <c r="J457" s="812">
        <v>1</v>
      </c>
      <c r="K457" s="813">
        <v>404.5</v>
      </c>
    </row>
    <row r="458" spans="1:11" ht="14.4" customHeight="1" x14ac:dyDescent="0.3">
      <c r="A458" s="794" t="s">
        <v>591</v>
      </c>
      <c r="B458" s="795" t="s">
        <v>592</v>
      </c>
      <c r="C458" s="798" t="s">
        <v>2074</v>
      </c>
      <c r="D458" s="826" t="s">
        <v>3345</v>
      </c>
      <c r="E458" s="798" t="s">
        <v>3346</v>
      </c>
      <c r="F458" s="826" t="s">
        <v>3347</v>
      </c>
      <c r="G458" s="798" t="s">
        <v>2891</v>
      </c>
      <c r="H458" s="798" t="s">
        <v>2892</v>
      </c>
      <c r="I458" s="812">
        <v>1213.4933333333333</v>
      </c>
      <c r="J458" s="812">
        <v>3</v>
      </c>
      <c r="K458" s="813">
        <v>3640.48</v>
      </c>
    </row>
    <row r="459" spans="1:11" ht="14.4" customHeight="1" x14ac:dyDescent="0.3">
      <c r="A459" s="794" t="s">
        <v>591</v>
      </c>
      <c r="B459" s="795" t="s">
        <v>592</v>
      </c>
      <c r="C459" s="798" t="s">
        <v>2074</v>
      </c>
      <c r="D459" s="826" t="s">
        <v>3345</v>
      </c>
      <c r="E459" s="798" t="s">
        <v>3346</v>
      </c>
      <c r="F459" s="826" t="s">
        <v>3347</v>
      </c>
      <c r="G459" s="798" t="s">
        <v>2893</v>
      </c>
      <c r="H459" s="798" t="s">
        <v>2894</v>
      </c>
      <c r="I459" s="812">
        <v>1161.83</v>
      </c>
      <c r="J459" s="812">
        <v>1</v>
      </c>
      <c r="K459" s="813">
        <v>1161.83</v>
      </c>
    </row>
    <row r="460" spans="1:11" ht="14.4" customHeight="1" x14ac:dyDescent="0.3">
      <c r="A460" s="794" t="s">
        <v>591</v>
      </c>
      <c r="B460" s="795" t="s">
        <v>592</v>
      </c>
      <c r="C460" s="798" t="s">
        <v>2074</v>
      </c>
      <c r="D460" s="826" t="s">
        <v>3345</v>
      </c>
      <c r="E460" s="798" t="s">
        <v>3346</v>
      </c>
      <c r="F460" s="826" t="s">
        <v>3347</v>
      </c>
      <c r="G460" s="798" t="s">
        <v>2895</v>
      </c>
      <c r="H460" s="798" t="s">
        <v>2896</v>
      </c>
      <c r="I460" s="812">
        <v>1213.5025000000001</v>
      </c>
      <c r="J460" s="812">
        <v>4</v>
      </c>
      <c r="K460" s="813">
        <v>4854.01</v>
      </c>
    </row>
    <row r="461" spans="1:11" ht="14.4" customHeight="1" x14ac:dyDescent="0.3">
      <c r="A461" s="794" t="s">
        <v>591</v>
      </c>
      <c r="B461" s="795" t="s">
        <v>592</v>
      </c>
      <c r="C461" s="798" t="s">
        <v>2074</v>
      </c>
      <c r="D461" s="826" t="s">
        <v>3345</v>
      </c>
      <c r="E461" s="798" t="s">
        <v>3346</v>
      </c>
      <c r="F461" s="826" t="s">
        <v>3347</v>
      </c>
      <c r="G461" s="798" t="s">
        <v>2897</v>
      </c>
      <c r="H461" s="798" t="s">
        <v>2898</v>
      </c>
      <c r="I461" s="812">
        <v>8695.2999999999993</v>
      </c>
      <c r="J461" s="812">
        <v>2</v>
      </c>
      <c r="K461" s="813">
        <v>17390.599999999999</v>
      </c>
    </row>
    <row r="462" spans="1:11" ht="14.4" customHeight="1" x14ac:dyDescent="0.3">
      <c r="A462" s="794" t="s">
        <v>591</v>
      </c>
      <c r="B462" s="795" t="s">
        <v>592</v>
      </c>
      <c r="C462" s="798" t="s">
        <v>2074</v>
      </c>
      <c r="D462" s="826" t="s">
        <v>3345</v>
      </c>
      <c r="E462" s="798" t="s">
        <v>3346</v>
      </c>
      <c r="F462" s="826" t="s">
        <v>3347</v>
      </c>
      <c r="G462" s="798" t="s">
        <v>2899</v>
      </c>
      <c r="H462" s="798" t="s">
        <v>2900</v>
      </c>
      <c r="I462" s="812">
        <v>4047.93</v>
      </c>
      <c r="J462" s="812">
        <v>1</v>
      </c>
      <c r="K462" s="813">
        <v>4047.93</v>
      </c>
    </row>
    <row r="463" spans="1:11" ht="14.4" customHeight="1" x14ac:dyDescent="0.3">
      <c r="A463" s="794" t="s">
        <v>591</v>
      </c>
      <c r="B463" s="795" t="s">
        <v>592</v>
      </c>
      <c r="C463" s="798" t="s">
        <v>2074</v>
      </c>
      <c r="D463" s="826" t="s">
        <v>3345</v>
      </c>
      <c r="E463" s="798" t="s">
        <v>3346</v>
      </c>
      <c r="F463" s="826" t="s">
        <v>3347</v>
      </c>
      <c r="G463" s="798" t="s">
        <v>2901</v>
      </c>
      <c r="H463" s="798" t="s">
        <v>2902</v>
      </c>
      <c r="I463" s="812">
        <v>1322.67</v>
      </c>
      <c r="J463" s="812">
        <v>1</v>
      </c>
      <c r="K463" s="813">
        <v>1322.67</v>
      </c>
    </row>
    <row r="464" spans="1:11" ht="14.4" customHeight="1" x14ac:dyDescent="0.3">
      <c r="A464" s="794" t="s">
        <v>591</v>
      </c>
      <c r="B464" s="795" t="s">
        <v>592</v>
      </c>
      <c r="C464" s="798" t="s">
        <v>2074</v>
      </c>
      <c r="D464" s="826" t="s">
        <v>3345</v>
      </c>
      <c r="E464" s="798" t="s">
        <v>3346</v>
      </c>
      <c r="F464" s="826" t="s">
        <v>3347</v>
      </c>
      <c r="G464" s="798" t="s">
        <v>2903</v>
      </c>
      <c r="H464" s="798" t="s">
        <v>2904</v>
      </c>
      <c r="I464" s="812">
        <v>9893.2099999999991</v>
      </c>
      <c r="J464" s="812">
        <v>1</v>
      </c>
      <c r="K464" s="813">
        <v>9893.2099999999991</v>
      </c>
    </row>
    <row r="465" spans="1:11" ht="14.4" customHeight="1" x14ac:dyDescent="0.3">
      <c r="A465" s="794" t="s">
        <v>591</v>
      </c>
      <c r="B465" s="795" t="s">
        <v>592</v>
      </c>
      <c r="C465" s="798" t="s">
        <v>2074</v>
      </c>
      <c r="D465" s="826" t="s">
        <v>3345</v>
      </c>
      <c r="E465" s="798" t="s">
        <v>3346</v>
      </c>
      <c r="F465" s="826" t="s">
        <v>3347</v>
      </c>
      <c r="G465" s="798" t="s">
        <v>2905</v>
      </c>
      <c r="H465" s="798" t="s">
        <v>2906</v>
      </c>
      <c r="I465" s="812">
        <v>1213.51</v>
      </c>
      <c r="J465" s="812">
        <v>2</v>
      </c>
      <c r="K465" s="813">
        <v>2427.0100000000002</v>
      </c>
    </row>
    <row r="466" spans="1:11" ht="14.4" customHeight="1" x14ac:dyDescent="0.3">
      <c r="A466" s="794" t="s">
        <v>591</v>
      </c>
      <c r="B466" s="795" t="s">
        <v>592</v>
      </c>
      <c r="C466" s="798" t="s">
        <v>2074</v>
      </c>
      <c r="D466" s="826" t="s">
        <v>3345</v>
      </c>
      <c r="E466" s="798" t="s">
        <v>3346</v>
      </c>
      <c r="F466" s="826" t="s">
        <v>3347</v>
      </c>
      <c r="G466" s="798" t="s">
        <v>2907</v>
      </c>
      <c r="H466" s="798" t="s">
        <v>2908</v>
      </c>
      <c r="I466" s="812">
        <v>10807.47</v>
      </c>
      <c r="J466" s="812">
        <v>1</v>
      </c>
      <c r="K466" s="813">
        <v>10807.47</v>
      </c>
    </row>
    <row r="467" spans="1:11" ht="14.4" customHeight="1" x14ac:dyDescent="0.3">
      <c r="A467" s="794" t="s">
        <v>591</v>
      </c>
      <c r="B467" s="795" t="s">
        <v>592</v>
      </c>
      <c r="C467" s="798" t="s">
        <v>2074</v>
      </c>
      <c r="D467" s="826" t="s">
        <v>3345</v>
      </c>
      <c r="E467" s="798" t="s">
        <v>3346</v>
      </c>
      <c r="F467" s="826" t="s">
        <v>3347</v>
      </c>
      <c r="G467" s="798" t="s">
        <v>2909</v>
      </c>
      <c r="H467" s="798" t="s">
        <v>2910</v>
      </c>
      <c r="I467" s="812">
        <v>8770.375</v>
      </c>
      <c r="J467" s="812">
        <v>2</v>
      </c>
      <c r="K467" s="813">
        <v>17540.75</v>
      </c>
    </row>
    <row r="468" spans="1:11" ht="14.4" customHeight="1" x14ac:dyDescent="0.3">
      <c r="A468" s="794" t="s">
        <v>591</v>
      </c>
      <c r="B468" s="795" t="s">
        <v>592</v>
      </c>
      <c r="C468" s="798" t="s">
        <v>2074</v>
      </c>
      <c r="D468" s="826" t="s">
        <v>3345</v>
      </c>
      <c r="E468" s="798" t="s">
        <v>3346</v>
      </c>
      <c r="F468" s="826" t="s">
        <v>3347</v>
      </c>
      <c r="G468" s="798" t="s">
        <v>2911</v>
      </c>
      <c r="H468" s="798" t="s">
        <v>2912</v>
      </c>
      <c r="I468" s="812">
        <v>294.36</v>
      </c>
      <c r="J468" s="812">
        <v>4</v>
      </c>
      <c r="K468" s="813">
        <v>1177.43</v>
      </c>
    </row>
    <row r="469" spans="1:11" ht="14.4" customHeight="1" x14ac:dyDescent="0.3">
      <c r="A469" s="794" t="s">
        <v>591</v>
      </c>
      <c r="B469" s="795" t="s">
        <v>592</v>
      </c>
      <c r="C469" s="798" t="s">
        <v>2074</v>
      </c>
      <c r="D469" s="826" t="s">
        <v>3345</v>
      </c>
      <c r="E469" s="798" t="s">
        <v>3346</v>
      </c>
      <c r="F469" s="826" t="s">
        <v>3347</v>
      </c>
      <c r="G469" s="798" t="s">
        <v>2913</v>
      </c>
      <c r="H469" s="798" t="s">
        <v>2914</v>
      </c>
      <c r="I469" s="812">
        <v>1175.97</v>
      </c>
      <c r="J469" s="812">
        <v>1</v>
      </c>
      <c r="K469" s="813">
        <v>1175.97</v>
      </c>
    </row>
    <row r="470" spans="1:11" ht="14.4" customHeight="1" x14ac:dyDescent="0.3">
      <c r="A470" s="794" t="s">
        <v>591</v>
      </c>
      <c r="B470" s="795" t="s">
        <v>592</v>
      </c>
      <c r="C470" s="798" t="s">
        <v>2074</v>
      </c>
      <c r="D470" s="826" t="s">
        <v>3345</v>
      </c>
      <c r="E470" s="798" t="s">
        <v>3346</v>
      </c>
      <c r="F470" s="826" t="s">
        <v>3347</v>
      </c>
      <c r="G470" s="798" t="s">
        <v>2915</v>
      </c>
      <c r="H470" s="798" t="s">
        <v>2916</v>
      </c>
      <c r="I470" s="812">
        <v>364.54</v>
      </c>
      <c r="J470" s="812">
        <v>1</v>
      </c>
      <c r="K470" s="813">
        <v>364.54</v>
      </c>
    </row>
    <row r="471" spans="1:11" ht="14.4" customHeight="1" x14ac:dyDescent="0.3">
      <c r="A471" s="794" t="s">
        <v>591</v>
      </c>
      <c r="B471" s="795" t="s">
        <v>592</v>
      </c>
      <c r="C471" s="798" t="s">
        <v>2074</v>
      </c>
      <c r="D471" s="826" t="s">
        <v>3345</v>
      </c>
      <c r="E471" s="798" t="s">
        <v>3346</v>
      </c>
      <c r="F471" s="826" t="s">
        <v>3347</v>
      </c>
      <c r="G471" s="798" t="s">
        <v>2917</v>
      </c>
      <c r="H471" s="798" t="s">
        <v>2918</v>
      </c>
      <c r="I471" s="812">
        <v>1772.98</v>
      </c>
      <c r="J471" s="812">
        <v>1</v>
      </c>
      <c r="K471" s="813">
        <v>1772.98</v>
      </c>
    </row>
    <row r="472" spans="1:11" ht="14.4" customHeight="1" x14ac:dyDescent="0.3">
      <c r="A472" s="794" t="s">
        <v>591</v>
      </c>
      <c r="B472" s="795" t="s">
        <v>592</v>
      </c>
      <c r="C472" s="798" t="s">
        <v>2074</v>
      </c>
      <c r="D472" s="826" t="s">
        <v>3345</v>
      </c>
      <c r="E472" s="798" t="s">
        <v>3346</v>
      </c>
      <c r="F472" s="826" t="s">
        <v>3347</v>
      </c>
      <c r="G472" s="798" t="s">
        <v>2919</v>
      </c>
      <c r="H472" s="798" t="s">
        <v>2920</v>
      </c>
      <c r="I472" s="812">
        <v>426.92</v>
      </c>
      <c r="J472" s="812">
        <v>1</v>
      </c>
      <c r="K472" s="813">
        <v>426.92</v>
      </c>
    </row>
    <row r="473" spans="1:11" ht="14.4" customHeight="1" x14ac:dyDescent="0.3">
      <c r="A473" s="794" t="s">
        <v>591</v>
      </c>
      <c r="B473" s="795" t="s">
        <v>592</v>
      </c>
      <c r="C473" s="798" t="s">
        <v>2074</v>
      </c>
      <c r="D473" s="826" t="s">
        <v>3345</v>
      </c>
      <c r="E473" s="798" t="s">
        <v>3346</v>
      </c>
      <c r="F473" s="826" t="s">
        <v>3347</v>
      </c>
      <c r="G473" s="798" t="s">
        <v>2921</v>
      </c>
      <c r="H473" s="798" t="s">
        <v>2922</v>
      </c>
      <c r="I473" s="812">
        <v>770.99</v>
      </c>
      <c r="J473" s="812">
        <v>1</v>
      </c>
      <c r="K473" s="813">
        <v>770.99</v>
      </c>
    </row>
    <row r="474" spans="1:11" ht="14.4" customHeight="1" x14ac:dyDescent="0.3">
      <c r="A474" s="794" t="s">
        <v>591</v>
      </c>
      <c r="B474" s="795" t="s">
        <v>592</v>
      </c>
      <c r="C474" s="798" t="s">
        <v>2074</v>
      </c>
      <c r="D474" s="826" t="s">
        <v>3345</v>
      </c>
      <c r="E474" s="798" t="s">
        <v>3346</v>
      </c>
      <c r="F474" s="826" t="s">
        <v>3347</v>
      </c>
      <c r="G474" s="798" t="s">
        <v>2923</v>
      </c>
      <c r="H474" s="798" t="s">
        <v>2924</v>
      </c>
      <c r="I474" s="812">
        <v>1856.1</v>
      </c>
      <c r="J474" s="812">
        <v>1</v>
      </c>
      <c r="K474" s="813">
        <v>1856.1</v>
      </c>
    </row>
    <row r="475" spans="1:11" ht="14.4" customHeight="1" x14ac:dyDescent="0.3">
      <c r="A475" s="794" t="s">
        <v>591</v>
      </c>
      <c r="B475" s="795" t="s">
        <v>592</v>
      </c>
      <c r="C475" s="798" t="s">
        <v>2074</v>
      </c>
      <c r="D475" s="826" t="s">
        <v>3345</v>
      </c>
      <c r="E475" s="798" t="s">
        <v>3346</v>
      </c>
      <c r="F475" s="826" t="s">
        <v>3347</v>
      </c>
      <c r="G475" s="798" t="s">
        <v>2925</v>
      </c>
      <c r="H475" s="798" t="s">
        <v>2926</v>
      </c>
      <c r="I475" s="812">
        <v>1066.33</v>
      </c>
      <c r="J475" s="812">
        <v>6</v>
      </c>
      <c r="K475" s="813">
        <v>6397.96</v>
      </c>
    </row>
    <row r="476" spans="1:11" ht="14.4" customHeight="1" x14ac:dyDescent="0.3">
      <c r="A476" s="794" t="s">
        <v>591</v>
      </c>
      <c r="B476" s="795" t="s">
        <v>592</v>
      </c>
      <c r="C476" s="798" t="s">
        <v>2074</v>
      </c>
      <c r="D476" s="826" t="s">
        <v>3345</v>
      </c>
      <c r="E476" s="798" t="s">
        <v>3346</v>
      </c>
      <c r="F476" s="826" t="s">
        <v>3347</v>
      </c>
      <c r="G476" s="798" t="s">
        <v>2927</v>
      </c>
      <c r="H476" s="798" t="s">
        <v>2928</v>
      </c>
      <c r="I476" s="812">
        <v>1415.26</v>
      </c>
      <c r="J476" s="812">
        <v>1</v>
      </c>
      <c r="K476" s="813">
        <v>1415.26</v>
      </c>
    </row>
    <row r="477" spans="1:11" ht="14.4" customHeight="1" x14ac:dyDescent="0.3">
      <c r="A477" s="794" t="s">
        <v>591</v>
      </c>
      <c r="B477" s="795" t="s">
        <v>592</v>
      </c>
      <c r="C477" s="798" t="s">
        <v>2074</v>
      </c>
      <c r="D477" s="826" t="s">
        <v>3345</v>
      </c>
      <c r="E477" s="798" t="s">
        <v>3346</v>
      </c>
      <c r="F477" s="826" t="s">
        <v>3347</v>
      </c>
      <c r="G477" s="798" t="s">
        <v>2929</v>
      </c>
      <c r="H477" s="798" t="s">
        <v>2930</v>
      </c>
      <c r="I477" s="812">
        <v>4936.8599999999997</v>
      </c>
      <c r="J477" s="812">
        <v>1</v>
      </c>
      <c r="K477" s="813">
        <v>4936.8599999999997</v>
      </c>
    </row>
    <row r="478" spans="1:11" ht="14.4" customHeight="1" x14ac:dyDescent="0.3">
      <c r="A478" s="794" t="s">
        <v>591</v>
      </c>
      <c r="B478" s="795" t="s">
        <v>592</v>
      </c>
      <c r="C478" s="798" t="s">
        <v>2074</v>
      </c>
      <c r="D478" s="826" t="s">
        <v>3345</v>
      </c>
      <c r="E478" s="798" t="s">
        <v>3346</v>
      </c>
      <c r="F478" s="826" t="s">
        <v>3347</v>
      </c>
      <c r="G478" s="798" t="s">
        <v>2931</v>
      </c>
      <c r="H478" s="798" t="s">
        <v>2932</v>
      </c>
      <c r="I478" s="812">
        <v>7441.83</v>
      </c>
      <c r="J478" s="812">
        <v>1</v>
      </c>
      <c r="K478" s="813">
        <v>7441.83</v>
      </c>
    </row>
    <row r="479" spans="1:11" ht="14.4" customHeight="1" x14ac:dyDescent="0.3">
      <c r="A479" s="794" t="s">
        <v>591</v>
      </c>
      <c r="B479" s="795" t="s">
        <v>592</v>
      </c>
      <c r="C479" s="798" t="s">
        <v>2074</v>
      </c>
      <c r="D479" s="826" t="s">
        <v>3345</v>
      </c>
      <c r="E479" s="798" t="s">
        <v>3346</v>
      </c>
      <c r="F479" s="826" t="s">
        <v>3347</v>
      </c>
      <c r="G479" s="798" t="s">
        <v>2933</v>
      </c>
      <c r="H479" s="798" t="s">
        <v>2934</v>
      </c>
      <c r="I479" s="812">
        <v>1270.04</v>
      </c>
      <c r="J479" s="812">
        <v>1</v>
      </c>
      <c r="K479" s="813">
        <v>1270.04</v>
      </c>
    </row>
    <row r="480" spans="1:11" ht="14.4" customHeight="1" x14ac:dyDescent="0.3">
      <c r="A480" s="794" t="s">
        <v>591</v>
      </c>
      <c r="B480" s="795" t="s">
        <v>592</v>
      </c>
      <c r="C480" s="798" t="s">
        <v>2074</v>
      </c>
      <c r="D480" s="826" t="s">
        <v>3345</v>
      </c>
      <c r="E480" s="798" t="s">
        <v>3346</v>
      </c>
      <c r="F480" s="826" t="s">
        <v>3347</v>
      </c>
      <c r="G480" s="798" t="s">
        <v>2935</v>
      </c>
      <c r="H480" s="798" t="s">
        <v>2936</v>
      </c>
      <c r="I480" s="812">
        <v>880.15</v>
      </c>
      <c r="J480" s="812">
        <v>1</v>
      </c>
      <c r="K480" s="813">
        <v>880.15</v>
      </c>
    </row>
    <row r="481" spans="1:11" ht="14.4" customHeight="1" x14ac:dyDescent="0.3">
      <c r="A481" s="794" t="s">
        <v>591</v>
      </c>
      <c r="B481" s="795" t="s">
        <v>592</v>
      </c>
      <c r="C481" s="798" t="s">
        <v>2074</v>
      </c>
      <c r="D481" s="826" t="s">
        <v>3345</v>
      </c>
      <c r="E481" s="798" t="s">
        <v>3346</v>
      </c>
      <c r="F481" s="826" t="s">
        <v>3347</v>
      </c>
      <c r="G481" s="798" t="s">
        <v>2937</v>
      </c>
      <c r="H481" s="798" t="s">
        <v>2938</v>
      </c>
      <c r="I481" s="812">
        <v>880.15</v>
      </c>
      <c r="J481" s="812">
        <v>1</v>
      </c>
      <c r="K481" s="813">
        <v>880.15</v>
      </c>
    </row>
    <row r="482" spans="1:11" ht="14.4" customHeight="1" x14ac:dyDescent="0.3">
      <c r="A482" s="794" t="s">
        <v>591</v>
      </c>
      <c r="B482" s="795" t="s">
        <v>592</v>
      </c>
      <c r="C482" s="798" t="s">
        <v>2074</v>
      </c>
      <c r="D482" s="826" t="s">
        <v>3345</v>
      </c>
      <c r="E482" s="798" t="s">
        <v>3346</v>
      </c>
      <c r="F482" s="826" t="s">
        <v>3347</v>
      </c>
      <c r="G482" s="798" t="s">
        <v>2939</v>
      </c>
      <c r="H482" s="798" t="s">
        <v>2940</v>
      </c>
      <c r="I482" s="812">
        <v>195.91</v>
      </c>
      <c r="J482" s="812">
        <v>1</v>
      </c>
      <c r="K482" s="813">
        <v>195.91</v>
      </c>
    </row>
    <row r="483" spans="1:11" ht="14.4" customHeight="1" x14ac:dyDescent="0.3">
      <c r="A483" s="794" t="s">
        <v>591</v>
      </c>
      <c r="B483" s="795" t="s">
        <v>592</v>
      </c>
      <c r="C483" s="798" t="s">
        <v>2074</v>
      </c>
      <c r="D483" s="826" t="s">
        <v>3345</v>
      </c>
      <c r="E483" s="798" t="s">
        <v>3346</v>
      </c>
      <c r="F483" s="826" t="s">
        <v>3347</v>
      </c>
      <c r="G483" s="798" t="s">
        <v>2941</v>
      </c>
      <c r="H483" s="798" t="s">
        <v>2942</v>
      </c>
      <c r="I483" s="812">
        <v>8757.48</v>
      </c>
      <c r="J483" s="812">
        <v>4</v>
      </c>
      <c r="K483" s="813">
        <v>35029.919999999998</v>
      </c>
    </row>
    <row r="484" spans="1:11" ht="14.4" customHeight="1" x14ac:dyDescent="0.3">
      <c r="A484" s="794" t="s">
        <v>591</v>
      </c>
      <c r="B484" s="795" t="s">
        <v>592</v>
      </c>
      <c r="C484" s="798" t="s">
        <v>2074</v>
      </c>
      <c r="D484" s="826" t="s">
        <v>3345</v>
      </c>
      <c r="E484" s="798" t="s">
        <v>3346</v>
      </c>
      <c r="F484" s="826" t="s">
        <v>3347</v>
      </c>
      <c r="G484" s="798" t="s">
        <v>2943</v>
      </c>
      <c r="H484" s="798" t="s">
        <v>2944</v>
      </c>
      <c r="I484" s="812">
        <v>1520.53</v>
      </c>
      <c r="J484" s="812">
        <v>5</v>
      </c>
      <c r="K484" s="813">
        <v>7602.65</v>
      </c>
    </row>
    <row r="485" spans="1:11" ht="14.4" customHeight="1" x14ac:dyDescent="0.3">
      <c r="A485" s="794" t="s">
        <v>591</v>
      </c>
      <c r="B485" s="795" t="s">
        <v>592</v>
      </c>
      <c r="C485" s="798" t="s">
        <v>2074</v>
      </c>
      <c r="D485" s="826" t="s">
        <v>3345</v>
      </c>
      <c r="E485" s="798" t="s">
        <v>3346</v>
      </c>
      <c r="F485" s="826" t="s">
        <v>3347</v>
      </c>
      <c r="G485" s="798" t="s">
        <v>2945</v>
      </c>
      <c r="H485" s="798" t="s">
        <v>2946</v>
      </c>
      <c r="I485" s="812">
        <v>1066.33</v>
      </c>
      <c r="J485" s="812">
        <v>1</v>
      </c>
      <c r="K485" s="813">
        <v>1066.33</v>
      </c>
    </row>
    <row r="486" spans="1:11" ht="14.4" customHeight="1" x14ac:dyDescent="0.3">
      <c r="A486" s="794" t="s">
        <v>591</v>
      </c>
      <c r="B486" s="795" t="s">
        <v>592</v>
      </c>
      <c r="C486" s="798" t="s">
        <v>2074</v>
      </c>
      <c r="D486" s="826" t="s">
        <v>3345</v>
      </c>
      <c r="E486" s="798" t="s">
        <v>3346</v>
      </c>
      <c r="F486" s="826" t="s">
        <v>3347</v>
      </c>
      <c r="G486" s="798" t="s">
        <v>2947</v>
      </c>
      <c r="H486" s="798" t="s">
        <v>2948</v>
      </c>
      <c r="I486" s="812">
        <v>8390.4</v>
      </c>
      <c r="J486" s="812">
        <v>2</v>
      </c>
      <c r="K486" s="813">
        <v>16780.8</v>
      </c>
    </row>
    <row r="487" spans="1:11" ht="14.4" customHeight="1" x14ac:dyDescent="0.3">
      <c r="A487" s="794" t="s">
        <v>591</v>
      </c>
      <c r="B487" s="795" t="s">
        <v>592</v>
      </c>
      <c r="C487" s="798" t="s">
        <v>2074</v>
      </c>
      <c r="D487" s="826" t="s">
        <v>3345</v>
      </c>
      <c r="E487" s="798" t="s">
        <v>3346</v>
      </c>
      <c r="F487" s="826" t="s">
        <v>3347</v>
      </c>
      <c r="G487" s="798" t="s">
        <v>2949</v>
      </c>
      <c r="H487" s="798" t="s">
        <v>2950</v>
      </c>
      <c r="I487" s="812">
        <v>1772.98</v>
      </c>
      <c r="J487" s="812">
        <v>1</v>
      </c>
      <c r="K487" s="813">
        <v>1772.98</v>
      </c>
    </row>
    <row r="488" spans="1:11" ht="14.4" customHeight="1" x14ac:dyDescent="0.3">
      <c r="A488" s="794" t="s">
        <v>591</v>
      </c>
      <c r="B488" s="795" t="s">
        <v>592</v>
      </c>
      <c r="C488" s="798" t="s">
        <v>2074</v>
      </c>
      <c r="D488" s="826" t="s">
        <v>3345</v>
      </c>
      <c r="E488" s="798" t="s">
        <v>3346</v>
      </c>
      <c r="F488" s="826" t="s">
        <v>3347</v>
      </c>
      <c r="G488" s="798" t="s">
        <v>2951</v>
      </c>
      <c r="H488" s="798" t="s">
        <v>2952</v>
      </c>
      <c r="I488" s="812">
        <v>6662.08</v>
      </c>
      <c r="J488" s="812">
        <v>1</v>
      </c>
      <c r="K488" s="813">
        <v>6662.08</v>
      </c>
    </row>
    <row r="489" spans="1:11" ht="14.4" customHeight="1" x14ac:dyDescent="0.3">
      <c r="A489" s="794" t="s">
        <v>591</v>
      </c>
      <c r="B489" s="795" t="s">
        <v>592</v>
      </c>
      <c r="C489" s="798" t="s">
        <v>2074</v>
      </c>
      <c r="D489" s="826" t="s">
        <v>3345</v>
      </c>
      <c r="E489" s="798" t="s">
        <v>3346</v>
      </c>
      <c r="F489" s="826" t="s">
        <v>3347</v>
      </c>
      <c r="G489" s="798" t="s">
        <v>2953</v>
      </c>
      <c r="H489" s="798" t="s">
        <v>2954</v>
      </c>
      <c r="I489" s="812">
        <v>2450.4</v>
      </c>
      <c r="J489" s="812">
        <v>1</v>
      </c>
      <c r="K489" s="813">
        <v>2450.4</v>
      </c>
    </row>
    <row r="490" spans="1:11" ht="14.4" customHeight="1" x14ac:dyDescent="0.3">
      <c r="A490" s="794" t="s">
        <v>591</v>
      </c>
      <c r="B490" s="795" t="s">
        <v>592</v>
      </c>
      <c r="C490" s="798" t="s">
        <v>2074</v>
      </c>
      <c r="D490" s="826" t="s">
        <v>3345</v>
      </c>
      <c r="E490" s="798" t="s">
        <v>3346</v>
      </c>
      <c r="F490" s="826" t="s">
        <v>3347</v>
      </c>
      <c r="G490" s="798" t="s">
        <v>2955</v>
      </c>
      <c r="H490" s="798" t="s">
        <v>2956</v>
      </c>
      <c r="I490" s="812">
        <v>1161.8399999999999</v>
      </c>
      <c r="J490" s="812">
        <v>1</v>
      </c>
      <c r="K490" s="813">
        <v>1161.8399999999999</v>
      </c>
    </row>
    <row r="491" spans="1:11" ht="14.4" customHeight="1" x14ac:dyDescent="0.3">
      <c r="A491" s="794" t="s">
        <v>591</v>
      </c>
      <c r="B491" s="795" t="s">
        <v>592</v>
      </c>
      <c r="C491" s="798" t="s">
        <v>2074</v>
      </c>
      <c r="D491" s="826" t="s">
        <v>3345</v>
      </c>
      <c r="E491" s="798" t="s">
        <v>3346</v>
      </c>
      <c r="F491" s="826" t="s">
        <v>3347</v>
      </c>
      <c r="G491" s="798" t="s">
        <v>2957</v>
      </c>
      <c r="H491" s="798" t="s">
        <v>2958</v>
      </c>
      <c r="I491" s="812">
        <v>9660</v>
      </c>
      <c r="J491" s="812">
        <v>1</v>
      </c>
      <c r="K491" s="813">
        <v>9660</v>
      </c>
    </row>
    <row r="492" spans="1:11" ht="14.4" customHeight="1" x14ac:dyDescent="0.3">
      <c r="A492" s="794" t="s">
        <v>591</v>
      </c>
      <c r="B492" s="795" t="s">
        <v>592</v>
      </c>
      <c r="C492" s="798" t="s">
        <v>2074</v>
      </c>
      <c r="D492" s="826" t="s">
        <v>3345</v>
      </c>
      <c r="E492" s="798" t="s">
        <v>3346</v>
      </c>
      <c r="F492" s="826" t="s">
        <v>3347</v>
      </c>
      <c r="G492" s="798" t="s">
        <v>2959</v>
      </c>
      <c r="H492" s="798" t="s">
        <v>2960</v>
      </c>
      <c r="I492" s="812">
        <v>1322.68</v>
      </c>
      <c r="J492" s="812">
        <v>1</v>
      </c>
      <c r="K492" s="813">
        <v>1322.68</v>
      </c>
    </row>
    <row r="493" spans="1:11" ht="14.4" customHeight="1" x14ac:dyDescent="0.3">
      <c r="A493" s="794" t="s">
        <v>591</v>
      </c>
      <c r="B493" s="795" t="s">
        <v>592</v>
      </c>
      <c r="C493" s="798" t="s">
        <v>2074</v>
      </c>
      <c r="D493" s="826" t="s">
        <v>3345</v>
      </c>
      <c r="E493" s="798" t="s">
        <v>3346</v>
      </c>
      <c r="F493" s="826" t="s">
        <v>3347</v>
      </c>
      <c r="G493" s="798" t="s">
        <v>2961</v>
      </c>
      <c r="H493" s="798" t="s">
        <v>2962</v>
      </c>
      <c r="I493" s="812">
        <v>8920.0400000000009</v>
      </c>
      <c r="J493" s="812">
        <v>2</v>
      </c>
      <c r="K493" s="813">
        <v>17840.080000000002</v>
      </c>
    </row>
    <row r="494" spans="1:11" ht="14.4" customHeight="1" x14ac:dyDescent="0.3">
      <c r="A494" s="794" t="s">
        <v>591</v>
      </c>
      <c r="B494" s="795" t="s">
        <v>592</v>
      </c>
      <c r="C494" s="798" t="s">
        <v>2074</v>
      </c>
      <c r="D494" s="826" t="s">
        <v>3345</v>
      </c>
      <c r="E494" s="798" t="s">
        <v>3346</v>
      </c>
      <c r="F494" s="826" t="s">
        <v>3347</v>
      </c>
      <c r="G494" s="798" t="s">
        <v>2963</v>
      </c>
      <c r="H494" s="798" t="s">
        <v>2964</v>
      </c>
      <c r="I494" s="812">
        <v>294.35000000000002</v>
      </c>
      <c r="J494" s="812">
        <v>1</v>
      </c>
      <c r="K494" s="813">
        <v>294.35000000000002</v>
      </c>
    </row>
    <row r="495" spans="1:11" ht="14.4" customHeight="1" x14ac:dyDescent="0.3">
      <c r="A495" s="794" t="s">
        <v>591</v>
      </c>
      <c r="B495" s="795" t="s">
        <v>592</v>
      </c>
      <c r="C495" s="798" t="s">
        <v>2074</v>
      </c>
      <c r="D495" s="826" t="s">
        <v>3345</v>
      </c>
      <c r="E495" s="798" t="s">
        <v>3346</v>
      </c>
      <c r="F495" s="826" t="s">
        <v>3347</v>
      </c>
      <c r="G495" s="798" t="s">
        <v>2965</v>
      </c>
      <c r="H495" s="798" t="s">
        <v>2966</v>
      </c>
      <c r="I495" s="812">
        <v>1725</v>
      </c>
      <c r="J495" s="812">
        <v>4</v>
      </c>
      <c r="K495" s="813">
        <v>6900</v>
      </c>
    </row>
    <row r="496" spans="1:11" ht="14.4" customHeight="1" x14ac:dyDescent="0.3">
      <c r="A496" s="794" t="s">
        <v>591</v>
      </c>
      <c r="B496" s="795" t="s">
        <v>592</v>
      </c>
      <c r="C496" s="798" t="s">
        <v>2074</v>
      </c>
      <c r="D496" s="826" t="s">
        <v>3345</v>
      </c>
      <c r="E496" s="798" t="s">
        <v>3346</v>
      </c>
      <c r="F496" s="826" t="s">
        <v>3347</v>
      </c>
      <c r="G496" s="798" t="s">
        <v>2967</v>
      </c>
      <c r="H496" s="798" t="s">
        <v>2968</v>
      </c>
      <c r="I496" s="812">
        <v>4208.2</v>
      </c>
      <c r="J496" s="812">
        <v>1</v>
      </c>
      <c r="K496" s="813">
        <v>4208.2</v>
      </c>
    </row>
    <row r="497" spans="1:11" ht="14.4" customHeight="1" x14ac:dyDescent="0.3">
      <c r="A497" s="794" t="s">
        <v>591</v>
      </c>
      <c r="B497" s="795" t="s">
        <v>592</v>
      </c>
      <c r="C497" s="798" t="s">
        <v>2074</v>
      </c>
      <c r="D497" s="826" t="s">
        <v>3345</v>
      </c>
      <c r="E497" s="798" t="s">
        <v>3346</v>
      </c>
      <c r="F497" s="826" t="s">
        <v>3347</v>
      </c>
      <c r="G497" s="798" t="s">
        <v>2969</v>
      </c>
      <c r="H497" s="798" t="s">
        <v>2970</v>
      </c>
      <c r="I497" s="812">
        <v>527.85</v>
      </c>
      <c r="J497" s="812">
        <v>4</v>
      </c>
      <c r="K497" s="813">
        <v>2111.4</v>
      </c>
    </row>
    <row r="498" spans="1:11" ht="14.4" customHeight="1" x14ac:dyDescent="0.3">
      <c r="A498" s="794" t="s">
        <v>591</v>
      </c>
      <c r="B498" s="795" t="s">
        <v>592</v>
      </c>
      <c r="C498" s="798" t="s">
        <v>2074</v>
      </c>
      <c r="D498" s="826" t="s">
        <v>3345</v>
      </c>
      <c r="E498" s="798" t="s">
        <v>3346</v>
      </c>
      <c r="F498" s="826" t="s">
        <v>3347</v>
      </c>
      <c r="G498" s="798" t="s">
        <v>2971</v>
      </c>
      <c r="H498" s="798" t="s">
        <v>2972</v>
      </c>
      <c r="I498" s="812">
        <v>3510.26</v>
      </c>
      <c r="J498" s="812">
        <v>1</v>
      </c>
      <c r="K498" s="813">
        <v>3510.26</v>
      </c>
    </row>
    <row r="499" spans="1:11" ht="14.4" customHeight="1" x14ac:dyDescent="0.3">
      <c r="A499" s="794" t="s">
        <v>591</v>
      </c>
      <c r="B499" s="795" t="s">
        <v>592</v>
      </c>
      <c r="C499" s="798" t="s">
        <v>2074</v>
      </c>
      <c r="D499" s="826" t="s">
        <v>3345</v>
      </c>
      <c r="E499" s="798" t="s">
        <v>3346</v>
      </c>
      <c r="F499" s="826" t="s">
        <v>3347</v>
      </c>
      <c r="G499" s="798" t="s">
        <v>2973</v>
      </c>
      <c r="H499" s="798" t="s">
        <v>2974</v>
      </c>
      <c r="I499" s="812">
        <v>1215.46</v>
      </c>
      <c r="J499" s="812">
        <v>4</v>
      </c>
      <c r="K499" s="813">
        <v>4861.84</v>
      </c>
    </row>
    <row r="500" spans="1:11" ht="14.4" customHeight="1" x14ac:dyDescent="0.3">
      <c r="A500" s="794" t="s">
        <v>591</v>
      </c>
      <c r="B500" s="795" t="s">
        <v>592</v>
      </c>
      <c r="C500" s="798" t="s">
        <v>2074</v>
      </c>
      <c r="D500" s="826" t="s">
        <v>3345</v>
      </c>
      <c r="E500" s="798" t="s">
        <v>3346</v>
      </c>
      <c r="F500" s="826" t="s">
        <v>3347</v>
      </c>
      <c r="G500" s="798" t="s">
        <v>2975</v>
      </c>
      <c r="H500" s="798" t="s">
        <v>2976</v>
      </c>
      <c r="I500" s="812">
        <v>4452.8</v>
      </c>
      <c r="J500" s="812">
        <v>3</v>
      </c>
      <c r="K500" s="813">
        <v>13358.400000000001</v>
      </c>
    </row>
    <row r="501" spans="1:11" ht="14.4" customHeight="1" x14ac:dyDescent="0.3">
      <c r="A501" s="794" t="s">
        <v>591</v>
      </c>
      <c r="B501" s="795" t="s">
        <v>592</v>
      </c>
      <c r="C501" s="798" t="s">
        <v>2074</v>
      </c>
      <c r="D501" s="826" t="s">
        <v>3345</v>
      </c>
      <c r="E501" s="798" t="s">
        <v>3346</v>
      </c>
      <c r="F501" s="826" t="s">
        <v>3347</v>
      </c>
      <c r="G501" s="798" t="s">
        <v>2977</v>
      </c>
      <c r="H501" s="798" t="s">
        <v>2978</v>
      </c>
      <c r="I501" s="812">
        <v>1385.75</v>
      </c>
      <c r="J501" s="812">
        <v>2</v>
      </c>
      <c r="K501" s="813">
        <v>2771.5</v>
      </c>
    </row>
    <row r="502" spans="1:11" ht="14.4" customHeight="1" x14ac:dyDescent="0.3">
      <c r="A502" s="794" t="s">
        <v>591</v>
      </c>
      <c r="B502" s="795" t="s">
        <v>592</v>
      </c>
      <c r="C502" s="798" t="s">
        <v>2074</v>
      </c>
      <c r="D502" s="826" t="s">
        <v>3345</v>
      </c>
      <c r="E502" s="798" t="s">
        <v>3346</v>
      </c>
      <c r="F502" s="826" t="s">
        <v>3347</v>
      </c>
      <c r="G502" s="798" t="s">
        <v>2979</v>
      </c>
      <c r="H502" s="798" t="s">
        <v>2980</v>
      </c>
      <c r="I502" s="812">
        <v>1552.5</v>
      </c>
      <c r="J502" s="812">
        <v>1</v>
      </c>
      <c r="K502" s="813">
        <v>1552.5</v>
      </c>
    </row>
    <row r="503" spans="1:11" ht="14.4" customHeight="1" x14ac:dyDescent="0.3">
      <c r="A503" s="794" t="s">
        <v>591</v>
      </c>
      <c r="B503" s="795" t="s">
        <v>592</v>
      </c>
      <c r="C503" s="798" t="s">
        <v>2074</v>
      </c>
      <c r="D503" s="826" t="s">
        <v>3345</v>
      </c>
      <c r="E503" s="798" t="s">
        <v>3346</v>
      </c>
      <c r="F503" s="826" t="s">
        <v>3347</v>
      </c>
      <c r="G503" s="798" t="s">
        <v>2981</v>
      </c>
      <c r="H503" s="798" t="s">
        <v>2982</v>
      </c>
      <c r="I503" s="812">
        <v>1053.6500000000001</v>
      </c>
      <c r="J503" s="812">
        <v>1</v>
      </c>
      <c r="K503" s="813">
        <v>1053.6500000000001</v>
      </c>
    </row>
    <row r="504" spans="1:11" ht="14.4" customHeight="1" x14ac:dyDescent="0.3">
      <c r="A504" s="794" t="s">
        <v>591</v>
      </c>
      <c r="B504" s="795" t="s">
        <v>592</v>
      </c>
      <c r="C504" s="798" t="s">
        <v>2074</v>
      </c>
      <c r="D504" s="826" t="s">
        <v>3345</v>
      </c>
      <c r="E504" s="798" t="s">
        <v>3346</v>
      </c>
      <c r="F504" s="826" t="s">
        <v>3347</v>
      </c>
      <c r="G504" s="798" t="s">
        <v>2983</v>
      </c>
      <c r="H504" s="798" t="s">
        <v>2984</v>
      </c>
      <c r="I504" s="812">
        <v>728.1</v>
      </c>
      <c r="J504" s="812">
        <v>1</v>
      </c>
      <c r="K504" s="813">
        <v>728.1</v>
      </c>
    </row>
    <row r="505" spans="1:11" ht="14.4" customHeight="1" x14ac:dyDescent="0.3">
      <c r="A505" s="794" t="s">
        <v>591</v>
      </c>
      <c r="B505" s="795" t="s">
        <v>592</v>
      </c>
      <c r="C505" s="798" t="s">
        <v>2074</v>
      </c>
      <c r="D505" s="826" t="s">
        <v>3345</v>
      </c>
      <c r="E505" s="798" t="s">
        <v>3346</v>
      </c>
      <c r="F505" s="826" t="s">
        <v>3347</v>
      </c>
      <c r="G505" s="798" t="s">
        <v>2985</v>
      </c>
      <c r="H505" s="798" t="s">
        <v>2986</v>
      </c>
      <c r="I505" s="812">
        <v>5175</v>
      </c>
      <c r="J505" s="812">
        <v>4</v>
      </c>
      <c r="K505" s="813">
        <v>20700</v>
      </c>
    </row>
    <row r="506" spans="1:11" ht="14.4" customHeight="1" x14ac:dyDescent="0.3">
      <c r="A506" s="794" t="s">
        <v>591</v>
      </c>
      <c r="B506" s="795" t="s">
        <v>592</v>
      </c>
      <c r="C506" s="798" t="s">
        <v>2074</v>
      </c>
      <c r="D506" s="826" t="s">
        <v>3345</v>
      </c>
      <c r="E506" s="798" t="s">
        <v>3346</v>
      </c>
      <c r="F506" s="826" t="s">
        <v>3347</v>
      </c>
      <c r="G506" s="798" t="s">
        <v>2987</v>
      </c>
      <c r="H506" s="798" t="s">
        <v>2988</v>
      </c>
      <c r="I506" s="812">
        <v>615.58500000000004</v>
      </c>
      <c r="J506" s="812">
        <v>4</v>
      </c>
      <c r="K506" s="813">
        <v>2462.33</v>
      </c>
    </row>
    <row r="507" spans="1:11" ht="14.4" customHeight="1" x14ac:dyDescent="0.3">
      <c r="A507" s="794" t="s">
        <v>591</v>
      </c>
      <c r="B507" s="795" t="s">
        <v>592</v>
      </c>
      <c r="C507" s="798" t="s">
        <v>2074</v>
      </c>
      <c r="D507" s="826" t="s">
        <v>3345</v>
      </c>
      <c r="E507" s="798" t="s">
        <v>3346</v>
      </c>
      <c r="F507" s="826" t="s">
        <v>3347</v>
      </c>
      <c r="G507" s="798" t="s">
        <v>2989</v>
      </c>
      <c r="H507" s="798" t="s">
        <v>2990</v>
      </c>
      <c r="I507" s="812">
        <v>1161.835</v>
      </c>
      <c r="J507" s="812">
        <v>2</v>
      </c>
      <c r="K507" s="813">
        <v>2323.67</v>
      </c>
    </row>
    <row r="508" spans="1:11" ht="14.4" customHeight="1" x14ac:dyDescent="0.3">
      <c r="A508" s="794" t="s">
        <v>591</v>
      </c>
      <c r="B508" s="795" t="s">
        <v>592</v>
      </c>
      <c r="C508" s="798" t="s">
        <v>2074</v>
      </c>
      <c r="D508" s="826" t="s">
        <v>3345</v>
      </c>
      <c r="E508" s="798" t="s">
        <v>3346</v>
      </c>
      <c r="F508" s="826" t="s">
        <v>3347</v>
      </c>
      <c r="G508" s="798" t="s">
        <v>2991</v>
      </c>
      <c r="H508" s="798" t="s">
        <v>2992</v>
      </c>
      <c r="I508" s="812">
        <v>3784.65</v>
      </c>
      <c r="J508" s="812">
        <v>1</v>
      </c>
      <c r="K508" s="813">
        <v>3784.65</v>
      </c>
    </row>
    <row r="509" spans="1:11" ht="14.4" customHeight="1" x14ac:dyDescent="0.3">
      <c r="A509" s="794" t="s">
        <v>591</v>
      </c>
      <c r="B509" s="795" t="s">
        <v>592</v>
      </c>
      <c r="C509" s="798" t="s">
        <v>2074</v>
      </c>
      <c r="D509" s="826" t="s">
        <v>3345</v>
      </c>
      <c r="E509" s="798" t="s">
        <v>3346</v>
      </c>
      <c r="F509" s="826" t="s">
        <v>3347</v>
      </c>
      <c r="G509" s="798" t="s">
        <v>2993</v>
      </c>
      <c r="H509" s="798" t="s">
        <v>2994</v>
      </c>
      <c r="I509" s="812">
        <v>880.15</v>
      </c>
      <c r="J509" s="812">
        <v>1</v>
      </c>
      <c r="K509" s="813">
        <v>880.15</v>
      </c>
    </row>
    <row r="510" spans="1:11" ht="14.4" customHeight="1" x14ac:dyDescent="0.3">
      <c r="A510" s="794" t="s">
        <v>591</v>
      </c>
      <c r="B510" s="795" t="s">
        <v>592</v>
      </c>
      <c r="C510" s="798" t="s">
        <v>2074</v>
      </c>
      <c r="D510" s="826" t="s">
        <v>3345</v>
      </c>
      <c r="E510" s="798" t="s">
        <v>3346</v>
      </c>
      <c r="F510" s="826" t="s">
        <v>3347</v>
      </c>
      <c r="G510" s="798" t="s">
        <v>2995</v>
      </c>
      <c r="H510" s="798" t="s">
        <v>2996</v>
      </c>
      <c r="I510" s="812">
        <v>878.72</v>
      </c>
      <c r="J510" s="812">
        <v>3</v>
      </c>
      <c r="K510" s="813">
        <v>2636.15</v>
      </c>
    </row>
    <row r="511" spans="1:11" ht="14.4" customHeight="1" x14ac:dyDescent="0.3">
      <c r="A511" s="794" t="s">
        <v>591</v>
      </c>
      <c r="B511" s="795" t="s">
        <v>592</v>
      </c>
      <c r="C511" s="798" t="s">
        <v>2074</v>
      </c>
      <c r="D511" s="826" t="s">
        <v>3345</v>
      </c>
      <c r="E511" s="798" t="s">
        <v>3346</v>
      </c>
      <c r="F511" s="826" t="s">
        <v>3347</v>
      </c>
      <c r="G511" s="798" t="s">
        <v>2997</v>
      </c>
      <c r="H511" s="798" t="s">
        <v>2998</v>
      </c>
      <c r="I511" s="812">
        <v>880.15</v>
      </c>
      <c r="J511" s="812">
        <v>1</v>
      </c>
      <c r="K511" s="813">
        <v>880.15</v>
      </c>
    </row>
    <row r="512" spans="1:11" ht="14.4" customHeight="1" x14ac:dyDescent="0.3">
      <c r="A512" s="794" t="s">
        <v>591</v>
      </c>
      <c r="B512" s="795" t="s">
        <v>592</v>
      </c>
      <c r="C512" s="798" t="s">
        <v>2074</v>
      </c>
      <c r="D512" s="826" t="s">
        <v>3345</v>
      </c>
      <c r="E512" s="798" t="s">
        <v>3346</v>
      </c>
      <c r="F512" s="826" t="s">
        <v>3347</v>
      </c>
      <c r="G512" s="798" t="s">
        <v>2999</v>
      </c>
      <c r="H512" s="798" t="s">
        <v>3000</v>
      </c>
      <c r="I512" s="812">
        <v>2051.9899999999998</v>
      </c>
      <c r="J512" s="812">
        <v>1</v>
      </c>
      <c r="K512" s="813">
        <v>2051.9899999999998</v>
      </c>
    </row>
    <row r="513" spans="1:11" ht="14.4" customHeight="1" x14ac:dyDescent="0.3">
      <c r="A513" s="794" t="s">
        <v>591</v>
      </c>
      <c r="B513" s="795" t="s">
        <v>592</v>
      </c>
      <c r="C513" s="798" t="s">
        <v>2074</v>
      </c>
      <c r="D513" s="826" t="s">
        <v>3345</v>
      </c>
      <c r="E513" s="798" t="s">
        <v>3346</v>
      </c>
      <c r="F513" s="826" t="s">
        <v>3347</v>
      </c>
      <c r="G513" s="798" t="s">
        <v>3001</v>
      </c>
      <c r="H513" s="798" t="s">
        <v>3002</v>
      </c>
      <c r="I513" s="812">
        <v>801.21</v>
      </c>
      <c r="J513" s="812">
        <v>1</v>
      </c>
      <c r="K513" s="813">
        <v>801.21</v>
      </c>
    </row>
    <row r="514" spans="1:11" ht="14.4" customHeight="1" x14ac:dyDescent="0.3">
      <c r="A514" s="794" t="s">
        <v>591</v>
      </c>
      <c r="B514" s="795" t="s">
        <v>592</v>
      </c>
      <c r="C514" s="798" t="s">
        <v>2074</v>
      </c>
      <c r="D514" s="826" t="s">
        <v>3345</v>
      </c>
      <c r="E514" s="798" t="s">
        <v>3346</v>
      </c>
      <c r="F514" s="826" t="s">
        <v>3347</v>
      </c>
      <c r="G514" s="798" t="s">
        <v>3003</v>
      </c>
      <c r="H514" s="798" t="s">
        <v>3004</v>
      </c>
      <c r="I514" s="812">
        <v>9517.9500000000007</v>
      </c>
      <c r="J514" s="812">
        <v>2</v>
      </c>
      <c r="K514" s="813">
        <v>19035.900000000001</v>
      </c>
    </row>
    <row r="515" spans="1:11" ht="14.4" customHeight="1" x14ac:dyDescent="0.3">
      <c r="A515" s="794" t="s">
        <v>591</v>
      </c>
      <c r="B515" s="795" t="s">
        <v>592</v>
      </c>
      <c r="C515" s="798" t="s">
        <v>2074</v>
      </c>
      <c r="D515" s="826" t="s">
        <v>3345</v>
      </c>
      <c r="E515" s="798" t="s">
        <v>3346</v>
      </c>
      <c r="F515" s="826" t="s">
        <v>3347</v>
      </c>
      <c r="G515" s="798" t="s">
        <v>3005</v>
      </c>
      <c r="H515" s="798" t="s">
        <v>3006</v>
      </c>
      <c r="I515" s="812">
        <v>2518.5</v>
      </c>
      <c r="J515" s="812">
        <v>1</v>
      </c>
      <c r="K515" s="813">
        <v>2518.5</v>
      </c>
    </row>
    <row r="516" spans="1:11" ht="14.4" customHeight="1" x14ac:dyDescent="0.3">
      <c r="A516" s="794" t="s">
        <v>591</v>
      </c>
      <c r="B516" s="795" t="s">
        <v>592</v>
      </c>
      <c r="C516" s="798" t="s">
        <v>2074</v>
      </c>
      <c r="D516" s="826" t="s">
        <v>3345</v>
      </c>
      <c r="E516" s="798" t="s">
        <v>3346</v>
      </c>
      <c r="F516" s="826" t="s">
        <v>3347</v>
      </c>
      <c r="G516" s="798" t="s">
        <v>3007</v>
      </c>
      <c r="H516" s="798" t="s">
        <v>3008</v>
      </c>
      <c r="I516" s="812">
        <v>596.74</v>
      </c>
      <c r="J516" s="812">
        <v>3</v>
      </c>
      <c r="K516" s="813">
        <v>1790.23</v>
      </c>
    </row>
    <row r="517" spans="1:11" ht="14.4" customHeight="1" x14ac:dyDescent="0.3">
      <c r="A517" s="794" t="s">
        <v>591</v>
      </c>
      <c r="B517" s="795" t="s">
        <v>592</v>
      </c>
      <c r="C517" s="798" t="s">
        <v>2074</v>
      </c>
      <c r="D517" s="826" t="s">
        <v>3345</v>
      </c>
      <c r="E517" s="798" t="s">
        <v>3346</v>
      </c>
      <c r="F517" s="826" t="s">
        <v>3347</v>
      </c>
      <c r="G517" s="798" t="s">
        <v>3009</v>
      </c>
      <c r="H517" s="798" t="s">
        <v>3010</v>
      </c>
      <c r="I517" s="812">
        <v>7466.31</v>
      </c>
      <c r="J517" s="812">
        <v>1</v>
      </c>
      <c r="K517" s="813">
        <v>7466.31</v>
      </c>
    </row>
    <row r="518" spans="1:11" ht="14.4" customHeight="1" x14ac:dyDescent="0.3">
      <c r="A518" s="794" t="s">
        <v>591</v>
      </c>
      <c r="B518" s="795" t="s">
        <v>592</v>
      </c>
      <c r="C518" s="798" t="s">
        <v>2074</v>
      </c>
      <c r="D518" s="826" t="s">
        <v>3345</v>
      </c>
      <c r="E518" s="798" t="s">
        <v>3346</v>
      </c>
      <c r="F518" s="826" t="s">
        <v>3347</v>
      </c>
      <c r="G518" s="798" t="s">
        <v>3011</v>
      </c>
      <c r="H518" s="798" t="s">
        <v>3012</v>
      </c>
      <c r="I518" s="812">
        <v>1161.83</v>
      </c>
      <c r="J518" s="812">
        <v>2</v>
      </c>
      <c r="K518" s="813">
        <v>2323.66</v>
      </c>
    </row>
    <row r="519" spans="1:11" ht="14.4" customHeight="1" x14ac:dyDescent="0.3">
      <c r="A519" s="794" t="s">
        <v>591</v>
      </c>
      <c r="B519" s="795" t="s">
        <v>592</v>
      </c>
      <c r="C519" s="798" t="s">
        <v>2074</v>
      </c>
      <c r="D519" s="826" t="s">
        <v>3345</v>
      </c>
      <c r="E519" s="798" t="s">
        <v>3346</v>
      </c>
      <c r="F519" s="826" t="s">
        <v>3347</v>
      </c>
      <c r="G519" s="798" t="s">
        <v>3013</v>
      </c>
      <c r="H519" s="798" t="s">
        <v>3014</v>
      </c>
      <c r="I519" s="812">
        <v>8822.98</v>
      </c>
      <c r="J519" s="812">
        <v>2</v>
      </c>
      <c r="K519" s="813">
        <v>17645.96</v>
      </c>
    </row>
    <row r="520" spans="1:11" ht="14.4" customHeight="1" x14ac:dyDescent="0.3">
      <c r="A520" s="794" t="s">
        <v>591</v>
      </c>
      <c r="B520" s="795" t="s">
        <v>592</v>
      </c>
      <c r="C520" s="798" t="s">
        <v>2074</v>
      </c>
      <c r="D520" s="826" t="s">
        <v>3345</v>
      </c>
      <c r="E520" s="798" t="s">
        <v>3346</v>
      </c>
      <c r="F520" s="826" t="s">
        <v>3347</v>
      </c>
      <c r="G520" s="798" t="s">
        <v>3015</v>
      </c>
      <c r="H520" s="798" t="s">
        <v>3016</v>
      </c>
      <c r="I520" s="812">
        <v>7814.17</v>
      </c>
      <c r="J520" s="812">
        <v>1</v>
      </c>
      <c r="K520" s="813">
        <v>7814.17</v>
      </c>
    </row>
    <row r="521" spans="1:11" ht="14.4" customHeight="1" x14ac:dyDescent="0.3">
      <c r="A521" s="794" t="s">
        <v>591</v>
      </c>
      <c r="B521" s="795" t="s">
        <v>592</v>
      </c>
      <c r="C521" s="798" t="s">
        <v>2074</v>
      </c>
      <c r="D521" s="826" t="s">
        <v>3345</v>
      </c>
      <c r="E521" s="798" t="s">
        <v>3346</v>
      </c>
      <c r="F521" s="826" t="s">
        <v>3347</v>
      </c>
      <c r="G521" s="798" t="s">
        <v>3017</v>
      </c>
      <c r="H521" s="798" t="s">
        <v>3018</v>
      </c>
      <c r="I521" s="812">
        <v>880.15</v>
      </c>
      <c r="J521" s="812">
        <v>1</v>
      </c>
      <c r="K521" s="813">
        <v>880.15</v>
      </c>
    </row>
    <row r="522" spans="1:11" ht="14.4" customHeight="1" x14ac:dyDescent="0.3">
      <c r="A522" s="794" t="s">
        <v>591</v>
      </c>
      <c r="B522" s="795" t="s">
        <v>592</v>
      </c>
      <c r="C522" s="798" t="s">
        <v>2074</v>
      </c>
      <c r="D522" s="826" t="s">
        <v>3345</v>
      </c>
      <c r="E522" s="798" t="s">
        <v>3346</v>
      </c>
      <c r="F522" s="826" t="s">
        <v>3347</v>
      </c>
      <c r="G522" s="798" t="s">
        <v>3019</v>
      </c>
      <c r="H522" s="798" t="s">
        <v>3020</v>
      </c>
      <c r="I522" s="812">
        <v>2493.2800000000002</v>
      </c>
      <c r="J522" s="812">
        <v>1</v>
      </c>
      <c r="K522" s="813">
        <v>2493.2800000000002</v>
      </c>
    </row>
    <row r="523" spans="1:11" ht="14.4" customHeight="1" x14ac:dyDescent="0.3">
      <c r="A523" s="794" t="s">
        <v>591</v>
      </c>
      <c r="B523" s="795" t="s">
        <v>592</v>
      </c>
      <c r="C523" s="798" t="s">
        <v>2074</v>
      </c>
      <c r="D523" s="826" t="s">
        <v>3345</v>
      </c>
      <c r="E523" s="798" t="s">
        <v>3346</v>
      </c>
      <c r="F523" s="826" t="s">
        <v>3347</v>
      </c>
      <c r="G523" s="798" t="s">
        <v>3021</v>
      </c>
      <c r="H523" s="798" t="s">
        <v>3022</v>
      </c>
      <c r="I523" s="812">
        <v>195.91</v>
      </c>
      <c r="J523" s="812">
        <v>2</v>
      </c>
      <c r="K523" s="813">
        <v>391.83</v>
      </c>
    </row>
    <row r="524" spans="1:11" ht="14.4" customHeight="1" x14ac:dyDescent="0.3">
      <c r="A524" s="794" t="s">
        <v>591</v>
      </c>
      <c r="B524" s="795" t="s">
        <v>592</v>
      </c>
      <c r="C524" s="798" t="s">
        <v>2074</v>
      </c>
      <c r="D524" s="826" t="s">
        <v>3345</v>
      </c>
      <c r="E524" s="798" t="s">
        <v>3346</v>
      </c>
      <c r="F524" s="826" t="s">
        <v>3347</v>
      </c>
      <c r="G524" s="798" t="s">
        <v>3023</v>
      </c>
      <c r="H524" s="798" t="s">
        <v>3024</v>
      </c>
      <c r="I524" s="812">
        <v>10807.46</v>
      </c>
      <c r="J524" s="812">
        <v>1</v>
      </c>
      <c r="K524" s="813">
        <v>10807.46</v>
      </c>
    </row>
    <row r="525" spans="1:11" ht="14.4" customHeight="1" x14ac:dyDescent="0.3">
      <c r="A525" s="794" t="s">
        <v>591</v>
      </c>
      <c r="B525" s="795" t="s">
        <v>592</v>
      </c>
      <c r="C525" s="798" t="s">
        <v>2074</v>
      </c>
      <c r="D525" s="826" t="s">
        <v>3345</v>
      </c>
      <c r="E525" s="798" t="s">
        <v>3346</v>
      </c>
      <c r="F525" s="826" t="s">
        <v>3347</v>
      </c>
      <c r="G525" s="798" t="s">
        <v>3025</v>
      </c>
      <c r="H525" s="798" t="s">
        <v>3026</v>
      </c>
      <c r="I525" s="812">
        <v>8323.94</v>
      </c>
      <c r="J525" s="812">
        <v>2</v>
      </c>
      <c r="K525" s="813">
        <v>16647.88</v>
      </c>
    </row>
    <row r="526" spans="1:11" ht="14.4" customHeight="1" x14ac:dyDescent="0.3">
      <c r="A526" s="794" t="s">
        <v>591</v>
      </c>
      <c r="B526" s="795" t="s">
        <v>592</v>
      </c>
      <c r="C526" s="798" t="s">
        <v>2074</v>
      </c>
      <c r="D526" s="826" t="s">
        <v>3345</v>
      </c>
      <c r="E526" s="798" t="s">
        <v>3346</v>
      </c>
      <c r="F526" s="826" t="s">
        <v>3347</v>
      </c>
      <c r="G526" s="798" t="s">
        <v>3027</v>
      </c>
      <c r="H526" s="798" t="s">
        <v>3028</v>
      </c>
      <c r="I526" s="812">
        <v>1637.49</v>
      </c>
      <c r="J526" s="812">
        <v>1</v>
      </c>
      <c r="K526" s="813">
        <v>1637.49</v>
      </c>
    </row>
    <row r="527" spans="1:11" ht="14.4" customHeight="1" x14ac:dyDescent="0.3">
      <c r="A527" s="794" t="s">
        <v>591</v>
      </c>
      <c r="B527" s="795" t="s">
        <v>592</v>
      </c>
      <c r="C527" s="798" t="s">
        <v>2074</v>
      </c>
      <c r="D527" s="826" t="s">
        <v>3345</v>
      </c>
      <c r="E527" s="798" t="s">
        <v>3346</v>
      </c>
      <c r="F527" s="826" t="s">
        <v>3347</v>
      </c>
      <c r="G527" s="798" t="s">
        <v>3029</v>
      </c>
      <c r="H527" s="798" t="s">
        <v>3030</v>
      </c>
      <c r="I527" s="812">
        <v>5523.54</v>
      </c>
      <c r="J527" s="812">
        <v>1</v>
      </c>
      <c r="K527" s="813">
        <v>5523.54</v>
      </c>
    </row>
    <row r="528" spans="1:11" ht="14.4" customHeight="1" x14ac:dyDescent="0.3">
      <c r="A528" s="794" t="s">
        <v>591</v>
      </c>
      <c r="B528" s="795" t="s">
        <v>592</v>
      </c>
      <c r="C528" s="798" t="s">
        <v>2074</v>
      </c>
      <c r="D528" s="826" t="s">
        <v>3345</v>
      </c>
      <c r="E528" s="798" t="s">
        <v>3346</v>
      </c>
      <c r="F528" s="826" t="s">
        <v>3347</v>
      </c>
      <c r="G528" s="798" t="s">
        <v>3031</v>
      </c>
      <c r="H528" s="798" t="s">
        <v>3032</v>
      </c>
      <c r="I528" s="812">
        <v>294.36</v>
      </c>
      <c r="J528" s="812">
        <v>1</v>
      </c>
      <c r="K528" s="813">
        <v>294.36</v>
      </c>
    </row>
    <row r="529" spans="1:11" ht="14.4" customHeight="1" x14ac:dyDescent="0.3">
      <c r="A529" s="794" t="s">
        <v>591</v>
      </c>
      <c r="B529" s="795" t="s">
        <v>592</v>
      </c>
      <c r="C529" s="798" t="s">
        <v>2074</v>
      </c>
      <c r="D529" s="826" t="s">
        <v>3345</v>
      </c>
      <c r="E529" s="798" t="s">
        <v>3346</v>
      </c>
      <c r="F529" s="826" t="s">
        <v>3347</v>
      </c>
      <c r="G529" s="798" t="s">
        <v>3033</v>
      </c>
      <c r="H529" s="798" t="s">
        <v>3034</v>
      </c>
      <c r="I529" s="812">
        <v>640.94500000000005</v>
      </c>
      <c r="J529" s="812">
        <v>2</v>
      </c>
      <c r="K529" s="813">
        <v>1281.8900000000001</v>
      </c>
    </row>
    <row r="530" spans="1:11" ht="14.4" customHeight="1" x14ac:dyDescent="0.3">
      <c r="A530" s="794" t="s">
        <v>591</v>
      </c>
      <c r="B530" s="795" t="s">
        <v>592</v>
      </c>
      <c r="C530" s="798" t="s">
        <v>2074</v>
      </c>
      <c r="D530" s="826" t="s">
        <v>3345</v>
      </c>
      <c r="E530" s="798" t="s">
        <v>3346</v>
      </c>
      <c r="F530" s="826" t="s">
        <v>3347</v>
      </c>
      <c r="G530" s="798" t="s">
        <v>3035</v>
      </c>
      <c r="H530" s="798" t="s">
        <v>3036</v>
      </c>
      <c r="I530" s="812">
        <v>1839.08</v>
      </c>
      <c r="J530" s="812">
        <v>1</v>
      </c>
      <c r="K530" s="813">
        <v>1839.08</v>
      </c>
    </row>
    <row r="531" spans="1:11" ht="14.4" customHeight="1" x14ac:dyDescent="0.3">
      <c r="A531" s="794" t="s">
        <v>591</v>
      </c>
      <c r="B531" s="795" t="s">
        <v>592</v>
      </c>
      <c r="C531" s="798" t="s">
        <v>2074</v>
      </c>
      <c r="D531" s="826" t="s">
        <v>3345</v>
      </c>
      <c r="E531" s="798" t="s">
        <v>3346</v>
      </c>
      <c r="F531" s="826" t="s">
        <v>3347</v>
      </c>
      <c r="G531" s="798" t="s">
        <v>3037</v>
      </c>
      <c r="H531" s="798" t="s">
        <v>3038</v>
      </c>
      <c r="I531" s="812">
        <v>935.71</v>
      </c>
      <c r="J531" s="812">
        <v>2</v>
      </c>
      <c r="K531" s="813">
        <v>1871.42</v>
      </c>
    </row>
    <row r="532" spans="1:11" ht="14.4" customHeight="1" x14ac:dyDescent="0.3">
      <c r="A532" s="794" t="s">
        <v>591</v>
      </c>
      <c r="B532" s="795" t="s">
        <v>592</v>
      </c>
      <c r="C532" s="798" t="s">
        <v>2074</v>
      </c>
      <c r="D532" s="826" t="s">
        <v>3345</v>
      </c>
      <c r="E532" s="798" t="s">
        <v>3346</v>
      </c>
      <c r="F532" s="826" t="s">
        <v>3347</v>
      </c>
      <c r="G532" s="798" t="s">
        <v>3039</v>
      </c>
      <c r="H532" s="798" t="s">
        <v>3040</v>
      </c>
      <c r="I532" s="812">
        <v>1089.71</v>
      </c>
      <c r="J532" s="812">
        <v>2</v>
      </c>
      <c r="K532" s="813">
        <v>2179.4299999999998</v>
      </c>
    </row>
    <row r="533" spans="1:11" ht="14.4" customHeight="1" x14ac:dyDescent="0.3">
      <c r="A533" s="794" t="s">
        <v>591</v>
      </c>
      <c r="B533" s="795" t="s">
        <v>592</v>
      </c>
      <c r="C533" s="798" t="s">
        <v>2074</v>
      </c>
      <c r="D533" s="826" t="s">
        <v>3345</v>
      </c>
      <c r="E533" s="798" t="s">
        <v>3346</v>
      </c>
      <c r="F533" s="826" t="s">
        <v>3347</v>
      </c>
      <c r="G533" s="798" t="s">
        <v>3041</v>
      </c>
      <c r="H533" s="798" t="s">
        <v>3042</v>
      </c>
      <c r="I533" s="812">
        <v>880.15</v>
      </c>
      <c r="J533" s="812">
        <v>1</v>
      </c>
      <c r="K533" s="813">
        <v>880.15</v>
      </c>
    </row>
    <row r="534" spans="1:11" ht="14.4" customHeight="1" x14ac:dyDescent="0.3">
      <c r="A534" s="794" t="s">
        <v>591</v>
      </c>
      <c r="B534" s="795" t="s">
        <v>592</v>
      </c>
      <c r="C534" s="798" t="s">
        <v>2074</v>
      </c>
      <c r="D534" s="826" t="s">
        <v>3345</v>
      </c>
      <c r="E534" s="798" t="s">
        <v>3346</v>
      </c>
      <c r="F534" s="826" t="s">
        <v>3347</v>
      </c>
      <c r="G534" s="798" t="s">
        <v>3043</v>
      </c>
      <c r="H534" s="798" t="s">
        <v>3044</v>
      </c>
      <c r="I534" s="812">
        <v>1185.2150000000001</v>
      </c>
      <c r="J534" s="812">
        <v>2</v>
      </c>
      <c r="K534" s="813">
        <v>2370.4300000000003</v>
      </c>
    </row>
    <row r="535" spans="1:11" ht="14.4" customHeight="1" x14ac:dyDescent="0.3">
      <c r="A535" s="794" t="s">
        <v>591</v>
      </c>
      <c r="B535" s="795" t="s">
        <v>592</v>
      </c>
      <c r="C535" s="798" t="s">
        <v>2074</v>
      </c>
      <c r="D535" s="826" t="s">
        <v>3345</v>
      </c>
      <c r="E535" s="798" t="s">
        <v>3346</v>
      </c>
      <c r="F535" s="826" t="s">
        <v>3347</v>
      </c>
      <c r="G535" s="798" t="s">
        <v>3045</v>
      </c>
      <c r="H535" s="798" t="s">
        <v>3046</v>
      </c>
      <c r="I535" s="812">
        <v>880.15</v>
      </c>
      <c r="J535" s="812">
        <v>1</v>
      </c>
      <c r="K535" s="813">
        <v>880.15</v>
      </c>
    </row>
    <row r="536" spans="1:11" ht="14.4" customHeight="1" x14ac:dyDescent="0.3">
      <c r="A536" s="794" t="s">
        <v>591</v>
      </c>
      <c r="B536" s="795" t="s">
        <v>592</v>
      </c>
      <c r="C536" s="798" t="s">
        <v>2074</v>
      </c>
      <c r="D536" s="826" t="s">
        <v>3345</v>
      </c>
      <c r="E536" s="798" t="s">
        <v>3346</v>
      </c>
      <c r="F536" s="826" t="s">
        <v>3347</v>
      </c>
      <c r="G536" s="798" t="s">
        <v>3047</v>
      </c>
      <c r="H536" s="798" t="s">
        <v>3048</v>
      </c>
      <c r="I536" s="812">
        <v>1176.46</v>
      </c>
      <c r="J536" s="812">
        <v>3</v>
      </c>
      <c r="K536" s="813">
        <v>3529.38</v>
      </c>
    </row>
    <row r="537" spans="1:11" ht="14.4" customHeight="1" x14ac:dyDescent="0.3">
      <c r="A537" s="794" t="s">
        <v>591</v>
      </c>
      <c r="B537" s="795" t="s">
        <v>592</v>
      </c>
      <c r="C537" s="798" t="s">
        <v>2074</v>
      </c>
      <c r="D537" s="826" t="s">
        <v>3345</v>
      </c>
      <c r="E537" s="798" t="s">
        <v>3346</v>
      </c>
      <c r="F537" s="826" t="s">
        <v>3347</v>
      </c>
      <c r="G537" s="798" t="s">
        <v>3049</v>
      </c>
      <c r="H537" s="798" t="s">
        <v>3050</v>
      </c>
      <c r="I537" s="812">
        <v>1215.46</v>
      </c>
      <c r="J537" s="812">
        <v>1</v>
      </c>
      <c r="K537" s="813">
        <v>1215.46</v>
      </c>
    </row>
    <row r="538" spans="1:11" ht="14.4" customHeight="1" x14ac:dyDescent="0.3">
      <c r="A538" s="794" t="s">
        <v>591</v>
      </c>
      <c r="B538" s="795" t="s">
        <v>592</v>
      </c>
      <c r="C538" s="798" t="s">
        <v>2074</v>
      </c>
      <c r="D538" s="826" t="s">
        <v>3345</v>
      </c>
      <c r="E538" s="798" t="s">
        <v>3346</v>
      </c>
      <c r="F538" s="826" t="s">
        <v>3347</v>
      </c>
      <c r="G538" s="798" t="s">
        <v>3051</v>
      </c>
      <c r="H538" s="798" t="s">
        <v>3052</v>
      </c>
      <c r="I538" s="812">
        <v>88.88</v>
      </c>
      <c r="J538" s="812">
        <v>100</v>
      </c>
      <c r="K538" s="813">
        <v>8888.36</v>
      </c>
    </row>
    <row r="539" spans="1:11" ht="14.4" customHeight="1" x14ac:dyDescent="0.3">
      <c r="A539" s="794" t="s">
        <v>591</v>
      </c>
      <c r="B539" s="795" t="s">
        <v>592</v>
      </c>
      <c r="C539" s="798" t="s">
        <v>2074</v>
      </c>
      <c r="D539" s="826" t="s">
        <v>3345</v>
      </c>
      <c r="E539" s="798" t="s">
        <v>3346</v>
      </c>
      <c r="F539" s="826" t="s">
        <v>3347</v>
      </c>
      <c r="G539" s="798" t="s">
        <v>3053</v>
      </c>
      <c r="H539" s="798" t="s">
        <v>3054</v>
      </c>
      <c r="I539" s="812">
        <v>88.88</v>
      </c>
      <c r="J539" s="812">
        <v>80</v>
      </c>
      <c r="K539" s="813">
        <v>7110.6900000000005</v>
      </c>
    </row>
    <row r="540" spans="1:11" ht="14.4" customHeight="1" x14ac:dyDescent="0.3">
      <c r="A540" s="794" t="s">
        <v>591</v>
      </c>
      <c r="B540" s="795" t="s">
        <v>592</v>
      </c>
      <c r="C540" s="798" t="s">
        <v>2074</v>
      </c>
      <c r="D540" s="826" t="s">
        <v>3345</v>
      </c>
      <c r="E540" s="798" t="s">
        <v>3346</v>
      </c>
      <c r="F540" s="826" t="s">
        <v>3347</v>
      </c>
      <c r="G540" s="798" t="s">
        <v>3055</v>
      </c>
      <c r="H540" s="798" t="s">
        <v>3056</v>
      </c>
      <c r="I540" s="812">
        <v>12135.04</v>
      </c>
      <c r="J540" s="812">
        <v>1</v>
      </c>
      <c r="K540" s="813">
        <v>12135.04</v>
      </c>
    </row>
    <row r="541" spans="1:11" ht="14.4" customHeight="1" x14ac:dyDescent="0.3">
      <c r="A541" s="794" t="s">
        <v>591</v>
      </c>
      <c r="B541" s="795" t="s">
        <v>592</v>
      </c>
      <c r="C541" s="798" t="s">
        <v>2074</v>
      </c>
      <c r="D541" s="826" t="s">
        <v>3345</v>
      </c>
      <c r="E541" s="798" t="s">
        <v>3346</v>
      </c>
      <c r="F541" s="826" t="s">
        <v>3347</v>
      </c>
      <c r="G541" s="798" t="s">
        <v>3057</v>
      </c>
      <c r="H541" s="798" t="s">
        <v>3058</v>
      </c>
      <c r="I541" s="812">
        <v>1066.33</v>
      </c>
      <c r="J541" s="812">
        <v>5</v>
      </c>
      <c r="K541" s="813">
        <v>5331.63</v>
      </c>
    </row>
    <row r="542" spans="1:11" ht="14.4" customHeight="1" x14ac:dyDescent="0.3">
      <c r="A542" s="794" t="s">
        <v>591</v>
      </c>
      <c r="B542" s="795" t="s">
        <v>592</v>
      </c>
      <c r="C542" s="798" t="s">
        <v>2074</v>
      </c>
      <c r="D542" s="826" t="s">
        <v>3345</v>
      </c>
      <c r="E542" s="798" t="s">
        <v>3346</v>
      </c>
      <c r="F542" s="826" t="s">
        <v>3347</v>
      </c>
      <c r="G542" s="798" t="s">
        <v>3059</v>
      </c>
      <c r="H542" s="798" t="s">
        <v>3060</v>
      </c>
      <c r="I542" s="812">
        <v>364.54</v>
      </c>
      <c r="J542" s="812">
        <v>1</v>
      </c>
      <c r="K542" s="813">
        <v>364.54</v>
      </c>
    </row>
    <row r="543" spans="1:11" ht="14.4" customHeight="1" x14ac:dyDescent="0.3">
      <c r="A543" s="794" t="s">
        <v>591</v>
      </c>
      <c r="B543" s="795" t="s">
        <v>592</v>
      </c>
      <c r="C543" s="798" t="s">
        <v>2074</v>
      </c>
      <c r="D543" s="826" t="s">
        <v>3345</v>
      </c>
      <c r="E543" s="798" t="s">
        <v>3346</v>
      </c>
      <c r="F543" s="826" t="s">
        <v>3347</v>
      </c>
      <c r="G543" s="798" t="s">
        <v>3061</v>
      </c>
      <c r="H543" s="798" t="s">
        <v>3062</v>
      </c>
      <c r="I543" s="812">
        <v>1552.5</v>
      </c>
      <c r="J543" s="812">
        <v>1</v>
      </c>
      <c r="K543" s="813">
        <v>1552.5</v>
      </c>
    </row>
    <row r="544" spans="1:11" ht="14.4" customHeight="1" x14ac:dyDescent="0.3">
      <c r="A544" s="794" t="s">
        <v>591</v>
      </c>
      <c r="B544" s="795" t="s">
        <v>592</v>
      </c>
      <c r="C544" s="798" t="s">
        <v>2074</v>
      </c>
      <c r="D544" s="826" t="s">
        <v>3345</v>
      </c>
      <c r="E544" s="798" t="s">
        <v>3346</v>
      </c>
      <c r="F544" s="826" t="s">
        <v>3347</v>
      </c>
      <c r="G544" s="798" t="s">
        <v>3063</v>
      </c>
      <c r="H544" s="798" t="s">
        <v>3064</v>
      </c>
      <c r="I544" s="812">
        <v>1552.5</v>
      </c>
      <c r="J544" s="812">
        <v>2</v>
      </c>
      <c r="K544" s="813">
        <v>3105</v>
      </c>
    </row>
    <row r="545" spans="1:11" ht="14.4" customHeight="1" x14ac:dyDescent="0.3">
      <c r="A545" s="794" t="s">
        <v>591</v>
      </c>
      <c r="B545" s="795" t="s">
        <v>592</v>
      </c>
      <c r="C545" s="798" t="s">
        <v>2074</v>
      </c>
      <c r="D545" s="826" t="s">
        <v>3345</v>
      </c>
      <c r="E545" s="798" t="s">
        <v>3346</v>
      </c>
      <c r="F545" s="826" t="s">
        <v>3347</v>
      </c>
      <c r="G545" s="798" t="s">
        <v>3065</v>
      </c>
      <c r="H545" s="798" t="s">
        <v>3066</v>
      </c>
      <c r="I545" s="812">
        <v>884.05333333333328</v>
      </c>
      <c r="J545" s="812">
        <v>7</v>
      </c>
      <c r="K545" s="813">
        <v>6188.4</v>
      </c>
    </row>
    <row r="546" spans="1:11" ht="14.4" customHeight="1" x14ac:dyDescent="0.3">
      <c r="A546" s="794" t="s">
        <v>591</v>
      </c>
      <c r="B546" s="795" t="s">
        <v>592</v>
      </c>
      <c r="C546" s="798" t="s">
        <v>2074</v>
      </c>
      <c r="D546" s="826" t="s">
        <v>3345</v>
      </c>
      <c r="E546" s="798" t="s">
        <v>3346</v>
      </c>
      <c r="F546" s="826" t="s">
        <v>3347</v>
      </c>
      <c r="G546" s="798" t="s">
        <v>3067</v>
      </c>
      <c r="H546" s="798" t="s">
        <v>3068</v>
      </c>
      <c r="I546" s="812">
        <v>1053.6500000000001</v>
      </c>
      <c r="J546" s="812">
        <v>1</v>
      </c>
      <c r="K546" s="813">
        <v>1053.6500000000001</v>
      </c>
    </row>
    <row r="547" spans="1:11" ht="14.4" customHeight="1" x14ac:dyDescent="0.3">
      <c r="A547" s="794" t="s">
        <v>591</v>
      </c>
      <c r="B547" s="795" t="s">
        <v>592</v>
      </c>
      <c r="C547" s="798" t="s">
        <v>2074</v>
      </c>
      <c r="D547" s="826" t="s">
        <v>3345</v>
      </c>
      <c r="E547" s="798" t="s">
        <v>3346</v>
      </c>
      <c r="F547" s="826" t="s">
        <v>3347</v>
      </c>
      <c r="G547" s="798" t="s">
        <v>3069</v>
      </c>
      <c r="H547" s="798" t="s">
        <v>3070</v>
      </c>
      <c r="I547" s="812">
        <v>1270.04</v>
      </c>
      <c r="J547" s="812">
        <v>3</v>
      </c>
      <c r="K547" s="813">
        <v>3810.12</v>
      </c>
    </row>
    <row r="548" spans="1:11" ht="14.4" customHeight="1" x14ac:dyDescent="0.3">
      <c r="A548" s="794" t="s">
        <v>591</v>
      </c>
      <c r="B548" s="795" t="s">
        <v>592</v>
      </c>
      <c r="C548" s="798" t="s">
        <v>2074</v>
      </c>
      <c r="D548" s="826" t="s">
        <v>3345</v>
      </c>
      <c r="E548" s="798" t="s">
        <v>3346</v>
      </c>
      <c r="F548" s="826" t="s">
        <v>3347</v>
      </c>
      <c r="G548" s="798" t="s">
        <v>3071</v>
      </c>
      <c r="H548" s="798" t="s">
        <v>3072</v>
      </c>
      <c r="I548" s="812">
        <v>1081.92</v>
      </c>
      <c r="J548" s="812">
        <v>1</v>
      </c>
      <c r="K548" s="813">
        <v>1081.92</v>
      </c>
    </row>
    <row r="549" spans="1:11" ht="14.4" customHeight="1" x14ac:dyDescent="0.3">
      <c r="A549" s="794" t="s">
        <v>591</v>
      </c>
      <c r="B549" s="795" t="s">
        <v>592</v>
      </c>
      <c r="C549" s="798" t="s">
        <v>2074</v>
      </c>
      <c r="D549" s="826" t="s">
        <v>3345</v>
      </c>
      <c r="E549" s="798" t="s">
        <v>3346</v>
      </c>
      <c r="F549" s="826" t="s">
        <v>3347</v>
      </c>
      <c r="G549" s="798" t="s">
        <v>3073</v>
      </c>
      <c r="H549" s="798" t="s">
        <v>3074</v>
      </c>
      <c r="I549" s="812">
        <v>770.98</v>
      </c>
      <c r="J549" s="812">
        <v>1</v>
      </c>
      <c r="K549" s="813">
        <v>770.98</v>
      </c>
    </row>
    <row r="550" spans="1:11" ht="14.4" customHeight="1" x14ac:dyDescent="0.3">
      <c r="A550" s="794" t="s">
        <v>591</v>
      </c>
      <c r="B550" s="795" t="s">
        <v>592</v>
      </c>
      <c r="C550" s="798" t="s">
        <v>2074</v>
      </c>
      <c r="D550" s="826" t="s">
        <v>3345</v>
      </c>
      <c r="E550" s="798" t="s">
        <v>3346</v>
      </c>
      <c r="F550" s="826" t="s">
        <v>3347</v>
      </c>
      <c r="G550" s="798" t="s">
        <v>3075</v>
      </c>
      <c r="H550" s="798" t="s">
        <v>3076</v>
      </c>
      <c r="I550" s="812">
        <v>8126.07</v>
      </c>
      <c r="J550" s="812">
        <v>1</v>
      </c>
      <c r="K550" s="813">
        <v>8126.07</v>
      </c>
    </row>
    <row r="551" spans="1:11" ht="14.4" customHeight="1" x14ac:dyDescent="0.3">
      <c r="A551" s="794" t="s">
        <v>591</v>
      </c>
      <c r="B551" s="795" t="s">
        <v>592</v>
      </c>
      <c r="C551" s="798" t="s">
        <v>2074</v>
      </c>
      <c r="D551" s="826" t="s">
        <v>3345</v>
      </c>
      <c r="E551" s="798" t="s">
        <v>3346</v>
      </c>
      <c r="F551" s="826" t="s">
        <v>3347</v>
      </c>
      <c r="G551" s="798" t="s">
        <v>3077</v>
      </c>
      <c r="H551" s="798" t="s">
        <v>3078</v>
      </c>
      <c r="I551" s="812">
        <v>1839.08</v>
      </c>
      <c r="J551" s="812">
        <v>3</v>
      </c>
      <c r="K551" s="813">
        <v>5517.24</v>
      </c>
    </row>
    <row r="552" spans="1:11" ht="14.4" customHeight="1" x14ac:dyDescent="0.3">
      <c r="A552" s="794" t="s">
        <v>591</v>
      </c>
      <c r="B552" s="795" t="s">
        <v>592</v>
      </c>
      <c r="C552" s="798" t="s">
        <v>2074</v>
      </c>
      <c r="D552" s="826" t="s">
        <v>3345</v>
      </c>
      <c r="E552" s="798" t="s">
        <v>3346</v>
      </c>
      <c r="F552" s="826" t="s">
        <v>3347</v>
      </c>
      <c r="G552" s="798" t="s">
        <v>3079</v>
      </c>
      <c r="H552" s="798" t="s">
        <v>3080</v>
      </c>
      <c r="I552" s="812">
        <v>8766.4500000000007</v>
      </c>
      <c r="J552" s="812">
        <v>1</v>
      </c>
      <c r="K552" s="813">
        <v>8766.4500000000007</v>
      </c>
    </row>
    <row r="553" spans="1:11" ht="14.4" customHeight="1" x14ac:dyDescent="0.3">
      <c r="A553" s="794" t="s">
        <v>591</v>
      </c>
      <c r="B553" s="795" t="s">
        <v>592</v>
      </c>
      <c r="C553" s="798" t="s">
        <v>2074</v>
      </c>
      <c r="D553" s="826" t="s">
        <v>3345</v>
      </c>
      <c r="E553" s="798" t="s">
        <v>3346</v>
      </c>
      <c r="F553" s="826" t="s">
        <v>3347</v>
      </c>
      <c r="G553" s="798" t="s">
        <v>3081</v>
      </c>
      <c r="H553" s="798" t="s">
        <v>3082</v>
      </c>
      <c r="I553" s="812">
        <v>1839.08</v>
      </c>
      <c r="J553" s="812">
        <v>4</v>
      </c>
      <c r="K553" s="813">
        <v>7356.32</v>
      </c>
    </row>
    <row r="554" spans="1:11" ht="14.4" customHeight="1" x14ac:dyDescent="0.3">
      <c r="A554" s="794" t="s">
        <v>591</v>
      </c>
      <c r="B554" s="795" t="s">
        <v>592</v>
      </c>
      <c r="C554" s="798" t="s">
        <v>2074</v>
      </c>
      <c r="D554" s="826" t="s">
        <v>3345</v>
      </c>
      <c r="E554" s="798" t="s">
        <v>3346</v>
      </c>
      <c r="F554" s="826" t="s">
        <v>3347</v>
      </c>
      <c r="G554" s="798" t="s">
        <v>3083</v>
      </c>
      <c r="H554" s="798" t="s">
        <v>3084</v>
      </c>
      <c r="I554" s="812">
        <v>467.85</v>
      </c>
      <c r="J554" s="812">
        <v>2</v>
      </c>
      <c r="K554" s="813">
        <v>935.7</v>
      </c>
    </row>
    <row r="555" spans="1:11" ht="14.4" customHeight="1" x14ac:dyDescent="0.3">
      <c r="A555" s="794" t="s">
        <v>591</v>
      </c>
      <c r="B555" s="795" t="s">
        <v>592</v>
      </c>
      <c r="C555" s="798" t="s">
        <v>2074</v>
      </c>
      <c r="D555" s="826" t="s">
        <v>3345</v>
      </c>
      <c r="E555" s="798" t="s">
        <v>3346</v>
      </c>
      <c r="F555" s="826" t="s">
        <v>3347</v>
      </c>
      <c r="G555" s="798" t="s">
        <v>3085</v>
      </c>
      <c r="H555" s="798" t="s">
        <v>3086</v>
      </c>
      <c r="I555" s="812">
        <v>7820</v>
      </c>
      <c r="J555" s="812">
        <v>1</v>
      </c>
      <c r="K555" s="813">
        <v>7820</v>
      </c>
    </row>
    <row r="556" spans="1:11" ht="14.4" customHeight="1" x14ac:dyDescent="0.3">
      <c r="A556" s="794" t="s">
        <v>591</v>
      </c>
      <c r="B556" s="795" t="s">
        <v>592</v>
      </c>
      <c r="C556" s="798" t="s">
        <v>2074</v>
      </c>
      <c r="D556" s="826" t="s">
        <v>3345</v>
      </c>
      <c r="E556" s="798" t="s">
        <v>3346</v>
      </c>
      <c r="F556" s="826" t="s">
        <v>3347</v>
      </c>
      <c r="G556" s="798" t="s">
        <v>3087</v>
      </c>
      <c r="H556" s="798" t="s">
        <v>3088</v>
      </c>
      <c r="I556" s="812">
        <v>770.98</v>
      </c>
      <c r="J556" s="812">
        <v>1</v>
      </c>
      <c r="K556" s="813">
        <v>770.98</v>
      </c>
    </row>
    <row r="557" spans="1:11" ht="14.4" customHeight="1" x14ac:dyDescent="0.3">
      <c r="A557" s="794" t="s">
        <v>591</v>
      </c>
      <c r="B557" s="795" t="s">
        <v>592</v>
      </c>
      <c r="C557" s="798" t="s">
        <v>2074</v>
      </c>
      <c r="D557" s="826" t="s">
        <v>3345</v>
      </c>
      <c r="E557" s="798" t="s">
        <v>3346</v>
      </c>
      <c r="F557" s="826" t="s">
        <v>3347</v>
      </c>
      <c r="G557" s="798" t="s">
        <v>3089</v>
      </c>
      <c r="H557" s="798" t="s">
        <v>3090</v>
      </c>
      <c r="I557" s="812">
        <v>7814.17</v>
      </c>
      <c r="J557" s="812">
        <v>1</v>
      </c>
      <c r="K557" s="813">
        <v>7814.17</v>
      </c>
    </row>
    <row r="558" spans="1:11" ht="14.4" customHeight="1" x14ac:dyDescent="0.3">
      <c r="A558" s="794" t="s">
        <v>591</v>
      </c>
      <c r="B558" s="795" t="s">
        <v>592</v>
      </c>
      <c r="C558" s="798" t="s">
        <v>2074</v>
      </c>
      <c r="D558" s="826" t="s">
        <v>3345</v>
      </c>
      <c r="E558" s="798" t="s">
        <v>3346</v>
      </c>
      <c r="F558" s="826" t="s">
        <v>3347</v>
      </c>
      <c r="G558" s="798" t="s">
        <v>3091</v>
      </c>
      <c r="H558" s="798" t="s">
        <v>3092</v>
      </c>
      <c r="I558" s="812">
        <v>880.15</v>
      </c>
      <c r="J558" s="812">
        <v>2</v>
      </c>
      <c r="K558" s="813">
        <v>1760.3</v>
      </c>
    </row>
    <row r="559" spans="1:11" ht="14.4" customHeight="1" x14ac:dyDescent="0.3">
      <c r="A559" s="794" t="s">
        <v>591</v>
      </c>
      <c r="B559" s="795" t="s">
        <v>592</v>
      </c>
      <c r="C559" s="798" t="s">
        <v>2074</v>
      </c>
      <c r="D559" s="826" t="s">
        <v>3345</v>
      </c>
      <c r="E559" s="798" t="s">
        <v>3346</v>
      </c>
      <c r="F559" s="826" t="s">
        <v>3347</v>
      </c>
      <c r="G559" s="798" t="s">
        <v>3093</v>
      </c>
      <c r="H559" s="798" t="s">
        <v>3094</v>
      </c>
      <c r="I559" s="812">
        <v>1800</v>
      </c>
      <c r="J559" s="812">
        <v>2</v>
      </c>
      <c r="K559" s="813">
        <v>3600</v>
      </c>
    </row>
    <row r="560" spans="1:11" ht="14.4" customHeight="1" x14ac:dyDescent="0.3">
      <c r="A560" s="794" t="s">
        <v>591</v>
      </c>
      <c r="B560" s="795" t="s">
        <v>592</v>
      </c>
      <c r="C560" s="798" t="s">
        <v>2074</v>
      </c>
      <c r="D560" s="826" t="s">
        <v>3345</v>
      </c>
      <c r="E560" s="798" t="s">
        <v>3346</v>
      </c>
      <c r="F560" s="826" t="s">
        <v>3347</v>
      </c>
      <c r="G560" s="798" t="s">
        <v>3095</v>
      </c>
      <c r="H560" s="798" t="s">
        <v>3096</v>
      </c>
      <c r="I560" s="812">
        <v>527.85</v>
      </c>
      <c r="J560" s="812">
        <v>4</v>
      </c>
      <c r="K560" s="813">
        <v>2111.4</v>
      </c>
    </row>
    <row r="561" spans="1:11" ht="14.4" customHeight="1" x14ac:dyDescent="0.3">
      <c r="A561" s="794" t="s">
        <v>591</v>
      </c>
      <c r="B561" s="795" t="s">
        <v>592</v>
      </c>
      <c r="C561" s="798" t="s">
        <v>2074</v>
      </c>
      <c r="D561" s="826" t="s">
        <v>3345</v>
      </c>
      <c r="E561" s="798" t="s">
        <v>3346</v>
      </c>
      <c r="F561" s="826" t="s">
        <v>3347</v>
      </c>
      <c r="G561" s="798" t="s">
        <v>3097</v>
      </c>
      <c r="H561" s="798" t="s">
        <v>3098</v>
      </c>
      <c r="I561" s="812">
        <v>226.12</v>
      </c>
      <c r="J561" s="812">
        <v>1</v>
      </c>
      <c r="K561" s="813">
        <v>226.12</v>
      </c>
    </row>
    <row r="562" spans="1:11" ht="14.4" customHeight="1" x14ac:dyDescent="0.3">
      <c r="A562" s="794" t="s">
        <v>591</v>
      </c>
      <c r="B562" s="795" t="s">
        <v>592</v>
      </c>
      <c r="C562" s="798" t="s">
        <v>2074</v>
      </c>
      <c r="D562" s="826" t="s">
        <v>3345</v>
      </c>
      <c r="E562" s="798" t="s">
        <v>3346</v>
      </c>
      <c r="F562" s="826" t="s">
        <v>3347</v>
      </c>
      <c r="G562" s="798" t="s">
        <v>3099</v>
      </c>
      <c r="H562" s="798" t="s">
        <v>3100</v>
      </c>
      <c r="I562" s="812">
        <v>880.15</v>
      </c>
      <c r="J562" s="812">
        <v>1</v>
      </c>
      <c r="K562" s="813">
        <v>880.15</v>
      </c>
    </row>
    <row r="563" spans="1:11" ht="14.4" customHeight="1" x14ac:dyDescent="0.3">
      <c r="A563" s="794" t="s">
        <v>591</v>
      </c>
      <c r="B563" s="795" t="s">
        <v>592</v>
      </c>
      <c r="C563" s="798" t="s">
        <v>2074</v>
      </c>
      <c r="D563" s="826" t="s">
        <v>3345</v>
      </c>
      <c r="E563" s="798" t="s">
        <v>3346</v>
      </c>
      <c r="F563" s="826" t="s">
        <v>3347</v>
      </c>
      <c r="G563" s="798" t="s">
        <v>3101</v>
      </c>
      <c r="H563" s="798" t="s">
        <v>3102</v>
      </c>
      <c r="I563" s="812">
        <v>3859.17</v>
      </c>
      <c r="J563" s="812">
        <v>1</v>
      </c>
      <c r="K563" s="813">
        <v>3859.17</v>
      </c>
    </row>
    <row r="564" spans="1:11" ht="14.4" customHeight="1" x14ac:dyDescent="0.3">
      <c r="A564" s="794" t="s">
        <v>591</v>
      </c>
      <c r="B564" s="795" t="s">
        <v>592</v>
      </c>
      <c r="C564" s="798" t="s">
        <v>2074</v>
      </c>
      <c r="D564" s="826" t="s">
        <v>3345</v>
      </c>
      <c r="E564" s="798" t="s">
        <v>3346</v>
      </c>
      <c r="F564" s="826" t="s">
        <v>3347</v>
      </c>
      <c r="G564" s="798" t="s">
        <v>3103</v>
      </c>
      <c r="H564" s="798" t="s">
        <v>3104</v>
      </c>
      <c r="I564" s="812">
        <v>8256.69</v>
      </c>
      <c r="J564" s="812">
        <v>1</v>
      </c>
      <c r="K564" s="813">
        <v>8256.69</v>
      </c>
    </row>
    <row r="565" spans="1:11" ht="14.4" customHeight="1" x14ac:dyDescent="0.3">
      <c r="A565" s="794" t="s">
        <v>591</v>
      </c>
      <c r="B565" s="795" t="s">
        <v>592</v>
      </c>
      <c r="C565" s="798" t="s">
        <v>2074</v>
      </c>
      <c r="D565" s="826" t="s">
        <v>3345</v>
      </c>
      <c r="E565" s="798" t="s">
        <v>3346</v>
      </c>
      <c r="F565" s="826" t="s">
        <v>3347</v>
      </c>
      <c r="G565" s="798" t="s">
        <v>3105</v>
      </c>
      <c r="H565" s="798" t="s">
        <v>3106</v>
      </c>
      <c r="I565" s="812">
        <v>9660</v>
      </c>
      <c r="J565" s="812">
        <v>1</v>
      </c>
      <c r="K565" s="813">
        <v>9660</v>
      </c>
    </row>
    <row r="566" spans="1:11" ht="14.4" customHeight="1" x14ac:dyDescent="0.3">
      <c r="A566" s="794" t="s">
        <v>591</v>
      </c>
      <c r="B566" s="795" t="s">
        <v>592</v>
      </c>
      <c r="C566" s="798" t="s">
        <v>2074</v>
      </c>
      <c r="D566" s="826" t="s">
        <v>3345</v>
      </c>
      <c r="E566" s="798" t="s">
        <v>3346</v>
      </c>
      <c r="F566" s="826" t="s">
        <v>3347</v>
      </c>
      <c r="G566" s="798" t="s">
        <v>3107</v>
      </c>
      <c r="H566" s="798" t="s">
        <v>3108</v>
      </c>
      <c r="I566" s="812">
        <v>9019.8700000000008</v>
      </c>
      <c r="J566" s="812">
        <v>1</v>
      </c>
      <c r="K566" s="813">
        <v>9019.8700000000008</v>
      </c>
    </row>
    <row r="567" spans="1:11" ht="14.4" customHeight="1" x14ac:dyDescent="0.3">
      <c r="A567" s="794" t="s">
        <v>591</v>
      </c>
      <c r="B567" s="795" t="s">
        <v>592</v>
      </c>
      <c r="C567" s="798" t="s">
        <v>2074</v>
      </c>
      <c r="D567" s="826" t="s">
        <v>3345</v>
      </c>
      <c r="E567" s="798" t="s">
        <v>3346</v>
      </c>
      <c r="F567" s="826" t="s">
        <v>3347</v>
      </c>
      <c r="G567" s="798" t="s">
        <v>3109</v>
      </c>
      <c r="H567" s="798" t="s">
        <v>3110</v>
      </c>
      <c r="I567" s="812">
        <v>3680</v>
      </c>
      <c r="J567" s="812">
        <v>1</v>
      </c>
      <c r="K567" s="813">
        <v>3680</v>
      </c>
    </row>
    <row r="568" spans="1:11" ht="14.4" customHeight="1" x14ac:dyDescent="0.3">
      <c r="A568" s="794" t="s">
        <v>591</v>
      </c>
      <c r="B568" s="795" t="s">
        <v>592</v>
      </c>
      <c r="C568" s="798" t="s">
        <v>2074</v>
      </c>
      <c r="D568" s="826" t="s">
        <v>3345</v>
      </c>
      <c r="E568" s="798" t="s">
        <v>3346</v>
      </c>
      <c r="F568" s="826" t="s">
        <v>3347</v>
      </c>
      <c r="G568" s="798" t="s">
        <v>3111</v>
      </c>
      <c r="H568" s="798" t="s">
        <v>3112</v>
      </c>
      <c r="I568" s="812">
        <v>518.54</v>
      </c>
      <c r="J568" s="812">
        <v>1</v>
      </c>
      <c r="K568" s="813">
        <v>518.54</v>
      </c>
    </row>
    <row r="569" spans="1:11" ht="14.4" customHeight="1" x14ac:dyDescent="0.3">
      <c r="A569" s="794" t="s">
        <v>591</v>
      </c>
      <c r="B569" s="795" t="s">
        <v>592</v>
      </c>
      <c r="C569" s="798" t="s">
        <v>2074</v>
      </c>
      <c r="D569" s="826" t="s">
        <v>3345</v>
      </c>
      <c r="E569" s="798" t="s">
        <v>3346</v>
      </c>
      <c r="F569" s="826" t="s">
        <v>3347</v>
      </c>
      <c r="G569" s="798" t="s">
        <v>3113</v>
      </c>
      <c r="H569" s="798" t="s">
        <v>3114</v>
      </c>
      <c r="I569" s="812">
        <v>591.9</v>
      </c>
      <c r="J569" s="812">
        <v>2</v>
      </c>
      <c r="K569" s="813">
        <v>1183.81</v>
      </c>
    </row>
    <row r="570" spans="1:11" ht="14.4" customHeight="1" x14ac:dyDescent="0.3">
      <c r="A570" s="794" t="s">
        <v>591</v>
      </c>
      <c r="B570" s="795" t="s">
        <v>592</v>
      </c>
      <c r="C570" s="798" t="s">
        <v>2074</v>
      </c>
      <c r="D570" s="826" t="s">
        <v>3345</v>
      </c>
      <c r="E570" s="798" t="s">
        <v>3346</v>
      </c>
      <c r="F570" s="826" t="s">
        <v>3347</v>
      </c>
      <c r="G570" s="798" t="s">
        <v>3115</v>
      </c>
      <c r="H570" s="798" t="s">
        <v>3116</v>
      </c>
      <c r="I570" s="812">
        <v>591.9</v>
      </c>
      <c r="J570" s="812">
        <v>2</v>
      </c>
      <c r="K570" s="813">
        <v>1183.81</v>
      </c>
    </row>
    <row r="571" spans="1:11" ht="14.4" customHeight="1" x14ac:dyDescent="0.3">
      <c r="A571" s="794" t="s">
        <v>591</v>
      </c>
      <c r="B571" s="795" t="s">
        <v>592</v>
      </c>
      <c r="C571" s="798" t="s">
        <v>2074</v>
      </c>
      <c r="D571" s="826" t="s">
        <v>3345</v>
      </c>
      <c r="E571" s="798" t="s">
        <v>3346</v>
      </c>
      <c r="F571" s="826" t="s">
        <v>3347</v>
      </c>
      <c r="G571" s="798" t="s">
        <v>3117</v>
      </c>
      <c r="H571" s="798" t="s">
        <v>3118</v>
      </c>
      <c r="I571" s="812">
        <v>591.9</v>
      </c>
      <c r="J571" s="812">
        <v>2</v>
      </c>
      <c r="K571" s="813">
        <v>1183.81</v>
      </c>
    </row>
    <row r="572" spans="1:11" ht="14.4" customHeight="1" x14ac:dyDescent="0.3">
      <c r="A572" s="794" t="s">
        <v>591</v>
      </c>
      <c r="B572" s="795" t="s">
        <v>592</v>
      </c>
      <c r="C572" s="798" t="s">
        <v>2074</v>
      </c>
      <c r="D572" s="826" t="s">
        <v>3345</v>
      </c>
      <c r="E572" s="798" t="s">
        <v>3346</v>
      </c>
      <c r="F572" s="826" t="s">
        <v>3347</v>
      </c>
      <c r="G572" s="798" t="s">
        <v>3119</v>
      </c>
      <c r="H572" s="798" t="s">
        <v>3120</v>
      </c>
      <c r="I572" s="812">
        <v>591.9</v>
      </c>
      <c r="J572" s="812">
        <v>2</v>
      </c>
      <c r="K572" s="813">
        <v>1183.81</v>
      </c>
    </row>
    <row r="573" spans="1:11" ht="14.4" customHeight="1" x14ac:dyDescent="0.3">
      <c r="A573" s="794" t="s">
        <v>591</v>
      </c>
      <c r="B573" s="795" t="s">
        <v>592</v>
      </c>
      <c r="C573" s="798" t="s">
        <v>2074</v>
      </c>
      <c r="D573" s="826" t="s">
        <v>3345</v>
      </c>
      <c r="E573" s="798" t="s">
        <v>3346</v>
      </c>
      <c r="F573" s="826" t="s">
        <v>3347</v>
      </c>
      <c r="G573" s="798" t="s">
        <v>3121</v>
      </c>
      <c r="H573" s="798" t="s">
        <v>3122</v>
      </c>
      <c r="I573" s="812">
        <v>591.9</v>
      </c>
      <c r="J573" s="812">
        <v>1</v>
      </c>
      <c r="K573" s="813">
        <v>591.9</v>
      </c>
    </row>
    <row r="574" spans="1:11" ht="14.4" customHeight="1" x14ac:dyDescent="0.3">
      <c r="A574" s="794" t="s">
        <v>591</v>
      </c>
      <c r="B574" s="795" t="s">
        <v>592</v>
      </c>
      <c r="C574" s="798" t="s">
        <v>2074</v>
      </c>
      <c r="D574" s="826" t="s">
        <v>3345</v>
      </c>
      <c r="E574" s="798" t="s">
        <v>3346</v>
      </c>
      <c r="F574" s="826" t="s">
        <v>3347</v>
      </c>
      <c r="G574" s="798" t="s">
        <v>3123</v>
      </c>
      <c r="H574" s="798" t="s">
        <v>3124</v>
      </c>
      <c r="I574" s="812">
        <v>591.9</v>
      </c>
      <c r="J574" s="812">
        <v>1</v>
      </c>
      <c r="K574" s="813">
        <v>591.9</v>
      </c>
    </row>
    <row r="575" spans="1:11" ht="14.4" customHeight="1" x14ac:dyDescent="0.3">
      <c r="A575" s="794" t="s">
        <v>591</v>
      </c>
      <c r="B575" s="795" t="s">
        <v>592</v>
      </c>
      <c r="C575" s="798" t="s">
        <v>2074</v>
      </c>
      <c r="D575" s="826" t="s">
        <v>3345</v>
      </c>
      <c r="E575" s="798" t="s">
        <v>3346</v>
      </c>
      <c r="F575" s="826" t="s">
        <v>3347</v>
      </c>
      <c r="G575" s="798" t="s">
        <v>3125</v>
      </c>
      <c r="H575" s="798" t="s">
        <v>3126</v>
      </c>
      <c r="I575" s="812">
        <v>591.9</v>
      </c>
      <c r="J575" s="812">
        <v>1</v>
      </c>
      <c r="K575" s="813">
        <v>591.9</v>
      </c>
    </row>
    <row r="576" spans="1:11" ht="14.4" customHeight="1" x14ac:dyDescent="0.3">
      <c r="A576" s="794" t="s">
        <v>591</v>
      </c>
      <c r="B576" s="795" t="s">
        <v>592</v>
      </c>
      <c r="C576" s="798" t="s">
        <v>2074</v>
      </c>
      <c r="D576" s="826" t="s">
        <v>3345</v>
      </c>
      <c r="E576" s="798" t="s">
        <v>3346</v>
      </c>
      <c r="F576" s="826" t="s">
        <v>3347</v>
      </c>
      <c r="G576" s="798" t="s">
        <v>3127</v>
      </c>
      <c r="H576" s="798" t="s">
        <v>3128</v>
      </c>
      <c r="I576" s="812">
        <v>1839.08</v>
      </c>
      <c r="J576" s="812">
        <v>1</v>
      </c>
      <c r="K576" s="813">
        <v>1839.08</v>
      </c>
    </row>
    <row r="577" spans="1:11" ht="14.4" customHeight="1" x14ac:dyDescent="0.3">
      <c r="A577" s="794" t="s">
        <v>591</v>
      </c>
      <c r="B577" s="795" t="s">
        <v>592</v>
      </c>
      <c r="C577" s="798" t="s">
        <v>2074</v>
      </c>
      <c r="D577" s="826" t="s">
        <v>3345</v>
      </c>
      <c r="E577" s="798" t="s">
        <v>3346</v>
      </c>
      <c r="F577" s="826" t="s">
        <v>3347</v>
      </c>
      <c r="G577" s="798" t="s">
        <v>3129</v>
      </c>
      <c r="H577" s="798" t="s">
        <v>3130</v>
      </c>
      <c r="I577" s="812">
        <v>943</v>
      </c>
      <c r="J577" s="812">
        <v>1</v>
      </c>
      <c r="K577" s="813">
        <v>943</v>
      </c>
    </row>
    <row r="578" spans="1:11" ht="14.4" customHeight="1" x14ac:dyDescent="0.3">
      <c r="A578" s="794" t="s">
        <v>591</v>
      </c>
      <c r="B578" s="795" t="s">
        <v>592</v>
      </c>
      <c r="C578" s="798" t="s">
        <v>2074</v>
      </c>
      <c r="D578" s="826" t="s">
        <v>3345</v>
      </c>
      <c r="E578" s="798" t="s">
        <v>3346</v>
      </c>
      <c r="F578" s="826" t="s">
        <v>3347</v>
      </c>
      <c r="G578" s="798" t="s">
        <v>3131</v>
      </c>
      <c r="H578" s="798" t="s">
        <v>3132</v>
      </c>
      <c r="I578" s="812">
        <v>5822.68</v>
      </c>
      <c r="J578" s="812">
        <v>1</v>
      </c>
      <c r="K578" s="813">
        <v>5822.68</v>
      </c>
    </row>
    <row r="579" spans="1:11" ht="14.4" customHeight="1" x14ac:dyDescent="0.3">
      <c r="A579" s="794" t="s">
        <v>591</v>
      </c>
      <c r="B579" s="795" t="s">
        <v>592</v>
      </c>
      <c r="C579" s="798" t="s">
        <v>2074</v>
      </c>
      <c r="D579" s="826" t="s">
        <v>3345</v>
      </c>
      <c r="E579" s="798" t="s">
        <v>3346</v>
      </c>
      <c r="F579" s="826" t="s">
        <v>3347</v>
      </c>
      <c r="G579" s="798" t="s">
        <v>3133</v>
      </c>
      <c r="H579" s="798" t="s">
        <v>3134</v>
      </c>
      <c r="I579" s="812">
        <v>7441.83</v>
      </c>
      <c r="J579" s="812">
        <v>1</v>
      </c>
      <c r="K579" s="813">
        <v>7441.83</v>
      </c>
    </row>
    <row r="580" spans="1:11" ht="14.4" customHeight="1" x14ac:dyDescent="0.3">
      <c r="A580" s="794" t="s">
        <v>591</v>
      </c>
      <c r="B580" s="795" t="s">
        <v>592</v>
      </c>
      <c r="C580" s="798" t="s">
        <v>2074</v>
      </c>
      <c r="D580" s="826" t="s">
        <v>3345</v>
      </c>
      <c r="E580" s="798" t="s">
        <v>3346</v>
      </c>
      <c r="F580" s="826" t="s">
        <v>3347</v>
      </c>
      <c r="G580" s="798" t="s">
        <v>3135</v>
      </c>
      <c r="H580" s="798" t="s">
        <v>3136</v>
      </c>
      <c r="I580" s="812">
        <v>146.99</v>
      </c>
      <c r="J580" s="812">
        <v>4</v>
      </c>
      <c r="K580" s="813">
        <v>587.97</v>
      </c>
    </row>
    <row r="581" spans="1:11" ht="14.4" customHeight="1" x14ac:dyDescent="0.3">
      <c r="A581" s="794" t="s">
        <v>591</v>
      </c>
      <c r="B581" s="795" t="s">
        <v>592</v>
      </c>
      <c r="C581" s="798" t="s">
        <v>2074</v>
      </c>
      <c r="D581" s="826" t="s">
        <v>3345</v>
      </c>
      <c r="E581" s="798" t="s">
        <v>3346</v>
      </c>
      <c r="F581" s="826" t="s">
        <v>3347</v>
      </c>
      <c r="G581" s="798" t="s">
        <v>3137</v>
      </c>
      <c r="H581" s="798" t="s">
        <v>3138</v>
      </c>
      <c r="I581" s="812">
        <v>146.99</v>
      </c>
      <c r="J581" s="812">
        <v>1</v>
      </c>
      <c r="K581" s="813">
        <v>146.99</v>
      </c>
    </row>
    <row r="582" spans="1:11" ht="14.4" customHeight="1" x14ac:dyDescent="0.3">
      <c r="A582" s="794" t="s">
        <v>591</v>
      </c>
      <c r="B582" s="795" t="s">
        <v>592</v>
      </c>
      <c r="C582" s="798" t="s">
        <v>2074</v>
      </c>
      <c r="D582" s="826" t="s">
        <v>3345</v>
      </c>
      <c r="E582" s="798" t="s">
        <v>3346</v>
      </c>
      <c r="F582" s="826" t="s">
        <v>3347</v>
      </c>
      <c r="G582" s="798" t="s">
        <v>3139</v>
      </c>
      <c r="H582" s="798" t="s">
        <v>3140</v>
      </c>
      <c r="I582" s="812">
        <v>146.99</v>
      </c>
      <c r="J582" s="812">
        <v>2</v>
      </c>
      <c r="K582" s="813">
        <v>293.98</v>
      </c>
    </row>
    <row r="583" spans="1:11" ht="14.4" customHeight="1" x14ac:dyDescent="0.3">
      <c r="A583" s="794" t="s">
        <v>591</v>
      </c>
      <c r="B583" s="795" t="s">
        <v>592</v>
      </c>
      <c r="C583" s="798" t="s">
        <v>2074</v>
      </c>
      <c r="D583" s="826" t="s">
        <v>3345</v>
      </c>
      <c r="E583" s="798" t="s">
        <v>3346</v>
      </c>
      <c r="F583" s="826" t="s">
        <v>3347</v>
      </c>
      <c r="G583" s="798" t="s">
        <v>3141</v>
      </c>
      <c r="H583" s="798" t="s">
        <v>3142</v>
      </c>
      <c r="I583" s="812">
        <v>185.2</v>
      </c>
      <c r="J583" s="812">
        <v>1</v>
      </c>
      <c r="K583" s="813">
        <v>185.2</v>
      </c>
    </row>
    <row r="584" spans="1:11" ht="14.4" customHeight="1" x14ac:dyDescent="0.3">
      <c r="A584" s="794" t="s">
        <v>591</v>
      </c>
      <c r="B584" s="795" t="s">
        <v>592</v>
      </c>
      <c r="C584" s="798" t="s">
        <v>2074</v>
      </c>
      <c r="D584" s="826" t="s">
        <v>3345</v>
      </c>
      <c r="E584" s="798" t="s">
        <v>3346</v>
      </c>
      <c r="F584" s="826" t="s">
        <v>3347</v>
      </c>
      <c r="G584" s="798" t="s">
        <v>3143</v>
      </c>
      <c r="H584" s="798" t="s">
        <v>3144</v>
      </c>
      <c r="I584" s="812">
        <v>185.2</v>
      </c>
      <c r="J584" s="812">
        <v>1</v>
      </c>
      <c r="K584" s="813">
        <v>185.2</v>
      </c>
    </row>
    <row r="585" spans="1:11" ht="14.4" customHeight="1" x14ac:dyDescent="0.3">
      <c r="A585" s="794" t="s">
        <v>591</v>
      </c>
      <c r="B585" s="795" t="s">
        <v>592</v>
      </c>
      <c r="C585" s="798" t="s">
        <v>2074</v>
      </c>
      <c r="D585" s="826" t="s">
        <v>3345</v>
      </c>
      <c r="E585" s="798" t="s">
        <v>3346</v>
      </c>
      <c r="F585" s="826" t="s">
        <v>3347</v>
      </c>
      <c r="G585" s="798" t="s">
        <v>3145</v>
      </c>
      <c r="H585" s="798" t="s">
        <v>3146</v>
      </c>
      <c r="I585" s="812">
        <v>195.92000000000002</v>
      </c>
      <c r="J585" s="812">
        <v>2</v>
      </c>
      <c r="K585" s="813">
        <v>391.84000000000003</v>
      </c>
    </row>
    <row r="586" spans="1:11" ht="14.4" customHeight="1" x14ac:dyDescent="0.3">
      <c r="A586" s="794" t="s">
        <v>591</v>
      </c>
      <c r="B586" s="795" t="s">
        <v>592</v>
      </c>
      <c r="C586" s="798" t="s">
        <v>2074</v>
      </c>
      <c r="D586" s="826" t="s">
        <v>3345</v>
      </c>
      <c r="E586" s="798" t="s">
        <v>3346</v>
      </c>
      <c r="F586" s="826" t="s">
        <v>3347</v>
      </c>
      <c r="G586" s="798" t="s">
        <v>3147</v>
      </c>
      <c r="H586" s="798" t="s">
        <v>3148</v>
      </c>
      <c r="I586" s="812">
        <v>147</v>
      </c>
      <c r="J586" s="812">
        <v>2</v>
      </c>
      <c r="K586" s="813">
        <v>293.99</v>
      </c>
    </row>
    <row r="587" spans="1:11" ht="14.4" customHeight="1" x14ac:dyDescent="0.3">
      <c r="A587" s="794" t="s">
        <v>591</v>
      </c>
      <c r="B587" s="795" t="s">
        <v>592</v>
      </c>
      <c r="C587" s="798" t="s">
        <v>2074</v>
      </c>
      <c r="D587" s="826" t="s">
        <v>3345</v>
      </c>
      <c r="E587" s="798" t="s">
        <v>3346</v>
      </c>
      <c r="F587" s="826" t="s">
        <v>3347</v>
      </c>
      <c r="G587" s="798" t="s">
        <v>3149</v>
      </c>
      <c r="H587" s="798" t="s">
        <v>3150</v>
      </c>
      <c r="I587" s="812">
        <v>294.35000000000002</v>
      </c>
      <c r="J587" s="812">
        <v>1</v>
      </c>
      <c r="K587" s="813">
        <v>294.35000000000002</v>
      </c>
    </row>
    <row r="588" spans="1:11" ht="14.4" customHeight="1" x14ac:dyDescent="0.3">
      <c r="A588" s="794" t="s">
        <v>591</v>
      </c>
      <c r="B588" s="795" t="s">
        <v>592</v>
      </c>
      <c r="C588" s="798" t="s">
        <v>2074</v>
      </c>
      <c r="D588" s="826" t="s">
        <v>3345</v>
      </c>
      <c r="E588" s="798" t="s">
        <v>3346</v>
      </c>
      <c r="F588" s="826" t="s">
        <v>3347</v>
      </c>
      <c r="G588" s="798" t="s">
        <v>3151</v>
      </c>
      <c r="H588" s="798" t="s">
        <v>3152</v>
      </c>
      <c r="I588" s="812">
        <v>333.35</v>
      </c>
      <c r="J588" s="812">
        <v>1</v>
      </c>
      <c r="K588" s="813">
        <v>333.35</v>
      </c>
    </row>
    <row r="589" spans="1:11" ht="14.4" customHeight="1" x14ac:dyDescent="0.3">
      <c r="A589" s="794" t="s">
        <v>591</v>
      </c>
      <c r="B589" s="795" t="s">
        <v>592</v>
      </c>
      <c r="C589" s="798" t="s">
        <v>2074</v>
      </c>
      <c r="D589" s="826" t="s">
        <v>3345</v>
      </c>
      <c r="E589" s="798" t="s">
        <v>3346</v>
      </c>
      <c r="F589" s="826" t="s">
        <v>3347</v>
      </c>
      <c r="G589" s="798" t="s">
        <v>3153</v>
      </c>
      <c r="H589" s="798" t="s">
        <v>3154</v>
      </c>
      <c r="I589" s="812">
        <v>398.65</v>
      </c>
      <c r="J589" s="812">
        <v>1</v>
      </c>
      <c r="K589" s="813">
        <v>398.65</v>
      </c>
    </row>
    <row r="590" spans="1:11" ht="14.4" customHeight="1" x14ac:dyDescent="0.3">
      <c r="A590" s="794" t="s">
        <v>591</v>
      </c>
      <c r="B590" s="795" t="s">
        <v>592</v>
      </c>
      <c r="C590" s="798" t="s">
        <v>2074</v>
      </c>
      <c r="D590" s="826" t="s">
        <v>3345</v>
      </c>
      <c r="E590" s="798" t="s">
        <v>3346</v>
      </c>
      <c r="F590" s="826" t="s">
        <v>3347</v>
      </c>
      <c r="G590" s="798" t="s">
        <v>3155</v>
      </c>
      <c r="H590" s="798" t="s">
        <v>3156</v>
      </c>
      <c r="I590" s="812">
        <v>402.5</v>
      </c>
      <c r="J590" s="812">
        <v>1</v>
      </c>
      <c r="K590" s="813">
        <v>402.5</v>
      </c>
    </row>
    <row r="591" spans="1:11" ht="14.4" customHeight="1" x14ac:dyDescent="0.3">
      <c r="A591" s="794" t="s">
        <v>591</v>
      </c>
      <c r="B591" s="795" t="s">
        <v>592</v>
      </c>
      <c r="C591" s="798" t="s">
        <v>2074</v>
      </c>
      <c r="D591" s="826" t="s">
        <v>3345</v>
      </c>
      <c r="E591" s="798" t="s">
        <v>3346</v>
      </c>
      <c r="F591" s="826" t="s">
        <v>3347</v>
      </c>
      <c r="G591" s="798" t="s">
        <v>3157</v>
      </c>
      <c r="H591" s="798" t="s">
        <v>3158</v>
      </c>
      <c r="I591" s="812">
        <v>402.5</v>
      </c>
      <c r="J591" s="812">
        <v>1</v>
      </c>
      <c r="K591" s="813">
        <v>402.5</v>
      </c>
    </row>
    <row r="592" spans="1:11" ht="14.4" customHeight="1" x14ac:dyDescent="0.3">
      <c r="A592" s="794" t="s">
        <v>591</v>
      </c>
      <c r="B592" s="795" t="s">
        <v>592</v>
      </c>
      <c r="C592" s="798" t="s">
        <v>2074</v>
      </c>
      <c r="D592" s="826" t="s">
        <v>3345</v>
      </c>
      <c r="E592" s="798" t="s">
        <v>3346</v>
      </c>
      <c r="F592" s="826" t="s">
        <v>3347</v>
      </c>
      <c r="G592" s="798" t="s">
        <v>3159</v>
      </c>
      <c r="H592" s="798" t="s">
        <v>3160</v>
      </c>
      <c r="I592" s="812">
        <v>426.91</v>
      </c>
      <c r="J592" s="812">
        <v>1</v>
      </c>
      <c r="K592" s="813">
        <v>426.91</v>
      </c>
    </row>
    <row r="593" spans="1:11" ht="14.4" customHeight="1" x14ac:dyDescent="0.3">
      <c r="A593" s="794" t="s">
        <v>591</v>
      </c>
      <c r="B593" s="795" t="s">
        <v>592</v>
      </c>
      <c r="C593" s="798" t="s">
        <v>2074</v>
      </c>
      <c r="D593" s="826" t="s">
        <v>3345</v>
      </c>
      <c r="E593" s="798" t="s">
        <v>3346</v>
      </c>
      <c r="F593" s="826" t="s">
        <v>3347</v>
      </c>
      <c r="G593" s="798" t="s">
        <v>3161</v>
      </c>
      <c r="H593" s="798" t="s">
        <v>3162</v>
      </c>
      <c r="I593" s="812">
        <v>426.91</v>
      </c>
      <c r="J593" s="812">
        <v>1</v>
      </c>
      <c r="K593" s="813">
        <v>426.91</v>
      </c>
    </row>
    <row r="594" spans="1:11" ht="14.4" customHeight="1" x14ac:dyDescent="0.3">
      <c r="A594" s="794" t="s">
        <v>591</v>
      </c>
      <c r="B594" s="795" t="s">
        <v>592</v>
      </c>
      <c r="C594" s="798" t="s">
        <v>2074</v>
      </c>
      <c r="D594" s="826" t="s">
        <v>3345</v>
      </c>
      <c r="E594" s="798" t="s">
        <v>3346</v>
      </c>
      <c r="F594" s="826" t="s">
        <v>3347</v>
      </c>
      <c r="G594" s="798" t="s">
        <v>3163</v>
      </c>
      <c r="H594" s="798" t="s">
        <v>3164</v>
      </c>
      <c r="I594" s="812">
        <v>146.99</v>
      </c>
      <c r="J594" s="812">
        <v>3</v>
      </c>
      <c r="K594" s="813">
        <v>440.98</v>
      </c>
    </row>
    <row r="595" spans="1:11" ht="14.4" customHeight="1" x14ac:dyDescent="0.3">
      <c r="A595" s="794" t="s">
        <v>591</v>
      </c>
      <c r="B595" s="795" t="s">
        <v>592</v>
      </c>
      <c r="C595" s="798" t="s">
        <v>2074</v>
      </c>
      <c r="D595" s="826" t="s">
        <v>3345</v>
      </c>
      <c r="E595" s="798" t="s">
        <v>3346</v>
      </c>
      <c r="F595" s="826" t="s">
        <v>3347</v>
      </c>
      <c r="G595" s="798" t="s">
        <v>3165</v>
      </c>
      <c r="H595" s="798" t="s">
        <v>3166</v>
      </c>
      <c r="I595" s="812">
        <v>518.54</v>
      </c>
      <c r="J595" s="812">
        <v>1</v>
      </c>
      <c r="K595" s="813">
        <v>518.54</v>
      </c>
    </row>
    <row r="596" spans="1:11" ht="14.4" customHeight="1" x14ac:dyDescent="0.3">
      <c r="A596" s="794" t="s">
        <v>591</v>
      </c>
      <c r="B596" s="795" t="s">
        <v>592</v>
      </c>
      <c r="C596" s="798" t="s">
        <v>2074</v>
      </c>
      <c r="D596" s="826" t="s">
        <v>3345</v>
      </c>
      <c r="E596" s="798" t="s">
        <v>3346</v>
      </c>
      <c r="F596" s="826" t="s">
        <v>3347</v>
      </c>
      <c r="G596" s="798" t="s">
        <v>3167</v>
      </c>
      <c r="H596" s="798" t="s">
        <v>3168</v>
      </c>
      <c r="I596" s="812">
        <v>527.85</v>
      </c>
      <c r="J596" s="812">
        <v>1</v>
      </c>
      <c r="K596" s="813">
        <v>527.85</v>
      </c>
    </row>
    <row r="597" spans="1:11" ht="14.4" customHeight="1" x14ac:dyDescent="0.3">
      <c r="A597" s="794" t="s">
        <v>591</v>
      </c>
      <c r="B597" s="795" t="s">
        <v>592</v>
      </c>
      <c r="C597" s="798" t="s">
        <v>2074</v>
      </c>
      <c r="D597" s="826" t="s">
        <v>3345</v>
      </c>
      <c r="E597" s="798" t="s">
        <v>3346</v>
      </c>
      <c r="F597" s="826" t="s">
        <v>3347</v>
      </c>
      <c r="G597" s="798" t="s">
        <v>3169</v>
      </c>
      <c r="H597" s="798" t="s">
        <v>3170</v>
      </c>
      <c r="I597" s="812">
        <v>527.85</v>
      </c>
      <c r="J597" s="812">
        <v>1</v>
      </c>
      <c r="K597" s="813">
        <v>527.85</v>
      </c>
    </row>
    <row r="598" spans="1:11" ht="14.4" customHeight="1" x14ac:dyDescent="0.3">
      <c r="A598" s="794" t="s">
        <v>591</v>
      </c>
      <c r="B598" s="795" t="s">
        <v>592</v>
      </c>
      <c r="C598" s="798" t="s">
        <v>2074</v>
      </c>
      <c r="D598" s="826" t="s">
        <v>3345</v>
      </c>
      <c r="E598" s="798" t="s">
        <v>3346</v>
      </c>
      <c r="F598" s="826" t="s">
        <v>3347</v>
      </c>
      <c r="G598" s="798" t="s">
        <v>3171</v>
      </c>
      <c r="H598" s="798" t="s">
        <v>3172</v>
      </c>
      <c r="I598" s="812">
        <v>588.27</v>
      </c>
      <c r="J598" s="812">
        <v>2</v>
      </c>
      <c r="K598" s="813">
        <v>1176.54</v>
      </c>
    </row>
    <row r="599" spans="1:11" ht="14.4" customHeight="1" x14ac:dyDescent="0.3">
      <c r="A599" s="794" t="s">
        <v>591</v>
      </c>
      <c r="B599" s="795" t="s">
        <v>592</v>
      </c>
      <c r="C599" s="798" t="s">
        <v>2074</v>
      </c>
      <c r="D599" s="826" t="s">
        <v>3345</v>
      </c>
      <c r="E599" s="798" t="s">
        <v>3346</v>
      </c>
      <c r="F599" s="826" t="s">
        <v>3347</v>
      </c>
      <c r="G599" s="798" t="s">
        <v>3173</v>
      </c>
      <c r="H599" s="798" t="s">
        <v>3174</v>
      </c>
      <c r="I599" s="812">
        <v>592.79</v>
      </c>
      <c r="J599" s="812">
        <v>1</v>
      </c>
      <c r="K599" s="813">
        <v>592.79</v>
      </c>
    </row>
    <row r="600" spans="1:11" ht="14.4" customHeight="1" x14ac:dyDescent="0.3">
      <c r="A600" s="794" t="s">
        <v>591</v>
      </c>
      <c r="B600" s="795" t="s">
        <v>592</v>
      </c>
      <c r="C600" s="798" t="s">
        <v>2074</v>
      </c>
      <c r="D600" s="826" t="s">
        <v>3345</v>
      </c>
      <c r="E600" s="798" t="s">
        <v>3346</v>
      </c>
      <c r="F600" s="826" t="s">
        <v>3347</v>
      </c>
      <c r="G600" s="798" t="s">
        <v>3175</v>
      </c>
      <c r="H600" s="798" t="s">
        <v>3176</v>
      </c>
      <c r="I600" s="812">
        <v>592.79</v>
      </c>
      <c r="J600" s="812">
        <v>3</v>
      </c>
      <c r="K600" s="813">
        <v>1778.37</v>
      </c>
    </row>
    <row r="601" spans="1:11" ht="14.4" customHeight="1" x14ac:dyDescent="0.3">
      <c r="A601" s="794" t="s">
        <v>591</v>
      </c>
      <c r="B601" s="795" t="s">
        <v>592</v>
      </c>
      <c r="C601" s="798" t="s">
        <v>2074</v>
      </c>
      <c r="D601" s="826" t="s">
        <v>3345</v>
      </c>
      <c r="E601" s="798" t="s">
        <v>3346</v>
      </c>
      <c r="F601" s="826" t="s">
        <v>3347</v>
      </c>
      <c r="G601" s="798" t="s">
        <v>3177</v>
      </c>
      <c r="H601" s="798" t="s">
        <v>3178</v>
      </c>
      <c r="I601" s="812">
        <v>615.58000000000004</v>
      </c>
      <c r="J601" s="812">
        <v>1</v>
      </c>
      <c r="K601" s="813">
        <v>615.58000000000004</v>
      </c>
    </row>
    <row r="602" spans="1:11" ht="14.4" customHeight="1" x14ac:dyDescent="0.3">
      <c r="A602" s="794" t="s">
        <v>591</v>
      </c>
      <c r="B602" s="795" t="s">
        <v>592</v>
      </c>
      <c r="C602" s="798" t="s">
        <v>2074</v>
      </c>
      <c r="D602" s="826" t="s">
        <v>3345</v>
      </c>
      <c r="E602" s="798" t="s">
        <v>3346</v>
      </c>
      <c r="F602" s="826" t="s">
        <v>3347</v>
      </c>
      <c r="G602" s="798" t="s">
        <v>3179</v>
      </c>
      <c r="H602" s="798" t="s">
        <v>3180</v>
      </c>
      <c r="I602" s="812">
        <v>728.1</v>
      </c>
      <c r="J602" s="812">
        <v>2</v>
      </c>
      <c r="K602" s="813">
        <v>1456.2</v>
      </c>
    </row>
    <row r="603" spans="1:11" ht="14.4" customHeight="1" x14ac:dyDescent="0.3">
      <c r="A603" s="794" t="s">
        <v>591</v>
      </c>
      <c r="B603" s="795" t="s">
        <v>592</v>
      </c>
      <c r="C603" s="798" t="s">
        <v>2074</v>
      </c>
      <c r="D603" s="826" t="s">
        <v>3345</v>
      </c>
      <c r="E603" s="798" t="s">
        <v>3346</v>
      </c>
      <c r="F603" s="826" t="s">
        <v>3347</v>
      </c>
      <c r="G603" s="798" t="s">
        <v>3181</v>
      </c>
      <c r="H603" s="798" t="s">
        <v>3182</v>
      </c>
      <c r="I603" s="812">
        <v>805</v>
      </c>
      <c r="J603" s="812">
        <v>2</v>
      </c>
      <c r="K603" s="813">
        <v>1610</v>
      </c>
    </row>
    <row r="604" spans="1:11" ht="14.4" customHeight="1" x14ac:dyDescent="0.3">
      <c r="A604" s="794" t="s">
        <v>591</v>
      </c>
      <c r="B604" s="795" t="s">
        <v>592</v>
      </c>
      <c r="C604" s="798" t="s">
        <v>2074</v>
      </c>
      <c r="D604" s="826" t="s">
        <v>3345</v>
      </c>
      <c r="E604" s="798" t="s">
        <v>3346</v>
      </c>
      <c r="F604" s="826" t="s">
        <v>3347</v>
      </c>
      <c r="G604" s="798" t="s">
        <v>3183</v>
      </c>
      <c r="H604" s="798" t="s">
        <v>3184</v>
      </c>
      <c r="I604" s="812">
        <v>805</v>
      </c>
      <c r="J604" s="812">
        <v>1</v>
      </c>
      <c r="K604" s="813">
        <v>805</v>
      </c>
    </row>
    <row r="605" spans="1:11" ht="14.4" customHeight="1" x14ac:dyDescent="0.3">
      <c r="A605" s="794" t="s">
        <v>591</v>
      </c>
      <c r="B605" s="795" t="s">
        <v>592</v>
      </c>
      <c r="C605" s="798" t="s">
        <v>2074</v>
      </c>
      <c r="D605" s="826" t="s">
        <v>3345</v>
      </c>
      <c r="E605" s="798" t="s">
        <v>3346</v>
      </c>
      <c r="F605" s="826" t="s">
        <v>3347</v>
      </c>
      <c r="G605" s="798" t="s">
        <v>3185</v>
      </c>
      <c r="H605" s="798" t="s">
        <v>3186</v>
      </c>
      <c r="I605" s="812">
        <v>878.72</v>
      </c>
      <c r="J605" s="812">
        <v>1</v>
      </c>
      <c r="K605" s="813">
        <v>878.72</v>
      </c>
    </row>
    <row r="606" spans="1:11" ht="14.4" customHeight="1" x14ac:dyDescent="0.3">
      <c r="A606" s="794" t="s">
        <v>591</v>
      </c>
      <c r="B606" s="795" t="s">
        <v>592</v>
      </c>
      <c r="C606" s="798" t="s">
        <v>2074</v>
      </c>
      <c r="D606" s="826" t="s">
        <v>3345</v>
      </c>
      <c r="E606" s="798" t="s">
        <v>3346</v>
      </c>
      <c r="F606" s="826" t="s">
        <v>3347</v>
      </c>
      <c r="G606" s="798" t="s">
        <v>3187</v>
      </c>
      <c r="H606" s="798" t="s">
        <v>3188</v>
      </c>
      <c r="I606" s="812">
        <v>1008.8</v>
      </c>
      <c r="J606" s="812">
        <v>1</v>
      </c>
      <c r="K606" s="813">
        <v>1008.8</v>
      </c>
    </row>
    <row r="607" spans="1:11" ht="14.4" customHeight="1" x14ac:dyDescent="0.3">
      <c r="A607" s="794" t="s">
        <v>591</v>
      </c>
      <c r="B607" s="795" t="s">
        <v>592</v>
      </c>
      <c r="C607" s="798" t="s">
        <v>2074</v>
      </c>
      <c r="D607" s="826" t="s">
        <v>3345</v>
      </c>
      <c r="E607" s="798" t="s">
        <v>3346</v>
      </c>
      <c r="F607" s="826" t="s">
        <v>3347</v>
      </c>
      <c r="G607" s="798" t="s">
        <v>3189</v>
      </c>
      <c r="H607" s="798" t="s">
        <v>3190</v>
      </c>
      <c r="I607" s="812">
        <v>1008.81</v>
      </c>
      <c r="J607" s="812">
        <v>1</v>
      </c>
      <c r="K607" s="813">
        <v>1008.81</v>
      </c>
    </row>
    <row r="608" spans="1:11" ht="14.4" customHeight="1" x14ac:dyDescent="0.3">
      <c r="A608" s="794" t="s">
        <v>591</v>
      </c>
      <c r="B608" s="795" t="s">
        <v>592</v>
      </c>
      <c r="C608" s="798" t="s">
        <v>2074</v>
      </c>
      <c r="D608" s="826" t="s">
        <v>3345</v>
      </c>
      <c r="E608" s="798" t="s">
        <v>3346</v>
      </c>
      <c r="F608" s="826" t="s">
        <v>3347</v>
      </c>
      <c r="G608" s="798" t="s">
        <v>3191</v>
      </c>
      <c r="H608" s="798" t="s">
        <v>3192</v>
      </c>
      <c r="I608" s="812">
        <v>1017.67</v>
      </c>
      <c r="J608" s="812">
        <v>1</v>
      </c>
      <c r="K608" s="813">
        <v>1017.67</v>
      </c>
    </row>
    <row r="609" spans="1:11" ht="14.4" customHeight="1" x14ac:dyDescent="0.3">
      <c r="A609" s="794" t="s">
        <v>591</v>
      </c>
      <c r="B609" s="795" t="s">
        <v>592</v>
      </c>
      <c r="C609" s="798" t="s">
        <v>2074</v>
      </c>
      <c r="D609" s="826" t="s">
        <v>3345</v>
      </c>
      <c r="E609" s="798" t="s">
        <v>3346</v>
      </c>
      <c r="F609" s="826" t="s">
        <v>3347</v>
      </c>
      <c r="G609" s="798" t="s">
        <v>3193</v>
      </c>
      <c r="H609" s="798" t="s">
        <v>3194</v>
      </c>
      <c r="I609" s="812">
        <v>1053.6500000000001</v>
      </c>
      <c r="J609" s="812">
        <v>1</v>
      </c>
      <c r="K609" s="813">
        <v>1053.6500000000001</v>
      </c>
    </row>
    <row r="610" spans="1:11" ht="14.4" customHeight="1" x14ac:dyDescent="0.3">
      <c r="A610" s="794" t="s">
        <v>591</v>
      </c>
      <c r="B610" s="795" t="s">
        <v>592</v>
      </c>
      <c r="C610" s="798" t="s">
        <v>2074</v>
      </c>
      <c r="D610" s="826" t="s">
        <v>3345</v>
      </c>
      <c r="E610" s="798" t="s">
        <v>3346</v>
      </c>
      <c r="F610" s="826" t="s">
        <v>3347</v>
      </c>
      <c r="G610" s="798" t="s">
        <v>3195</v>
      </c>
      <c r="H610" s="798" t="s">
        <v>3196</v>
      </c>
      <c r="I610" s="812">
        <v>1056.57</v>
      </c>
      <c r="J610" s="812">
        <v>1</v>
      </c>
      <c r="K610" s="813">
        <v>1056.57</v>
      </c>
    </row>
    <row r="611" spans="1:11" ht="14.4" customHeight="1" x14ac:dyDescent="0.3">
      <c r="A611" s="794" t="s">
        <v>591</v>
      </c>
      <c r="B611" s="795" t="s">
        <v>592</v>
      </c>
      <c r="C611" s="798" t="s">
        <v>2074</v>
      </c>
      <c r="D611" s="826" t="s">
        <v>3345</v>
      </c>
      <c r="E611" s="798" t="s">
        <v>3346</v>
      </c>
      <c r="F611" s="826" t="s">
        <v>3347</v>
      </c>
      <c r="G611" s="798" t="s">
        <v>3197</v>
      </c>
      <c r="H611" s="798" t="s">
        <v>3198</v>
      </c>
      <c r="I611" s="812">
        <v>1066.33</v>
      </c>
      <c r="J611" s="812">
        <v>1</v>
      </c>
      <c r="K611" s="813">
        <v>1066.33</v>
      </c>
    </row>
    <row r="612" spans="1:11" ht="14.4" customHeight="1" x14ac:dyDescent="0.3">
      <c r="A612" s="794" t="s">
        <v>591</v>
      </c>
      <c r="B612" s="795" t="s">
        <v>592</v>
      </c>
      <c r="C612" s="798" t="s">
        <v>2074</v>
      </c>
      <c r="D612" s="826" t="s">
        <v>3345</v>
      </c>
      <c r="E612" s="798" t="s">
        <v>3346</v>
      </c>
      <c r="F612" s="826" t="s">
        <v>3347</v>
      </c>
      <c r="G612" s="798" t="s">
        <v>3199</v>
      </c>
      <c r="H612" s="798" t="s">
        <v>3200</v>
      </c>
      <c r="I612" s="812">
        <v>1066.83</v>
      </c>
      <c r="J612" s="812">
        <v>1</v>
      </c>
      <c r="K612" s="813">
        <v>1066.83</v>
      </c>
    </row>
    <row r="613" spans="1:11" ht="14.4" customHeight="1" x14ac:dyDescent="0.3">
      <c r="A613" s="794" t="s">
        <v>591</v>
      </c>
      <c r="B613" s="795" t="s">
        <v>592</v>
      </c>
      <c r="C613" s="798" t="s">
        <v>2074</v>
      </c>
      <c r="D613" s="826" t="s">
        <v>3345</v>
      </c>
      <c r="E613" s="798" t="s">
        <v>3346</v>
      </c>
      <c r="F613" s="826" t="s">
        <v>3347</v>
      </c>
      <c r="G613" s="798" t="s">
        <v>3201</v>
      </c>
      <c r="H613" s="798" t="s">
        <v>3202</v>
      </c>
      <c r="I613" s="812">
        <v>1089.72</v>
      </c>
      <c r="J613" s="812">
        <v>1</v>
      </c>
      <c r="K613" s="813">
        <v>1089.72</v>
      </c>
    </row>
    <row r="614" spans="1:11" ht="14.4" customHeight="1" x14ac:dyDescent="0.3">
      <c r="A614" s="794" t="s">
        <v>591</v>
      </c>
      <c r="B614" s="795" t="s">
        <v>592</v>
      </c>
      <c r="C614" s="798" t="s">
        <v>2074</v>
      </c>
      <c r="D614" s="826" t="s">
        <v>3345</v>
      </c>
      <c r="E614" s="798" t="s">
        <v>3346</v>
      </c>
      <c r="F614" s="826" t="s">
        <v>3347</v>
      </c>
      <c r="G614" s="798" t="s">
        <v>3203</v>
      </c>
      <c r="H614" s="798" t="s">
        <v>3204</v>
      </c>
      <c r="I614" s="812">
        <v>1163.8</v>
      </c>
      <c r="J614" s="812">
        <v>1</v>
      </c>
      <c r="K614" s="813">
        <v>1163.8</v>
      </c>
    </row>
    <row r="615" spans="1:11" ht="14.4" customHeight="1" x14ac:dyDescent="0.3">
      <c r="A615" s="794" t="s">
        <v>591</v>
      </c>
      <c r="B615" s="795" t="s">
        <v>592</v>
      </c>
      <c r="C615" s="798" t="s">
        <v>2074</v>
      </c>
      <c r="D615" s="826" t="s">
        <v>3345</v>
      </c>
      <c r="E615" s="798" t="s">
        <v>3346</v>
      </c>
      <c r="F615" s="826" t="s">
        <v>3347</v>
      </c>
      <c r="G615" s="798" t="s">
        <v>3205</v>
      </c>
      <c r="H615" s="798" t="s">
        <v>3206</v>
      </c>
      <c r="I615" s="812">
        <v>1163.8</v>
      </c>
      <c r="J615" s="812">
        <v>1</v>
      </c>
      <c r="K615" s="813">
        <v>1163.8</v>
      </c>
    </row>
    <row r="616" spans="1:11" ht="14.4" customHeight="1" x14ac:dyDescent="0.3">
      <c r="A616" s="794" t="s">
        <v>591</v>
      </c>
      <c r="B616" s="795" t="s">
        <v>592</v>
      </c>
      <c r="C616" s="798" t="s">
        <v>2074</v>
      </c>
      <c r="D616" s="826" t="s">
        <v>3345</v>
      </c>
      <c r="E616" s="798" t="s">
        <v>3346</v>
      </c>
      <c r="F616" s="826" t="s">
        <v>3347</v>
      </c>
      <c r="G616" s="798" t="s">
        <v>3207</v>
      </c>
      <c r="H616" s="798" t="s">
        <v>3208</v>
      </c>
      <c r="I616" s="812">
        <v>592.79</v>
      </c>
      <c r="J616" s="812">
        <v>5</v>
      </c>
      <c r="K616" s="813">
        <v>2963.96</v>
      </c>
    </row>
    <row r="617" spans="1:11" ht="14.4" customHeight="1" x14ac:dyDescent="0.3">
      <c r="A617" s="794" t="s">
        <v>591</v>
      </c>
      <c r="B617" s="795" t="s">
        <v>592</v>
      </c>
      <c r="C617" s="798" t="s">
        <v>2074</v>
      </c>
      <c r="D617" s="826" t="s">
        <v>3345</v>
      </c>
      <c r="E617" s="798" t="s">
        <v>3346</v>
      </c>
      <c r="F617" s="826" t="s">
        <v>3347</v>
      </c>
      <c r="G617" s="798" t="s">
        <v>3209</v>
      </c>
      <c r="H617" s="798" t="s">
        <v>3210</v>
      </c>
      <c r="I617" s="812">
        <v>1217.4000000000001</v>
      </c>
      <c r="J617" s="812">
        <v>1</v>
      </c>
      <c r="K617" s="813">
        <v>1217.4000000000001</v>
      </c>
    </row>
    <row r="618" spans="1:11" ht="14.4" customHeight="1" x14ac:dyDescent="0.3">
      <c r="A618" s="794" t="s">
        <v>591</v>
      </c>
      <c r="B618" s="795" t="s">
        <v>592</v>
      </c>
      <c r="C618" s="798" t="s">
        <v>2074</v>
      </c>
      <c r="D618" s="826" t="s">
        <v>3345</v>
      </c>
      <c r="E618" s="798" t="s">
        <v>3346</v>
      </c>
      <c r="F618" s="826" t="s">
        <v>3347</v>
      </c>
      <c r="G618" s="798" t="s">
        <v>3211</v>
      </c>
      <c r="H618" s="798" t="s">
        <v>3212</v>
      </c>
      <c r="I618" s="812">
        <v>1261.26</v>
      </c>
      <c r="J618" s="812">
        <v>1</v>
      </c>
      <c r="K618" s="813">
        <v>1261.26</v>
      </c>
    </row>
    <row r="619" spans="1:11" ht="14.4" customHeight="1" x14ac:dyDescent="0.3">
      <c r="A619" s="794" t="s">
        <v>591</v>
      </c>
      <c r="B619" s="795" t="s">
        <v>592</v>
      </c>
      <c r="C619" s="798" t="s">
        <v>2074</v>
      </c>
      <c r="D619" s="826" t="s">
        <v>3345</v>
      </c>
      <c r="E619" s="798" t="s">
        <v>3346</v>
      </c>
      <c r="F619" s="826" t="s">
        <v>3347</v>
      </c>
      <c r="G619" s="798" t="s">
        <v>3213</v>
      </c>
      <c r="H619" s="798" t="s">
        <v>3214</v>
      </c>
      <c r="I619" s="812">
        <v>1270.04</v>
      </c>
      <c r="J619" s="812">
        <v>4</v>
      </c>
      <c r="K619" s="813">
        <v>5080.16</v>
      </c>
    </row>
    <row r="620" spans="1:11" ht="14.4" customHeight="1" x14ac:dyDescent="0.3">
      <c r="A620" s="794" t="s">
        <v>591</v>
      </c>
      <c r="B620" s="795" t="s">
        <v>592</v>
      </c>
      <c r="C620" s="798" t="s">
        <v>2074</v>
      </c>
      <c r="D620" s="826" t="s">
        <v>3345</v>
      </c>
      <c r="E620" s="798" t="s">
        <v>3346</v>
      </c>
      <c r="F620" s="826" t="s">
        <v>3347</v>
      </c>
      <c r="G620" s="798" t="s">
        <v>3215</v>
      </c>
      <c r="H620" s="798" t="s">
        <v>3216</v>
      </c>
      <c r="I620" s="812">
        <v>1270.04</v>
      </c>
      <c r="J620" s="812">
        <v>1</v>
      </c>
      <c r="K620" s="813">
        <v>1270.04</v>
      </c>
    </row>
    <row r="621" spans="1:11" ht="14.4" customHeight="1" x14ac:dyDescent="0.3">
      <c r="A621" s="794" t="s">
        <v>591</v>
      </c>
      <c r="B621" s="795" t="s">
        <v>592</v>
      </c>
      <c r="C621" s="798" t="s">
        <v>2074</v>
      </c>
      <c r="D621" s="826" t="s">
        <v>3345</v>
      </c>
      <c r="E621" s="798" t="s">
        <v>3346</v>
      </c>
      <c r="F621" s="826" t="s">
        <v>3347</v>
      </c>
      <c r="G621" s="798" t="s">
        <v>3217</v>
      </c>
      <c r="H621" s="798" t="s">
        <v>3218</v>
      </c>
      <c r="I621" s="812">
        <v>1322.68</v>
      </c>
      <c r="J621" s="812">
        <v>1</v>
      </c>
      <c r="K621" s="813">
        <v>1322.68</v>
      </c>
    </row>
    <row r="622" spans="1:11" ht="14.4" customHeight="1" x14ac:dyDescent="0.3">
      <c r="A622" s="794" t="s">
        <v>591</v>
      </c>
      <c r="B622" s="795" t="s">
        <v>592</v>
      </c>
      <c r="C622" s="798" t="s">
        <v>2074</v>
      </c>
      <c r="D622" s="826" t="s">
        <v>3345</v>
      </c>
      <c r="E622" s="798" t="s">
        <v>3346</v>
      </c>
      <c r="F622" s="826" t="s">
        <v>3347</v>
      </c>
      <c r="G622" s="798" t="s">
        <v>3219</v>
      </c>
      <c r="H622" s="798" t="s">
        <v>3220</v>
      </c>
      <c r="I622" s="812">
        <v>805</v>
      </c>
      <c r="J622" s="812">
        <v>2</v>
      </c>
      <c r="K622" s="813">
        <v>1610</v>
      </c>
    </row>
    <row r="623" spans="1:11" ht="14.4" customHeight="1" x14ac:dyDescent="0.3">
      <c r="A623" s="794" t="s">
        <v>591</v>
      </c>
      <c r="B623" s="795" t="s">
        <v>592</v>
      </c>
      <c r="C623" s="798" t="s">
        <v>2074</v>
      </c>
      <c r="D623" s="826" t="s">
        <v>3345</v>
      </c>
      <c r="E623" s="798" t="s">
        <v>3346</v>
      </c>
      <c r="F623" s="826" t="s">
        <v>3347</v>
      </c>
      <c r="G623" s="798" t="s">
        <v>3221</v>
      </c>
      <c r="H623" s="798" t="s">
        <v>3222</v>
      </c>
      <c r="I623" s="812">
        <v>884.05</v>
      </c>
      <c r="J623" s="812">
        <v>2</v>
      </c>
      <c r="K623" s="813">
        <v>1768.1</v>
      </c>
    </row>
    <row r="624" spans="1:11" ht="14.4" customHeight="1" x14ac:dyDescent="0.3">
      <c r="A624" s="794" t="s">
        <v>591</v>
      </c>
      <c r="B624" s="795" t="s">
        <v>592</v>
      </c>
      <c r="C624" s="798" t="s">
        <v>2074</v>
      </c>
      <c r="D624" s="826" t="s">
        <v>3345</v>
      </c>
      <c r="E624" s="798" t="s">
        <v>3346</v>
      </c>
      <c r="F624" s="826" t="s">
        <v>3347</v>
      </c>
      <c r="G624" s="798" t="s">
        <v>3223</v>
      </c>
      <c r="H624" s="798" t="s">
        <v>3224</v>
      </c>
      <c r="I624" s="812">
        <v>88.88</v>
      </c>
      <c r="J624" s="812">
        <v>20</v>
      </c>
      <c r="K624" s="813">
        <v>1777.67</v>
      </c>
    </row>
    <row r="625" spans="1:11" ht="14.4" customHeight="1" x14ac:dyDescent="0.3">
      <c r="A625" s="794" t="s">
        <v>591</v>
      </c>
      <c r="B625" s="795" t="s">
        <v>592</v>
      </c>
      <c r="C625" s="798" t="s">
        <v>2074</v>
      </c>
      <c r="D625" s="826" t="s">
        <v>3345</v>
      </c>
      <c r="E625" s="798" t="s">
        <v>3346</v>
      </c>
      <c r="F625" s="826" t="s">
        <v>3347</v>
      </c>
      <c r="G625" s="798" t="s">
        <v>3225</v>
      </c>
      <c r="H625" s="798" t="s">
        <v>3226</v>
      </c>
      <c r="I625" s="812">
        <v>1864.55</v>
      </c>
      <c r="J625" s="812">
        <v>1</v>
      </c>
      <c r="K625" s="813">
        <v>1864.55</v>
      </c>
    </row>
    <row r="626" spans="1:11" ht="14.4" customHeight="1" x14ac:dyDescent="0.3">
      <c r="A626" s="794" t="s">
        <v>591</v>
      </c>
      <c r="B626" s="795" t="s">
        <v>592</v>
      </c>
      <c r="C626" s="798" t="s">
        <v>2074</v>
      </c>
      <c r="D626" s="826" t="s">
        <v>3345</v>
      </c>
      <c r="E626" s="798" t="s">
        <v>3346</v>
      </c>
      <c r="F626" s="826" t="s">
        <v>3347</v>
      </c>
      <c r="G626" s="798" t="s">
        <v>3227</v>
      </c>
      <c r="H626" s="798" t="s">
        <v>3228</v>
      </c>
      <c r="I626" s="812">
        <v>2051.9899999999998</v>
      </c>
      <c r="J626" s="812">
        <v>1</v>
      </c>
      <c r="K626" s="813">
        <v>2051.9899999999998</v>
      </c>
    </row>
    <row r="627" spans="1:11" ht="14.4" customHeight="1" x14ac:dyDescent="0.3">
      <c r="A627" s="794" t="s">
        <v>591</v>
      </c>
      <c r="B627" s="795" t="s">
        <v>592</v>
      </c>
      <c r="C627" s="798" t="s">
        <v>2074</v>
      </c>
      <c r="D627" s="826" t="s">
        <v>3345</v>
      </c>
      <c r="E627" s="798" t="s">
        <v>3346</v>
      </c>
      <c r="F627" s="826" t="s">
        <v>3347</v>
      </c>
      <c r="G627" s="798" t="s">
        <v>3229</v>
      </c>
      <c r="H627" s="798" t="s">
        <v>3230</v>
      </c>
      <c r="I627" s="812">
        <v>2423.1</v>
      </c>
      <c r="J627" s="812">
        <v>1</v>
      </c>
      <c r="K627" s="813">
        <v>2423.1</v>
      </c>
    </row>
    <row r="628" spans="1:11" ht="14.4" customHeight="1" x14ac:dyDescent="0.3">
      <c r="A628" s="794" t="s">
        <v>591</v>
      </c>
      <c r="B628" s="795" t="s">
        <v>592</v>
      </c>
      <c r="C628" s="798" t="s">
        <v>2074</v>
      </c>
      <c r="D628" s="826" t="s">
        <v>3345</v>
      </c>
      <c r="E628" s="798" t="s">
        <v>3346</v>
      </c>
      <c r="F628" s="826" t="s">
        <v>3347</v>
      </c>
      <c r="G628" s="798" t="s">
        <v>3231</v>
      </c>
      <c r="H628" s="798" t="s">
        <v>3232</v>
      </c>
      <c r="I628" s="812">
        <v>2493.2800000000002</v>
      </c>
      <c r="J628" s="812">
        <v>1</v>
      </c>
      <c r="K628" s="813">
        <v>2493.2800000000002</v>
      </c>
    </row>
    <row r="629" spans="1:11" ht="14.4" customHeight="1" x14ac:dyDescent="0.3">
      <c r="A629" s="794" t="s">
        <v>591</v>
      </c>
      <c r="B629" s="795" t="s">
        <v>592</v>
      </c>
      <c r="C629" s="798" t="s">
        <v>2074</v>
      </c>
      <c r="D629" s="826" t="s">
        <v>3345</v>
      </c>
      <c r="E629" s="798" t="s">
        <v>3346</v>
      </c>
      <c r="F629" s="826" t="s">
        <v>3347</v>
      </c>
      <c r="G629" s="798" t="s">
        <v>3233</v>
      </c>
      <c r="H629" s="798" t="s">
        <v>3234</v>
      </c>
      <c r="I629" s="812">
        <v>88.88</v>
      </c>
      <c r="J629" s="812">
        <v>30</v>
      </c>
      <c r="K629" s="813">
        <v>2666.51</v>
      </c>
    </row>
    <row r="630" spans="1:11" ht="14.4" customHeight="1" x14ac:dyDescent="0.3">
      <c r="A630" s="794" t="s">
        <v>591</v>
      </c>
      <c r="B630" s="795" t="s">
        <v>592</v>
      </c>
      <c r="C630" s="798" t="s">
        <v>2074</v>
      </c>
      <c r="D630" s="826" t="s">
        <v>3345</v>
      </c>
      <c r="E630" s="798" t="s">
        <v>3346</v>
      </c>
      <c r="F630" s="826" t="s">
        <v>3347</v>
      </c>
      <c r="G630" s="798" t="s">
        <v>3235</v>
      </c>
      <c r="H630" s="798" t="s">
        <v>3236</v>
      </c>
      <c r="I630" s="812">
        <v>1368.5</v>
      </c>
      <c r="J630" s="812">
        <v>2</v>
      </c>
      <c r="K630" s="813">
        <v>2737</v>
      </c>
    </row>
    <row r="631" spans="1:11" ht="14.4" customHeight="1" x14ac:dyDescent="0.3">
      <c r="A631" s="794" t="s">
        <v>591</v>
      </c>
      <c r="B631" s="795" t="s">
        <v>592</v>
      </c>
      <c r="C631" s="798" t="s">
        <v>2074</v>
      </c>
      <c r="D631" s="826" t="s">
        <v>3345</v>
      </c>
      <c r="E631" s="798" t="s">
        <v>3346</v>
      </c>
      <c r="F631" s="826" t="s">
        <v>3347</v>
      </c>
      <c r="G631" s="798" t="s">
        <v>3237</v>
      </c>
      <c r="H631" s="798" t="s">
        <v>3238</v>
      </c>
      <c r="I631" s="812">
        <v>3510.26</v>
      </c>
      <c r="J631" s="812">
        <v>2</v>
      </c>
      <c r="K631" s="813">
        <v>7020.52</v>
      </c>
    </row>
    <row r="632" spans="1:11" ht="14.4" customHeight="1" x14ac:dyDescent="0.3">
      <c r="A632" s="794" t="s">
        <v>591</v>
      </c>
      <c r="B632" s="795" t="s">
        <v>592</v>
      </c>
      <c r="C632" s="798" t="s">
        <v>2074</v>
      </c>
      <c r="D632" s="826" t="s">
        <v>3345</v>
      </c>
      <c r="E632" s="798" t="s">
        <v>3346</v>
      </c>
      <c r="F632" s="826" t="s">
        <v>3347</v>
      </c>
      <c r="G632" s="798" t="s">
        <v>3239</v>
      </c>
      <c r="H632" s="798" t="s">
        <v>3240</v>
      </c>
      <c r="I632" s="812">
        <v>3510.26</v>
      </c>
      <c r="J632" s="812">
        <v>1</v>
      </c>
      <c r="K632" s="813">
        <v>3510.26</v>
      </c>
    </row>
    <row r="633" spans="1:11" ht="14.4" customHeight="1" x14ac:dyDescent="0.3">
      <c r="A633" s="794" t="s">
        <v>591</v>
      </c>
      <c r="B633" s="795" t="s">
        <v>592</v>
      </c>
      <c r="C633" s="798" t="s">
        <v>2074</v>
      </c>
      <c r="D633" s="826" t="s">
        <v>3345</v>
      </c>
      <c r="E633" s="798" t="s">
        <v>3346</v>
      </c>
      <c r="F633" s="826" t="s">
        <v>3347</v>
      </c>
      <c r="G633" s="798" t="s">
        <v>3241</v>
      </c>
      <c r="H633" s="798" t="s">
        <v>3242</v>
      </c>
      <c r="I633" s="812">
        <v>3677.5</v>
      </c>
      <c r="J633" s="812">
        <v>1</v>
      </c>
      <c r="K633" s="813">
        <v>3677.5</v>
      </c>
    </row>
    <row r="634" spans="1:11" ht="14.4" customHeight="1" x14ac:dyDescent="0.3">
      <c r="A634" s="794" t="s">
        <v>591</v>
      </c>
      <c r="B634" s="795" t="s">
        <v>592</v>
      </c>
      <c r="C634" s="798" t="s">
        <v>2074</v>
      </c>
      <c r="D634" s="826" t="s">
        <v>3345</v>
      </c>
      <c r="E634" s="798" t="s">
        <v>3346</v>
      </c>
      <c r="F634" s="826" t="s">
        <v>3347</v>
      </c>
      <c r="G634" s="798" t="s">
        <v>3243</v>
      </c>
      <c r="H634" s="798" t="s">
        <v>3244</v>
      </c>
      <c r="I634" s="812">
        <v>4519.68</v>
      </c>
      <c r="J634" s="812">
        <v>1</v>
      </c>
      <c r="K634" s="813">
        <v>4519.68</v>
      </c>
    </row>
    <row r="635" spans="1:11" ht="14.4" customHeight="1" x14ac:dyDescent="0.3">
      <c r="A635" s="794" t="s">
        <v>591</v>
      </c>
      <c r="B635" s="795" t="s">
        <v>592</v>
      </c>
      <c r="C635" s="798" t="s">
        <v>2074</v>
      </c>
      <c r="D635" s="826" t="s">
        <v>3345</v>
      </c>
      <c r="E635" s="798" t="s">
        <v>3346</v>
      </c>
      <c r="F635" s="826" t="s">
        <v>3347</v>
      </c>
      <c r="G635" s="798" t="s">
        <v>3245</v>
      </c>
      <c r="H635" s="798" t="s">
        <v>3246</v>
      </c>
      <c r="I635" s="812">
        <v>2390.9499999999998</v>
      </c>
      <c r="J635" s="812">
        <v>2</v>
      </c>
      <c r="K635" s="813">
        <v>4781.8999999999996</v>
      </c>
    </row>
    <row r="636" spans="1:11" ht="14.4" customHeight="1" x14ac:dyDescent="0.3">
      <c r="A636" s="794" t="s">
        <v>591</v>
      </c>
      <c r="B636" s="795" t="s">
        <v>592</v>
      </c>
      <c r="C636" s="798" t="s">
        <v>2074</v>
      </c>
      <c r="D636" s="826" t="s">
        <v>3345</v>
      </c>
      <c r="E636" s="798" t="s">
        <v>3346</v>
      </c>
      <c r="F636" s="826" t="s">
        <v>3347</v>
      </c>
      <c r="G636" s="798" t="s">
        <v>3247</v>
      </c>
      <c r="H636" s="798" t="s">
        <v>3248</v>
      </c>
      <c r="I636" s="812">
        <v>4823.79</v>
      </c>
      <c r="J636" s="812">
        <v>1</v>
      </c>
      <c r="K636" s="813">
        <v>4823.79</v>
      </c>
    </row>
    <row r="637" spans="1:11" ht="14.4" customHeight="1" x14ac:dyDescent="0.3">
      <c r="A637" s="794" t="s">
        <v>591</v>
      </c>
      <c r="B637" s="795" t="s">
        <v>592</v>
      </c>
      <c r="C637" s="798" t="s">
        <v>2074</v>
      </c>
      <c r="D637" s="826" t="s">
        <v>3345</v>
      </c>
      <c r="E637" s="798" t="s">
        <v>3346</v>
      </c>
      <c r="F637" s="826" t="s">
        <v>3347</v>
      </c>
      <c r="G637" s="798" t="s">
        <v>3249</v>
      </c>
      <c r="H637" s="798" t="s">
        <v>3250</v>
      </c>
      <c r="I637" s="812">
        <v>4936.8599999999997</v>
      </c>
      <c r="J637" s="812">
        <v>1</v>
      </c>
      <c r="K637" s="813">
        <v>4936.8599999999997</v>
      </c>
    </row>
    <row r="638" spans="1:11" ht="14.4" customHeight="1" x14ac:dyDescent="0.3">
      <c r="A638" s="794" t="s">
        <v>591</v>
      </c>
      <c r="B638" s="795" t="s">
        <v>592</v>
      </c>
      <c r="C638" s="798" t="s">
        <v>2074</v>
      </c>
      <c r="D638" s="826" t="s">
        <v>3345</v>
      </c>
      <c r="E638" s="798" t="s">
        <v>3346</v>
      </c>
      <c r="F638" s="826" t="s">
        <v>3347</v>
      </c>
      <c r="G638" s="798" t="s">
        <v>3251</v>
      </c>
      <c r="H638" s="798" t="s">
        <v>3252</v>
      </c>
      <c r="I638" s="812">
        <v>5146.25</v>
      </c>
      <c r="J638" s="812">
        <v>1</v>
      </c>
      <c r="K638" s="813">
        <v>5146.25</v>
      </c>
    </row>
    <row r="639" spans="1:11" ht="14.4" customHeight="1" x14ac:dyDescent="0.3">
      <c r="A639" s="794" t="s">
        <v>591</v>
      </c>
      <c r="B639" s="795" t="s">
        <v>592</v>
      </c>
      <c r="C639" s="798" t="s">
        <v>2074</v>
      </c>
      <c r="D639" s="826" t="s">
        <v>3345</v>
      </c>
      <c r="E639" s="798" t="s">
        <v>3346</v>
      </c>
      <c r="F639" s="826" t="s">
        <v>3347</v>
      </c>
      <c r="G639" s="798" t="s">
        <v>3253</v>
      </c>
      <c r="H639" s="798" t="s">
        <v>3254</v>
      </c>
      <c r="I639" s="812">
        <v>5146.25</v>
      </c>
      <c r="J639" s="812">
        <v>1</v>
      </c>
      <c r="K639" s="813">
        <v>5146.25</v>
      </c>
    </row>
    <row r="640" spans="1:11" ht="14.4" customHeight="1" x14ac:dyDescent="0.3">
      <c r="A640" s="794" t="s">
        <v>591</v>
      </c>
      <c r="B640" s="795" t="s">
        <v>592</v>
      </c>
      <c r="C640" s="798" t="s">
        <v>2074</v>
      </c>
      <c r="D640" s="826" t="s">
        <v>3345</v>
      </c>
      <c r="E640" s="798" t="s">
        <v>3346</v>
      </c>
      <c r="F640" s="826" t="s">
        <v>3347</v>
      </c>
      <c r="G640" s="798" t="s">
        <v>3255</v>
      </c>
      <c r="H640" s="798" t="s">
        <v>3256</v>
      </c>
      <c r="I640" s="812">
        <v>5175</v>
      </c>
      <c r="J640" s="812">
        <v>1</v>
      </c>
      <c r="K640" s="813">
        <v>5175</v>
      </c>
    </row>
    <row r="641" spans="1:11" ht="14.4" customHeight="1" x14ac:dyDescent="0.3">
      <c r="A641" s="794" t="s">
        <v>591</v>
      </c>
      <c r="B641" s="795" t="s">
        <v>592</v>
      </c>
      <c r="C641" s="798" t="s">
        <v>2074</v>
      </c>
      <c r="D641" s="826" t="s">
        <v>3345</v>
      </c>
      <c r="E641" s="798" t="s">
        <v>3346</v>
      </c>
      <c r="F641" s="826" t="s">
        <v>3347</v>
      </c>
      <c r="G641" s="798" t="s">
        <v>3257</v>
      </c>
      <c r="H641" s="798" t="s">
        <v>3258</v>
      </c>
      <c r="I641" s="812">
        <v>6369.64</v>
      </c>
      <c r="J641" s="812">
        <v>1</v>
      </c>
      <c r="K641" s="813">
        <v>6369.64</v>
      </c>
    </row>
    <row r="642" spans="1:11" ht="14.4" customHeight="1" x14ac:dyDescent="0.3">
      <c r="A642" s="794" t="s">
        <v>591</v>
      </c>
      <c r="B642" s="795" t="s">
        <v>592</v>
      </c>
      <c r="C642" s="798" t="s">
        <v>2074</v>
      </c>
      <c r="D642" s="826" t="s">
        <v>3345</v>
      </c>
      <c r="E642" s="798" t="s">
        <v>3346</v>
      </c>
      <c r="F642" s="826" t="s">
        <v>3347</v>
      </c>
      <c r="G642" s="798" t="s">
        <v>3259</v>
      </c>
      <c r="H642" s="798" t="s">
        <v>3260</v>
      </c>
      <c r="I642" s="812">
        <v>7441.83</v>
      </c>
      <c r="J642" s="812">
        <v>1</v>
      </c>
      <c r="K642" s="813">
        <v>7441.83</v>
      </c>
    </row>
    <row r="643" spans="1:11" ht="14.4" customHeight="1" x14ac:dyDescent="0.3">
      <c r="A643" s="794" t="s">
        <v>591</v>
      </c>
      <c r="B643" s="795" t="s">
        <v>592</v>
      </c>
      <c r="C643" s="798" t="s">
        <v>2074</v>
      </c>
      <c r="D643" s="826" t="s">
        <v>3345</v>
      </c>
      <c r="E643" s="798" t="s">
        <v>3346</v>
      </c>
      <c r="F643" s="826" t="s">
        <v>3347</v>
      </c>
      <c r="G643" s="798" t="s">
        <v>3261</v>
      </c>
      <c r="H643" s="798" t="s">
        <v>3262</v>
      </c>
      <c r="I643" s="812">
        <v>7441.83</v>
      </c>
      <c r="J643" s="812">
        <v>1</v>
      </c>
      <c r="K643" s="813">
        <v>7441.83</v>
      </c>
    </row>
    <row r="644" spans="1:11" ht="14.4" customHeight="1" x14ac:dyDescent="0.3">
      <c r="A644" s="794" t="s">
        <v>591</v>
      </c>
      <c r="B644" s="795" t="s">
        <v>592</v>
      </c>
      <c r="C644" s="798" t="s">
        <v>2074</v>
      </c>
      <c r="D644" s="826" t="s">
        <v>3345</v>
      </c>
      <c r="E644" s="798" t="s">
        <v>3346</v>
      </c>
      <c r="F644" s="826" t="s">
        <v>3347</v>
      </c>
      <c r="G644" s="798" t="s">
        <v>3263</v>
      </c>
      <c r="H644" s="798" t="s">
        <v>3264</v>
      </c>
      <c r="I644" s="812">
        <v>7814.1</v>
      </c>
      <c r="J644" s="812">
        <v>1</v>
      </c>
      <c r="K644" s="813">
        <v>7814.1</v>
      </c>
    </row>
    <row r="645" spans="1:11" ht="14.4" customHeight="1" x14ac:dyDescent="0.3">
      <c r="A645" s="794" t="s">
        <v>591</v>
      </c>
      <c r="B645" s="795" t="s">
        <v>592</v>
      </c>
      <c r="C645" s="798" t="s">
        <v>2074</v>
      </c>
      <c r="D645" s="826" t="s">
        <v>3345</v>
      </c>
      <c r="E645" s="798" t="s">
        <v>3346</v>
      </c>
      <c r="F645" s="826" t="s">
        <v>3347</v>
      </c>
      <c r="G645" s="798" t="s">
        <v>3265</v>
      </c>
      <c r="H645" s="798" t="s">
        <v>3266</v>
      </c>
      <c r="I645" s="812">
        <v>7916.51</v>
      </c>
      <c r="J645" s="812">
        <v>1</v>
      </c>
      <c r="K645" s="813">
        <v>7916.51</v>
      </c>
    </row>
    <row r="646" spans="1:11" ht="14.4" customHeight="1" x14ac:dyDescent="0.3">
      <c r="A646" s="794" t="s">
        <v>591</v>
      </c>
      <c r="B646" s="795" t="s">
        <v>592</v>
      </c>
      <c r="C646" s="798" t="s">
        <v>2074</v>
      </c>
      <c r="D646" s="826" t="s">
        <v>3345</v>
      </c>
      <c r="E646" s="798" t="s">
        <v>3346</v>
      </c>
      <c r="F646" s="826" t="s">
        <v>3347</v>
      </c>
      <c r="G646" s="798" t="s">
        <v>3267</v>
      </c>
      <c r="H646" s="798" t="s">
        <v>3268</v>
      </c>
      <c r="I646" s="812">
        <v>8126.07</v>
      </c>
      <c r="J646" s="812">
        <v>1</v>
      </c>
      <c r="K646" s="813">
        <v>8126.07</v>
      </c>
    </row>
    <row r="647" spans="1:11" ht="14.4" customHeight="1" x14ac:dyDescent="0.3">
      <c r="A647" s="794" t="s">
        <v>591</v>
      </c>
      <c r="B647" s="795" t="s">
        <v>592</v>
      </c>
      <c r="C647" s="798" t="s">
        <v>2074</v>
      </c>
      <c r="D647" s="826" t="s">
        <v>3345</v>
      </c>
      <c r="E647" s="798" t="s">
        <v>3346</v>
      </c>
      <c r="F647" s="826" t="s">
        <v>3347</v>
      </c>
      <c r="G647" s="798" t="s">
        <v>3269</v>
      </c>
      <c r="H647" s="798" t="s">
        <v>3270</v>
      </c>
      <c r="I647" s="812">
        <v>8256.69</v>
      </c>
      <c r="J647" s="812">
        <v>1</v>
      </c>
      <c r="K647" s="813">
        <v>8256.69</v>
      </c>
    </row>
    <row r="648" spans="1:11" ht="14.4" customHeight="1" x14ac:dyDescent="0.3">
      <c r="A648" s="794" t="s">
        <v>591</v>
      </c>
      <c r="B648" s="795" t="s">
        <v>592</v>
      </c>
      <c r="C648" s="798" t="s">
        <v>2074</v>
      </c>
      <c r="D648" s="826" t="s">
        <v>3345</v>
      </c>
      <c r="E648" s="798" t="s">
        <v>3346</v>
      </c>
      <c r="F648" s="826" t="s">
        <v>3347</v>
      </c>
      <c r="G648" s="798" t="s">
        <v>3271</v>
      </c>
      <c r="H648" s="798" t="s">
        <v>3272</v>
      </c>
      <c r="I648" s="812">
        <v>8256.7000000000007</v>
      </c>
      <c r="J648" s="812">
        <v>1</v>
      </c>
      <c r="K648" s="813">
        <v>8256.7000000000007</v>
      </c>
    </row>
    <row r="649" spans="1:11" ht="14.4" customHeight="1" x14ac:dyDescent="0.3">
      <c r="A649" s="794" t="s">
        <v>591</v>
      </c>
      <c r="B649" s="795" t="s">
        <v>592</v>
      </c>
      <c r="C649" s="798" t="s">
        <v>2074</v>
      </c>
      <c r="D649" s="826" t="s">
        <v>3345</v>
      </c>
      <c r="E649" s="798" t="s">
        <v>3346</v>
      </c>
      <c r="F649" s="826" t="s">
        <v>3347</v>
      </c>
      <c r="G649" s="798" t="s">
        <v>3273</v>
      </c>
      <c r="H649" s="798" t="s">
        <v>3274</v>
      </c>
      <c r="I649" s="812">
        <v>8622.2000000000007</v>
      </c>
      <c r="J649" s="812">
        <v>1</v>
      </c>
      <c r="K649" s="813">
        <v>8622.2000000000007</v>
      </c>
    </row>
    <row r="650" spans="1:11" ht="14.4" customHeight="1" x14ac:dyDescent="0.3">
      <c r="A650" s="794" t="s">
        <v>591</v>
      </c>
      <c r="B650" s="795" t="s">
        <v>592</v>
      </c>
      <c r="C650" s="798" t="s">
        <v>2074</v>
      </c>
      <c r="D650" s="826" t="s">
        <v>3345</v>
      </c>
      <c r="E650" s="798" t="s">
        <v>3346</v>
      </c>
      <c r="F650" s="826" t="s">
        <v>3347</v>
      </c>
      <c r="G650" s="798" t="s">
        <v>3275</v>
      </c>
      <c r="H650" s="798" t="s">
        <v>3276</v>
      </c>
      <c r="I650" s="812">
        <v>8695.2999999999993</v>
      </c>
      <c r="J650" s="812">
        <v>1</v>
      </c>
      <c r="K650" s="813">
        <v>8695.2999999999993</v>
      </c>
    </row>
    <row r="651" spans="1:11" ht="14.4" customHeight="1" x14ac:dyDescent="0.3">
      <c r="A651" s="794" t="s">
        <v>591</v>
      </c>
      <c r="B651" s="795" t="s">
        <v>592</v>
      </c>
      <c r="C651" s="798" t="s">
        <v>2074</v>
      </c>
      <c r="D651" s="826" t="s">
        <v>3345</v>
      </c>
      <c r="E651" s="798" t="s">
        <v>3346</v>
      </c>
      <c r="F651" s="826" t="s">
        <v>3347</v>
      </c>
      <c r="G651" s="798" t="s">
        <v>3277</v>
      </c>
      <c r="H651" s="798" t="s">
        <v>3278</v>
      </c>
      <c r="I651" s="812">
        <v>8725.5</v>
      </c>
      <c r="J651" s="812">
        <v>1</v>
      </c>
      <c r="K651" s="813">
        <v>8725.5</v>
      </c>
    </row>
    <row r="652" spans="1:11" ht="14.4" customHeight="1" x14ac:dyDescent="0.3">
      <c r="A652" s="794" t="s">
        <v>591</v>
      </c>
      <c r="B652" s="795" t="s">
        <v>592</v>
      </c>
      <c r="C652" s="798" t="s">
        <v>2074</v>
      </c>
      <c r="D652" s="826" t="s">
        <v>3345</v>
      </c>
      <c r="E652" s="798" t="s">
        <v>3346</v>
      </c>
      <c r="F652" s="826" t="s">
        <v>3347</v>
      </c>
      <c r="G652" s="798" t="s">
        <v>3279</v>
      </c>
      <c r="H652" s="798" t="s">
        <v>3280</v>
      </c>
      <c r="I652" s="812">
        <v>8757.48</v>
      </c>
      <c r="J652" s="812">
        <v>2</v>
      </c>
      <c r="K652" s="813">
        <v>17514.96</v>
      </c>
    </row>
    <row r="653" spans="1:11" ht="14.4" customHeight="1" x14ac:dyDescent="0.3">
      <c r="A653" s="794" t="s">
        <v>591</v>
      </c>
      <c r="B653" s="795" t="s">
        <v>592</v>
      </c>
      <c r="C653" s="798" t="s">
        <v>2074</v>
      </c>
      <c r="D653" s="826" t="s">
        <v>3345</v>
      </c>
      <c r="E653" s="798" t="s">
        <v>3346</v>
      </c>
      <c r="F653" s="826" t="s">
        <v>3347</v>
      </c>
      <c r="G653" s="798" t="s">
        <v>3281</v>
      </c>
      <c r="H653" s="798" t="s">
        <v>3282</v>
      </c>
      <c r="I653" s="812">
        <v>8970</v>
      </c>
      <c r="J653" s="812">
        <v>1</v>
      </c>
      <c r="K653" s="813">
        <v>8970</v>
      </c>
    </row>
    <row r="654" spans="1:11" ht="14.4" customHeight="1" x14ac:dyDescent="0.3">
      <c r="A654" s="794" t="s">
        <v>591</v>
      </c>
      <c r="B654" s="795" t="s">
        <v>592</v>
      </c>
      <c r="C654" s="798" t="s">
        <v>2074</v>
      </c>
      <c r="D654" s="826" t="s">
        <v>3345</v>
      </c>
      <c r="E654" s="798" t="s">
        <v>3346</v>
      </c>
      <c r="F654" s="826" t="s">
        <v>3347</v>
      </c>
      <c r="G654" s="798" t="s">
        <v>3283</v>
      </c>
      <c r="H654" s="798" t="s">
        <v>3284</v>
      </c>
      <c r="I654" s="812">
        <v>9019.9</v>
      </c>
      <c r="J654" s="812">
        <v>1</v>
      </c>
      <c r="K654" s="813">
        <v>9019.9</v>
      </c>
    </row>
    <row r="655" spans="1:11" ht="14.4" customHeight="1" x14ac:dyDescent="0.3">
      <c r="A655" s="794" t="s">
        <v>591</v>
      </c>
      <c r="B655" s="795" t="s">
        <v>592</v>
      </c>
      <c r="C655" s="798" t="s">
        <v>2074</v>
      </c>
      <c r="D655" s="826" t="s">
        <v>3345</v>
      </c>
      <c r="E655" s="798" t="s">
        <v>3346</v>
      </c>
      <c r="F655" s="826" t="s">
        <v>3347</v>
      </c>
      <c r="G655" s="798" t="s">
        <v>3285</v>
      </c>
      <c r="H655" s="798" t="s">
        <v>3286</v>
      </c>
      <c r="I655" s="812">
        <v>9154</v>
      </c>
      <c r="J655" s="812">
        <v>1</v>
      </c>
      <c r="K655" s="813">
        <v>9154</v>
      </c>
    </row>
    <row r="656" spans="1:11" ht="14.4" customHeight="1" x14ac:dyDescent="0.3">
      <c r="A656" s="794" t="s">
        <v>591</v>
      </c>
      <c r="B656" s="795" t="s">
        <v>592</v>
      </c>
      <c r="C656" s="798" t="s">
        <v>2074</v>
      </c>
      <c r="D656" s="826" t="s">
        <v>3345</v>
      </c>
      <c r="E656" s="798" t="s">
        <v>3346</v>
      </c>
      <c r="F656" s="826" t="s">
        <v>3347</v>
      </c>
      <c r="G656" s="798" t="s">
        <v>3287</v>
      </c>
      <c r="H656" s="798" t="s">
        <v>3288</v>
      </c>
      <c r="I656" s="812">
        <v>9399.8700000000008</v>
      </c>
      <c r="J656" s="812">
        <v>1</v>
      </c>
      <c r="K656" s="813">
        <v>9399.8700000000008</v>
      </c>
    </row>
    <row r="657" spans="1:11" ht="14.4" customHeight="1" x14ac:dyDescent="0.3">
      <c r="A657" s="794" t="s">
        <v>591</v>
      </c>
      <c r="B657" s="795" t="s">
        <v>592</v>
      </c>
      <c r="C657" s="798" t="s">
        <v>2074</v>
      </c>
      <c r="D657" s="826" t="s">
        <v>3345</v>
      </c>
      <c r="E657" s="798" t="s">
        <v>3346</v>
      </c>
      <c r="F657" s="826" t="s">
        <v>3347</v>
      </c>
      <c r="G657" s="798" t="s">
        <v>3289</v>
      </c>
      <c r="H657" s="798" t="s">
        <v>3290</v>
      </c>
      <c r="I657" s="812">
        <v>4857.6000000000004</v>
      </c>
      <c r="J657" s="812">
        <v>2</v>
      </c>
      <c r="K657" s="813">
        <v>9715.2000000000007</v>
      </c>
    </row>
    <row r="658" spans="1:11" ht="14.4" customHeight="1" x14ac:dyDescent="0.3">
      <c r="A658" s="794" t="s">
        <v>591</v>
      </c>
      <c r="B658" s="795" t="s">
        <v>592</v>
      </c>
      <c r="C658" s="798" t="s">
        <v>2074</v>
      </c>
      <c r="D658" s="826" t="s">
        <v>3345</v>
      </c>
      <c r="E658" s="798" t="s">
        <v>3346</v>
      </c>
      <c r="F658" s="826" t="s">
        <v>3347</v>
      </c>
      <c r="G658" s="798" t="s">
        <v>3291</v>
      </c>
      <c r="H658" s="798" t="s">
        <v>3292</v>
      </c>
      <c r="I658" s="812">
        <v>10706.9</v>
      </c>
      <c r="J658" s="812">
        <v>1</v>
      </c>
      <c r="K658" s="813">
        <v>10706.9</v>
      </c>
    </row>
    <row r="659" spans="1:11" ht="14.4" customHeight="1" x14ac:dyDescent="0.3">
      <c r="A659" s="794" t="s">
        <v>591</v>
      </c>
      <c r="B659" s="795" t="s">
        <v>592</v>
      </c>
      <c r="C659" s="798" t="s">
        <v>2074</v>
      </c>
      <c r="D659" s="826" t="s">
        <v>3345</v>
      </c>
      <c r="E659" s="798" t="s">
        <v>3346</v>
      </c>
      <c r="F659" s="826" t="s">
        <v>3347</v>
      </c>
      <c r="G659" s="798" t="s">
        <v>3293</v>
      </c>
      <c r="H659" s="798" t="s">
        <v>3294</v>
      </c>
      <c r="I659" s="812">
        <v>10706.9</v>
      </c>
      <c r="J659" s="812">
        <v>1</v>
      </c>
      <c r="K659" s="813">
        <v>10706.9</v>
      </c>
    </row>
    <row r="660" spans="1:11" ht="14.4" customHeight="1" x14ac:dyDescent="0.3">
      <c r="A660" s="794" t="s">
        <v>591</v>
      </c>
      <c r="B660" s="795" t="s">
        <v>592</v>
      </c>
      <c r="C660" s="798" t="s">
        <v>2074</v>
      </c>
      <c r="D660" s="826" t="s">
        <v>3345</v>
      </c>
      <c r="E660" s="798" t="s">
        <v>3346</v>
      </c>
      <c r="F660" s="826" t="s">
        <v>3347</v>
      </c>
      <c r="G660" s="798" t="s">
        <v>3295</v>
      </c>
      <c r="H660" s="798" t="s">
        <v>3296</v>
      </c>
      <c r="I660" s="812">
        <v>10807.47</v>
      </c>
      <c r="J660" s="812">
        <v>1</v>
      </c>
      <c r="K660" s="813">
        <v>10807.47</v>
      </c>
    </row>
    <row r="661" spans="1:11" ht="14.4" customHeight="1" x14ac:dyDescent="0.3">
      <c r="A661" s="794" t="s">
        <v>591</v>
      </c>
      <c r="B661" s="795" t="s">
        <v>592</v>
      </c>
      <c r="C661" s="798" t="s">
        <v>2074</v>
      </c>
      <c r="D661" s="826" t="s">
        <v>3345</v>
      </c>
      <c r="E661" s="798" t="s">
        <v>3348</v>
      </c>
      <c r="F661" s="826" t="s">
        <v>3349</v>
      </c>
      <c r="G661" s="798" t="s">
        <v>3297</v>
      </c>
      <c r="H661" s="798" t="s">
        <v>3298</v>
      </c>
      <c r="I661" s="812">
        <v>440.2</v>
      </c>
      <c r="J661" s="812">
        <v>6</v>
      </c>
      <c r="K661" s="813">
        <v>2641.19</v>
      </c>
    </row>
    <row r="662" spans="1:11" ht="14.4" customHeight="1" x14ac:dyDescent="0.3">
      <c r="A662" s="794" t="s">
        <v>591</v>
      </c>
      <c r="B662" s="795" t="s">
        <v>592</v>
      </c>
      <c r="C662" s="798" t="s">
        <v>2074</v>
      </c>
      <c r="D662" s="826" t="s">
        <v>3345</v>
      </c>
      <c r="E662" s="798" t="s">
        <v>3348</v>
      </c>
      <c r="F662" s="826" t="s">
        <v>3349</v>
      </c>
      <c r="G662" s="798" t="s">
        <v>3299</v>
      </c>
      <c r="H662" s="798" t="s">
        <v>3300</v>
      </c>
      <c r="I662" s="812">
        <v>440.2</v>
      </c>
      <c r="J662" s="812">
        <v>54</v>
      </c>
      <c r="K662" s="813">
        <v>23770.7</v>
      </c>
    </row>
    <row r="663" spans="1:11" ht="14.4" customHeight="1" x14ac:dyDescent="0.3">
      <c r="A663" s="794" t="s">
        <v>591</v>
      </c>
      <c r="B663" s="795" t="s">
        <v>592</v>
      </c>
      <c r="C663" s="798" t="s">
        <v>2074</v>
      </c>
      <c r="D663" s="826" t="s">
        <v>3345</v>
      </c>
      <c r="E663" s="798" t="s">
        <v>3348</v>
      </c>
      <c r="F663" s="826" t="s">
        <v>3349</v>
      </c>
      <c r="G663" s="798" t="s">
        <v>3301</v>
      </c>
      <c r="H663" s="798" t="s">
        <v>3302</v>
      </c>
      <c r="I663" s="812">
        <v>7954.06</v>
      </c>
      <c r="J663" s="812">
        <v>1</v>
      </c>
      <c r="K663" s="813">
        <v>7954.06</v>
      </c>
    </row>
    <row r="664" spans="1:11" ht="14.4" customHeight="1" x14ac:dyDescent="0.3">
      <c r="A664" s="794" t="s">
        <v>591</v>
      </c>
      <c r="B664" s="795" t="s">
        <v>592</v>
      </c>
      <c r="C664" s="798" t="s">
        <v>2074</v>
      </c>
      <c r="D664" s="826" t="s">
        <v>3345</v>
      </c>
      <c r="E664" s="798" t="s">
        <v>3348</v>
      </c>
      <c r="F664" s="826" t="s">
        <v>3349</v>
      </c>
      <c r="G664" s="798" t="s">
        <v>3303</v>
      </c>
      <c r="H664" s="798" t="s">
        <v>3304</v>
      </c>
      <c r="I664" s="812">
        <v>17675.68</v>
      </c>
      <c r="J664" s="812">
        <v>1</v>
      </c>
      <c r="K664" s="813">
        <v>17675.68</v>
      </c>
    </row>
    <row r="665" spans="1:11" ht="14.4" customHeight="1" x14ac:dyDescent="0.3">
      <c r="A665" s="794" t="s">
        <v>591</v>
      </c>
      <c r="B665" s="795" t="s">
        <v>592</v>
      </c>
      <c r="C665" s="798" t="s">
        <v>2074</v>
      </c>
      <c r="D665" s="826" t="s">
        <v>3345</v>
      </c>
      <c r="E665" s="798" t="s">
        <v>3348</v>
      </c>
      <c r="F665" s="826" t="s">
        <v>3349</v>
      </c>
      <c r="G665" s="798" t="s">
        <v>3305</v>
      </c>
      <c r="H665" s="798" t="s">
        <v>3306</v>
      </c>
      <c r="I665" s="812">
        <v>30250</v>
      </c>
      <c r="J665" s="812">
        <v>1</v>
      </c>
      <c r="K665" s="813">
        <v>30250</v>
      </c>
    </row>
    <row r="666" spans="1:11" ht="14.4" customHeight="1" x14ac:dyDescent="0.3">
      <c r="A666" s="794" t="s">
        <v>591</v>
      </c>
      <c r="B666" s="795" t="s">
        <v>592</v>
      </c>
      <c r="C666" s="798" t="s">
        <v>2074</v>
      </c>
      <c r="D666" s="826" t="s">
        <v>3345</v>
      </c>
      <c r="E666" s="798" t="s">
        <v>3335</v>
      </c>
      <c r="F666" s="826" t="s">
        <v>3336</v>
      </c>
      <c r="G666" s="798" t="s">
        <v>3307</v>
      </c>
      <c r="H666" s="798" t="s">
        <v>3308</v>
      </c>
      <c r="I666" s="812">
        <v>46.96</v>
      </c>
      <c r="J666" s="812">
        <v>36</v>
      </c>
      <c r="K666" s="813">
        <v>1690.5</v>
      </c>
    </row>
    <row r="667" spans="1:11" ht="14.4" customHeight="1" x14ac:dyDescent="0.3">
      <c r="A667" s="794" t="s">
        <v>591</v>
      </c>
      <c r="B667" s="795" t="s">
        <v>592</v>
      </c>
      <c r="C667" s="798" t="s">
        <v>2074</v>
      </c>
      <c r="D667" s="826" t="s">
        <v>3345</v>
      </c>
      <c r="E667" s="798" t="s">
        <v>3335</v>
      </c>
      <c r="F667" s="826" t="s">
        <v>3336</v>
      </c>
      <c r="G667" s="798" t="s">
        <v>3309</v>
      </c>
      <c r="H667" s="798" t="s">
        <v>3310</v>
      </c>
      <c r="I667" s="812">
        <v>105.57</v>
      </c>
      <c r="J667" s="812">
        <v>36</v>
      </c>
      <c r="K667" s="813">
        <v>3800.52</v>
      </c>
    </row>
    <row r="668" spans="1:11" ht="14.4" customHeight="1" x14ac:dyDescent="0.3">
      <c r="A668" s="794" t="s">
        <v>591</v>
      </c>
      <c r="B668" s="795" t="s">
        <v>592</v>
      </c>
      <c r="C668" s="798" t="s">
        <v>2074</v>
      </c>
      <c r="D668" s="826" t="s">
        <v>3345</v>
      </c>
      <c r="E668" s="798" t="s">
        <v>3335</v>
      </c>
      <c r="F668" s="826" t="s">
        <v>3336</v>
      </c>
      <c r="G668" s="798" t="s">
        <v>3311</v>
      </c>
      <c r="H668" s="798" t="s">
        <v>3312</v>
      </c>
      <c r="I668" s="812">
        <v>105.57</v>
      </c>
      <c r="J668" s="812">
        <v>36</v>
      </c>
      <c r="K668" s="813">
        <v>3800.52</v>
      </c>
    </row>
    <row r="669" spans="1:11" ht="14.4" customHeight="1" x14ac:dyDescent="0.3">
      <c r="A669" s="794" t="s">
        <v>591</v>
      </c>
      <c r="B669" s="795" t="s">
        <v>592</v>
      </c>
      <c r="C669" s="798" t="s">
        <v>2074</v>
      </c>
      <c r="D669" s="826" t="s">
        <v>3345</v>
      </c>
      <c r="E669" s="798" t="s">
        <v>3335</v>
      </c>
      <c r="F669" s="826" t="s">
        <v>3336</v>
      </c>
      <c r="G669" s="798" t="s">
        <v>3313</v>
      </c>
      <c r="H669" s="798" t="s">
        <v>3314</v>
      </c>
      <c r="I669" s="812">
        <v>714.71</v>
      </c>
      <c r="J669" s="812">
        <v>12</v>
      </c>
      <c r="K669" s="813">
        <v>8576.48</v>
      </c>
    </row>
    <row r="670" spans="1:11" ht="14.4" customHeight="1" x14ac:dyDescent="0.3">
      <c r="A670" s="794" t="s">
        <v>591</v>
      </c>
      <c r="B670" s="795" t="s">
        <v>592</v>
      </c>
      <c r="C670" s="798" t="s">
        <v>2074</v>
      </c>
      <c r="D670" s="826" t="s">
        <v>3345</v>
      </c>
      <c r="E670" s="798" t="s">
        <v>3350</v>
      </c>
      <c r="F670" s="826" t="s">
        <v>3351</v>
      </c>
      <c r="G670" s="798" t="s">
        <v>3315</v>
      </c>
      <c r="H670" s="798" t="s">
        <v>3316</v>
      </c>
      <c r="I670" s="812">
        <v>11235.875</v>
      </c>
      <c r="J670" s="812">
        <v>2</v>
      </c>
      <c r="K670" s="813">
        <v>22471.75</v>
      </c>
    </row>
    <row r="671" spans="1:11" ht="14.4" customHeight="1" x14ac:dyDescent="0.3">
      <c r="A671" s="794" t="s">
        <v>591</v>
      </c>
      <c r="B671" s="795" t="s">
        <v>592</v>
      </c>
      <c r="C671" s="798" t="s">
        <v>2074</v>
      </c>
      <c r="D671" s="826" t="s">
        <v>3345</v>
      </c>
      <c r="E671" s="798" t="s">
        <v>3350</v>
      </c>
      <c r="F671" s="826" t="s">
        <v>3351</v>
      </c>
      <c r="G671" s="798" t="s">
        <v>3317</v>
      </c>
      <c r="H671" s="798" t="s">
        <v>3318</v>
      </c>
      <c r="I671" s="812">
        <v>5523.27</v>
      </c>
      <c r="J671" s="812">
        <v>1</v>
      </c>
      <c r="K671" s="813">
        <v>5523.27</v>
      </c>
    </row>
    <row r="672" spans="1:11" ht="14.4" customHeight="1" x14ac:dyDescent="0.3">
      <c r="A672" s="794" t="s">
        <v>591</v>
      </c>
      <c r="B672" s="795" t="s">
        <v>592</v>
      </c>
      <c r="C672" s="798" t="s">
        <v>2074</v>
      </c>
      <c r="D672" s="826" t="s">
        <v>3345</v>
      </c>
      <c r="E672" s="798" t="s">
        <v>3350</v>
      </c>
      <c r="F672" s="826" t="s">
        <v>3351</v>
      </c>
      <c r="G672" s="798" t="s">
        <v>3319</v>
      </c>
      <c r="H672" s="798" t="s">
        <v>3320</v>
      </c>
      <c r="I672" s="812">
        <v>3450</v>
      </c>
      <c r="J672" s="812">
        <v>2</v>
      </c>
      <c r="K672" s="813">
        <v>6900</v>
      </c>
    </row>
    <row r="673" spans="1:11" ht="14.4" customHeight="1" x14ac:dyDescent="0.3">
      <c r="A673" s="794" t="s">
        <v>591</v>
      </c>
      <c r="B673" s="795" t="s">
        <v>592</v>
      </c>
      <c r="C673" s="798" t="s">
        <v>2074</v>
      </c>
      <c r="D673" s="826" t="s">
        <v>3345</v>
      </c>
      <c r="E673" s="798" t="s">
        <v>3350</v>
      </c>
      <c r="F673" s="826" t="s">
        <v>3351</v>
      </c>
      <c r="G673" s="798" t="s">
        <v>3321</v>
      </c>
      <c r="H673" s="798" t="s">
        <v>3322</v>
      </c>
      <c r="I673" s="812">
        <v>1656</v>
      </c>
      <c r="J673" s="812">
        <v>4</v>
      </c>
      <c r="K673" s="813">
        <v>6624</v>
      </c>
    </row>
    <row r="674" spans="1:11" ht="14.4" customHeight="1" thickBot="1" x14ac:dyDescent="0.35">
      <c r="A674" s="802" t="s">
        <v>591</v>
      </c>
      <c r="B674" s="803" t="s">
        <v>592</v>
      </c>
      <c r="C674" s="806" t="s">
        <v>2074</v>
      </c>
      <c r="D674" s="827" t="s">
        <v>3345</v>
      </c>
      <c r="E674" s="806" t="s">
        <v>3350</v>
      </c>
      <c r="F674" s="827" t="s">
        <v>3351</v>
      </c>
      <c r="G674" s="806" t="s">
        <v>3323</v>
      </c>
      <c r="H674" s="806" t="s">
        <v>3324</v>
      </c>
      <c r="I674" s="814">
        <v>5636.15</v>
      </c>
      <c r="J674" s="814">
        <v>1</v>
      </c>
      <c r="K674" s="815">
        <v>5636.15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S1"/>
    </sheetView>
  </sheetViews>
  <sheetFormatPr defaultRowHeight="14.4" outlineLevelRow="1" x14ac:dyDescent="0.3"/>
  <cols>
    <col min="1" max="1" width="37.21875" customWidth="1"/>
    <col min="2" max="2" width="13.109375" customWidth="1"/>
    <col min="3" max="4" width="13.109375" hidden="1" customWidth="1"/>
    <col min="5" max="8" width="13.109375" customWidth="1"/>
    <col min="9" max="12" width="13.109375" hidden="1" customWidth="1"/>
    <col min="13" max="15" width="13.109375" customWidth="1"/>
    <col min="16" max="38" width="13.109375" hidden="1" customWidth="1"/>
    <col min="39" max="39" width="13.109375" customWidth="1"/>
    <col min="40" max="41" width="13.109375" hidden="1" customWidth="1"/>
    <col min="42" max="42" width="13.109375" customWidth="1"/>
    <col min="43" max="45" width="13.109375" hidden="1" customWidth="1"/>
  </cols>
  <sheetData>
    <row r="1" spans="1:46" ht="18.600000000000001" thickBot="1" x14ac:dyDescent="0.4">
      <c r="A1" s="588" t="s">
        <v>130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550"/>
      <c r="AB1" s="550"/>
      <c r="AC1" s="550"/>
      <c r="AD1" s="550"/>
      <c r="AE1" s="550"/>
      <c r="AF1" s="550"/>
      <c r="AG1" s="550"/>
      <c r="AH1" s="550"/>
      <c r="AI1" s="550"/>
      <c r="AJ1" s="550"/>
      <c r="AK1" s="550"/>
      <c r="AL1" s="550"/>
      <c r="AM1" s="550"/>
      <c r="AN1" s="550"/>
      <c r="AO1" s="550"/>
      <c r="AP1" s="550"/>
      <c r="AQ1" s="550"/>
      <c r="AR1" s="550"/>
      <c r="AS1" s="550"/>
    </row>
    <row r="2" spans="1:46" ht="15" thickBot="1" x14ac:dyDescent="0.35">
      <c r="A2" s="374" t="s">
        <v>353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  <c r="AA2" s="375"/>
      <c r="AB2" s="375"/>
      <c r="AC2" s="375"/>
      <c r="AD2" s="375"/>
      <c r="AE2" s="375"/>
      <c r="AF2" s="375"/>
      <c r="AG2" s="375"/>
      <c r="AH2" s="375"/>
      <c r="AI2" s="375"/>
      <c r="AJ2" s="375"/>
      <c r="AK2" s="375"/>
      <c r="AL2" s="375"/>
      <c r="AM2" s="375"/>
    </row>
    <row r="3" spans="1:46" x14ac:dyDescent="0.3">
      <c r="A3" s="393" t="s">
        <v>246</v>
      </c>
      <c r="B3" s="589" t="s">
        <v>225</v>
      </c>
      <c r="C3" s="376">
        <v>0</v>
      </c>
      <c r="D3" s="377">
        <v>25</v>
      </c>
      <c r="E3" s="377">
        <v>30</v>
      </c>
      <c r="F3" s="377">
        <v>99</v>
      </c>
      <c r="G3" s="396">
        <v>100</v>
      </c>
      <c r="H3" s="396">
        <v>101</v>
      </c>
      <c r="I3" s="396">
        <v>102</v>
      </c>
      <c r="J3" s="396">
        <v>103</v>
      </c>
      <c r="K3" s="396">
        <v>203</v>
      </c>
      <c r="L3" s="501">
        <v>302</v>
      </c>
      <c r="M3" s="396">
        <v>303</v>
      </c>
      <c r="N3" s="396">
        <v>304</v>
      </c>
      <c r="O3" s="396">
        <v>305</v>
      </c>
      <c r="P3" s="396">
        <v>306</v>
      </c>
      <c r="Q3" s="396">
        <v>407</v>
      </c>
      <c r="R3" s="396">
        <v>408</v>
      </c>
      <c r="S3" s="396">
        <v>409</v>
      </c>
      <c r="T3" s="396">
        <v>410</v>
      </c>
      <c r="U3" s="396">
        <v>415</v>
      </c>
      <c r="V3" s="396">
        <v>416</v>
      </c>
      <c r="W3" s="396">
        <v>418</v>
      </c>
      <c r="X3" s="396">
        <v>419</v>
      </c>
      <c r="Y3" s="396">
        <v>420</v>
      </c>
      <c r="Z3" s="396">
        <v>421</v>
      </c>
      <c r="AA3" s="396">
        <v>422</v>
      </c>
      <c r="AB3" s="396">
        <v>520</v>
      </c>
      <c r="AC3" s="396">
        <v>521</v>
      </c>
      <c r="AD3" s="396">
        <v>522</v>
      </c>
      <c r="AE3" s="396">
        <v>523</v>
      </c>
      <c r="AF3" s="396">
        <v>524</v>
      </c>
      <c r="AG3" s="396">
        <v>525</v>
      </c>
      <c r="AH3" s="396">
        <v>526</v>
      </c>
      <c r="AI3" s="377">
        <v>527</v>
      </c>
      <c r="AJ3" s="377">
        <v>528</v>
      </c>
      <c r="AK3" s="377">
        <v>629</v>
      </c>
      <c r="AL3" s="377">
        <v>630</v>
      </c>
      <c r="AM3" s="377">
        <v>636</v>
      </c>
      <c r="AN3" s="377">
        <v>637</v>
      </c>
      <c r="AO3" s="377">
        <v>640</v>
      </c>
      <c r="AP3" s="377">
        <v>642</v>
      </c>
      <c r="AQ3" s="377">
        <v>743</v>
      </c>
      <c r="AR3" s="377">
        <v>745</v>
      </c>
      <c r="AS3" s="841">
        <v>746</v>
      </c>
      <c r="AT3" s="856"/>
    </row>
    <row r="4" spans="1:46" ht="36.6" outlineLevel="1" thickBot="1" x14ac:dyDescent="0.35">
      <c r="A4" s="394">
        <v>2017</v>
      </c>
      <c r="B4" s="590"/>
      <c r="C4" s="378" t="s">
        <v>226</v>
      </c>
      <c r="D4" s="379" t="s">
        <v>230</v>
      </c>
      <c r="E4" s="379" t="s">
        <v>248</v>
      </c>
      <c r="F4" s="379" t="s">
        <v>227</v>
      </c>
      <c r="G4" s="397" t="s">
        <v>297</v>
      </c>
      <c r="H4" s="397" t="s">
        <v>298</v>
      </c>
      <c r="I4" s="397" t="s">
        <v>228</v>
      </c>
      <c r="J4" s="397" t="s">
        <v>299</v>
      </c>
      <c r="K4" s="397" t="s">
        <v>229</v>
      </c>
      <c r="L4" s="502" t="s">
        <v>300</v>
      </c>
      <c r="M4" s="397" t="s">
        <v>301</v>
      </c>
      <c r="N4" s="397" t="s">
        <v>302</v>
      </c>
      <c r="O4" s="397" t="s">
        <v>303</v>
      </c>
      <c r="P4" s="397" t="s">
        <v>254</v>
      </c>
      <c r="Q4" s="397" t="s">
        <v>295</v>
      </c>
      <c r="R4" s="397" t="s">
        <v>255</v>
      </c>
      <c r="S4" s="397" t="s">
        <v>256</v>
      </c>
      <c r="T4" s="397" t="s">
        <v>257</v>
      </c>
      <c r="U4" s="397" t="s">
        <v>258</v>
      </c>
      <c r="V4" s="397" t="s">
        <v>259</v>
      </c>
      <c r="W4" s="397" t="s">
        <v>260</v>
      </c>
      <c r="X4" s="397" t="s">
        <v>261</v>
      </c>
      <c r="Y4" s="397" t="s">
        <v>262</v>
      </c>
      <c r="Z4" s="397" t="s">
        <v>263</v>
      </c>
      <c r="AA4" s="397" t="s">
        <v>345</v>
      </c>
      <c r="AB4" s="397" t="s">
        <v>304</v>
      </c>
      <c r="AC4" s="397" t="s">
        <v>305</v>
      </c>
      <c r="AD4" s="397" t="s">
        <v>306</v>
      </c>
      <c r="AE4" s="397" t="s">
        <v>264</v>
      </c>
      <c r="AF4" s="397" t="s">
        <v>265</v>
      </c>
      <c r="AG4" s="397" t="s">
        <v>266</v>
      </c>
      <c r="AH4" s="397" t="s">
        <v>267</v>
      </c>
      <c r="AI4" s="379" t="s">
        <v>268</v>
      </c>
      <c r="AJ4" s="379" t="s">
        <v>277</v>
      </c>
      <c r="AK4" s="379" t="s">
        <v>269</v>
      </c>
      <c r="AL4" s="379" t="s">
        <v>278</v>
      </c>
      <c r="AM4" s="379" t="s">
        <v>270</v>
      </c>
      <c r="AN4" s="467" t="s">
        <v>271</v>
      </c>
      <c r="AO4" s="379" t="s">
        <v>272</v>
      </c>
      <c r="AP4" s="379" t="s">
        <v>273</v>
      </c>
      <c r="AQ4" s="379" t="s">
        <v>274</v>
      </c>
      <c r="AR4" s="379" t="s">
        <v>275</v>
      </c>
      <c r="AS4" s="842" t="s">
        <v>276</v>
      </c>
      <c r="AT4" s="856"/>
    </row>
    <row r="5" spans="1:46" x14ac:dyDescent="0.3">
      <c r="A5" s="380" t="s">
        <v>231</v>
      </c>
      <c r="B5" s="418"/>
      <c r="C5" s="419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  <c r="AD5" s="420"/>
      <c r="AE5" s="420"/>
      <c r="AF5" s="420"/>
      <c r="AG5" s="420"/>
      <c r="AH5" s="420"/>
      <c r="AI5" s="420"/>
      <c r="AJ5" s="420"/>
      <c r="AK5" s="420"/>
      <c r="AL5" s="420"/>
      <c r="AM5" s="420"/>
      <c r="AN5" s="468"/>
      <c r="AO5" s="420"/>
      <c r="AP5" s="420"/>
      <c r="AQ5" s="420"/>
      <c r="AR5" s="420"/>
      <c r="AS5" s="843"/>
      <c r="AT5" s="856"/>
    </row>
    <row r="6" spans="1:46" ht="15" collapsed="1" thickBot="1" x14ac:dyDescent="0.35">
      <c r="A6" s="381" t="s">
        <v>94</v>
      </c>
      <c r="B6" s="421">
        <f xml:space="preserve">
TRUNC(IF($A$4&lt;=12,SUMIFS('ON Data'!F:F,'ON Data'!$D:$D,$A$4,'ON Data'!$E:$E,1),SUMIFS('ON Data'!F:F,'ON Data'!$E:$E,1)/'ON Data'!$D$3),1)</f>
        <v>59.5</v>
      </c>
      <c r="C6" s="422">
        <f xml:space="preserve">
TRUNC(IF($A$4&lt;=12,SUMIFS('ON Data'!G:G,'ON Data'!$D:$D,$A$4,'ON Data'!$E:$E,1),SUMIFS('ON Data'!G:G,'ON Data'!$E:$E,1)/'ON Data'!$D$3),1)</f>
        <v>0</v>
      </c>
      <c r="D6" s="423">
        <f xml:space="preserve">
TRUNC(IF($A$4&lt;=12,SUMIFS('ON Data'!H:H,'ON Data'!$D:$D,$A$4,'ON Data'!$E:$E,1),SUMIFS('ON Data'!H:H,'ON Data'!$E:$E,1)/'ON Data'!$D$3),1)</f>
        <v>0</v>
      </c>
      <c r="E6" s="423">
        <f xml:space="preserve">
TRUNC(IF($A$4&lt;=12,SUMIFS('ON Data'!I:I,'ON Data'!$D:$D,$A$4,'ON Data'!$E:$E,1),SUMIFS('ON Data'!I:I,'ON Data'!$E:$E,1)/'ON Data'!$D$3),1)</f>
        <v>3</v>
      </c>
      <c r="F6" s="423">
        <f xml:space="preserve">
TRUNC(IF($A$4&lt;=12,SUMIFS('ON Data'!J:J,'ON Data'!$D:$D,$A$4,'ON Data'!$E:$E,1),SUMIFS('ON Data'!J:J,'ON Data'!$E:$E,1)/'ON Data'!$D$3),1)</f>
        <v>1.5</v>
      </c>
      <c r="G6" s="423">
        <f xml:space="preserve">
TRUNC(IF($A$4&lt;=12,SUMIFS('ON Data'!K:K,'ON Data'!$D:$D,$A$4,'ON Data'!$E:$E,1),SUMIFS('ON Data'!K:K,'ON Data'!$E:$E,1)/'ON Data'!$D$3),1)</f>
        <v>0</v>
      </c>
      <c r="H6" s="423">
        <f xml:space="preserve">
TRUNC(IF($A$4&lt;=12,SUMIFS('ON Data'!L:L,'ON Data'!$D:$D,$A$4,'ON Data'!$E:$E,1),SUMIFS('ON Data'!L:L,'ON Data'!$E:$E,1)/'ON Data'!$D$3),1)</f>
        <v>14.5</v>
      </c>
      <c r="I6" s="423">
        <f xml:space="preserve">
TRUNC(IF($A$4&lt;=12,SUMIFS('ON Data'!M:M,'ON Data'!$D:$D,$A$4,'ON Data'!$E:$E,1),SUMIFS('ON Data'!M:M,'ON Data'!$E:$E,1)/'ON Data'!$D$3),1)</f>
        <v>0</v>
      </c>
      <c r="J6" s="423">
        <f xml:space="preserve">
TRUNC(IF($A$4&lt;=12,SUMIFS('ON Data'!N:N,'ON Data'!$D:$D,$A$4,'ON Data'!$E:$E,1),SUMIFS('ON Data'!N:N,'ON Data'!$E:$E,1)/'ON Data'!$D$3),1)</f>
        <v>0</v>
      </c>
      <c r="K6" s="423">
        <f xml:space="preserve">
TRUNC(IF($A$4&lt;=12,SUMIFS('ON Data'!O:O,'ON Data'!$D:$D,$A$4,'ON Data'!$E:$E,1),SUMIFS('ON Data'!O:O,'ON Data'!$E:$E,1)/'ON Data'!$D$3),1)</f>
        <v>0</v>
      </c>
      <c r="L6" s="423">
        <f xml:space="preserve">
TRUNC(IF($A$4&lt;=12,SUMIFS('ON Data'!P:P,'ON Data'!$D:$D,$A$4,'ON Data'!$E:$E,1),SUMIFS('ON Data'!P:P,'ON Data'!$E:$E,1)/'ON Data'!$D$3),1)</f>
        <v>0</v>
      </c>
      <c r="M6" s="423">
        <f xml:space="preserve">
TRUNC(IF($A$4&lt;=12,SUMIFS('ON Data'!Q:Q,'ON Data'!$D:$D,$A$4,'ON Data'!$E:$E,1),SUMIFS('ON Data'!Q:Q,'ON Data'!$E:$E,1)/'ON Data'!$D$3),1)</f>
        <v>11</v>
      </c>
      <c r="N6" s="423">
        <f xml:space="preserve">
TRUNC(IF($A$4&lt;=12,SUMIFS('ON Data'!R:R,'ON Data'!$D:$D,$A$4,'ON Data'!$E:$E,1),SUMIFS('ON Data'!R:R,'ON Data'!$E:$E,1)/'ON Data'!$D$3),1)</f>
        <v>11.5</v>
      </c>
      <c r="O6" s="423">
        <f xml:space="preserve">
TRUNC(IF($A$4&lt;=12,SUMIFS('ON Data'!S:S,'ON Data'!$D:$D,$A$4,'ON Data'!$E:$E,1),SUMIFS('ON Data'!S:S,'ON Data'!$E:$E,1)/'ON Data'!$D$3),1)</f>
        <v>3</v>
      </c>
      <c r="P6" s="423">
        <f xml:space="preserve">
TRUNC(IF($A$4&lt;=12,SUMIFS('ON Data'!T:T,'ON Data'!$D:$D,$A$4,'ON Data'!$E:$E,1),SUMIFS('ON Data'!T:T,'ON Data'!$E:$E,1)/'ON Data'!$D$3),1)</f>
        <v>0</v>
      </c>
      <c r="Q6" s="423">
        <f xml:space="preserve">
TRUNC(IF($A$4&lt;=12,SUMIFS('ON Data'!U:U,'ON Data'!$D:$D,$A$4,'ON Data'!$E:$E,1),SUMIFS('ON Data'!U:U,'ON Data'!$E:$E,1)/'ON Data'!$D$3),1)</f>
        <v>0</v>
      </c>
      <c r="R6" s="423">
        <f xml:space="preserve">
TRUNC(IF($A$4&lt;=12,SUMIFS('ON Data'!V:V,'ON Data'!$D:$D,$A$4,'ON Data'!$E:$E,1),SUMIFS('ON Data'!V:V,'ON Data'!$E:$E,1)/'ON Data'!$D$3),1)</f>
        <v>0</v>
      </c>
      <c r="S6" s="423">
        <f xml:space="preserve">
TRUNC(IF($A$4&lt;=12,SUMIFS('ON Data'!W:W,'ON Data'!$D:$D,$A$4,'ON Data'!$E:$E,1),SUMIFS('ON Data'!W:W,'ON Data'!$E:$E,1)/'ON Data'!$D$3),1)</f>
        <v>0</v>
      </c>
      <c r="T6" s="423">
        <f xml:space="preserve">
TRUNC(IF($A$4&lt;=12,SUMIFS('ON Data'!X:X,'ON Data'!$D:$D,$A$4,'ON Data'!$E:$E,1),SUMIFS('ON Data'!X:X,'ON Data'!$E:$E,1)/'ON Data'!$D$3),1)</f>
        <v>0</v>
      </c>
      <c r="U6" s="423">
        <f xml:space="preserve">
TRUNC(IF($A$4&lt;=12,SUMIFS('ON Data'!Y:Y,'ON Data'!$D:$D,$A$4,'ON Data'!$E:$E,1),SUMIFS('ON Data'!Y:Y,'ON Data'!$E:$E,1)/'ON Data'!$D$3),1)</f>
        <v>0</v>
      </c>
      <c r="V6" s="423">
        <f xml:space="preserve">
TRUNC(IF($A$4&lt;=12,SUMIFS('ON Data'!Z:Z,'ON Data'!$D:$D,$A$4,'ON Data'!$E:$E,1),SUMIFS('ON Data'!Z:Z,'ON Data'!$E:$E,1)/'ON Data'!$D$3),1)</f>
        <v>0</v>
      </c>
      <c r="W6" s="423">
        <f xml:space="preserve">
TRUNC(IF($A$4&lt;=12,SUMIFS('ON Data'!AA:AA,'ON Data'!$D:$D,$A$4,'ON Data'!$E:$E,1),SUMIFS('ON Data'!AA:AA,'ON Data'!$E:$E,1)/'ON Data'!$D$3),1)</f>
        <v>0</v>
      </c>
      <c r="X6" s="423">
        <f xml:space="preserve">
TRUNC(IF($A$4&lt;=12,SUMIFS('ON Data'!AB:AB,'ON Data'!$D:$D,$A$4,'ON Data'!$E:$E,1),SUMIFS('ON Data'!AB:AB,'ON Data'!$E:$E,1)/'ON Data'!$D$3),1)</f>
        <v>0</v>
      </c>
      <c r="Y6" s="423">
        <f xml:space="preserve">
TRUNC(IF($A$4&lt;=12,SUMIFS('ON Data'!AC:AC,'ON Data'!$D:$D,$A$4,'ON Data'!$E:$E,1),SUMIFS('ON Data'!AC:AC,'ON Data'!$E:$E,1)/'ON Data'!$D$3),1)</f>
        <v>0</v>
      </c>
      <c r="Z6" s="423">
        <f xml:space="preserve">
TRUNC(IF($A$4&lt;=12,SUMIFS('ON Data'!AD:AD,'ON Data'!$D:$D,$A$4,'ON Data'!$E:$E,1),SUMIFS('ON Data'!AD:AD,'ON Data'!$E:$E,1)/'ON Data'!$D$3),1)</f>
        <v>0</v>
      </c>
      <c r="AA6" s="423">
        <f xml:space="preserve">
TRUNC(IF($A$4&lt;=12,SUMIFS('ON Data'!AE:AE,'ON Data'!$D:$D,$A$4,'ON Data'!$E:$E,1),SUMIFS('ON Data'!AE:AE,'ON Data'!$E:$E,1)/'ON Data'!$D$3),1)</f>
        <v>0</v>
      </c>
      <c r="AB6" s="423">
        <f xml:space="preserve">
TRUNC(IF($A$4&lt;=12,SUMIFS('ON Data'!AF:AF,'ON Data'!$D:$D,$A$4,'ON Data'!$E:$E,1),SUMIFS('ON Data'!AF:AF,'ON Data'!$E:$E,1)/'ON Data'!$D$3),1)</f>
        <v>0</v>
      </c>
      <c r="AC6" s="423">
        <f xml:space="preserve">
TRUNC(IF($A$4&lt;=12,SUMIFS('ON Data'!AG:AG,'ON Data'!$D:$D,$A$4,'ON Data'!$E:$E,1),SUMIFS('ON Data'!AG:AG,'ON Data'!$E:$E,1)/'ON Data'!$D$3),1)</f>
        <v>0</v>
      </c>
      <c r="AD6" s="423">
        <f xml:space="preserve">
TRUNC(IF($A$4&lt;=12,SUMIFS('ON Data'!AH:AH,'ON Data'!$D:$D,$A$4,'ON Data'!$E:$E,1),SUMIFS('ON Data'!AH:AH,'ON Data'!$E:$E,1)/'ON Data'!$D$3),1)</f>
        <v>0</v>
      </c>
      <c r="AE6" s="423">
        <f xml:space="preserve">
TRUNC(IF($A$4&lt;=12,SUMIFS('ON Data'!AI:AI,'ON Data'!$D:$D,$A$4,'ON Data'!$E:$E,1),SUMIFS('ON Data'!AI:AI,'ON Data'!$E:$E,1)/'ON Data'!$D$3),1)</f>
        <v>0</v>
      </c>
      <c r="AF6" s="423">
        <f xml:space="preserve">
TRUNC(IF($A$4&lt;=12,SUMIFS('ON Data'!AJ:AJ,'ON Data'!$D:$D,$A$4,'ON Data'!$E:$E,1),SUMIFS('ON Data'!AJ:AJ,'ON Data'!$E:$E,1)/'ON Data'!$D$3),1)</f>
        <v>0</v>
      </c>
      <c r="AG6" s="423">
        <f xml:space="preserve">
TRUNC(IF($A$4&lt;=12,SUMIFS('ON Data'!AK:AK,'ON Data'!$D:$D,$A$4,'ON Data'!$E:$E,1),SUMIFS('ON Data'!AK:AK,'ON Data'!$E:$E,1)/'ON Data'!$D$3),1)</f>
        <v>0</v>
      </c>
      <c r="AH6" s="423">
        <f xml:space="preserve">
TRUNC(IF($A$4&lt;=12,SUMIFS('ON Data'!AL:AL,'ON Data'!$D:$D,$A$4,'ON Data'!$E:$E,1),SUMIFS('ON Data'!AL:AL,'ON Data'!$E:$E,1)/'ON Data'!$D$3),1)</f>
        <v>0</v>
      </c>
      <c r="AI6" s="423">
        <f xml:space="preserve">
TRUNC(IF($A$4&lt;=12,SUMIFS('ON Data'!AM:AM,'ON Data'!$D:$D,$A$4,'ON Data'!$E:$E,1),SUMIFS('ON Data'!AM:AM,'ON Data'!$E:$E,1)/'ON Data'!$D$3),1)</f>
        <v>0</v>
      </c>
      <c r="AJ6" s="423">
        <f xml:space="preserve">
TRUNC(IF($A$4&lt;=12,SUMIFS('ON Data'!AN:AN,'ON Data'!$D:$D,$A$4,'ON Data'!$E:$E,1),SUMIFS('ON Data'!AN:AN,'ON Data'!$E:$E,1)/'ON Data'!$D$3),1)</f>
        <v>0</v>
      </c>
      <c r="AK6" s="423">
        <f xml:space="preserve">
TRUNC(IF($A$4&lt;=12,SUMIFS('ON Data'!AO:AO,'ON Data'!$D:$D,$A$4,'ON Data'!$E:$E,1),SUMIFS('ON Data'!AO:AO,'ON Data'!$E:$E,1)/'ON Data'!$D$3),1)</f>
        <v>0</v>
      </c>
      <c r="AL6" s="423">
        <f xml:space="preserve">
TRUNC(IF($A$4&lt;=12,SUMIFS('ON Data'!AP:AP,'ON Data'!$D:$D,$A$4,'ON Data'!$E:$E,1),SUMIFS('ON Data'!AP:AP,'ON Data'!$E:$E,1)/'ON Data'!$D$3),1)</f>
        <v>0</v>
      </c>
      <c r="AM6" s="423">
        <f xml:space="preserve">
TRUNC(IF($A$4&lt;=12,SUMIFS('ON Data'!AQ:AQ,'ON Data'!$D:$D,$A$4,'ON Data'!$E:$E,1),SUMIFS('ON Data'!AQ:AQ,'ON Data'!$E:$E,1)/'ON Data'!$D$3),1)</f>
        <v>2</v>
      </c>
      <c r="AN6" s="423">
        <f xml:space="preserve">
TRUNC(IF($A$4&lt;=12,SUMIFS('ON Data'!AR:AR,'ON Data'!$D:$D,$A$4,'ON Data'!$E:$E,1),SUMIFS('ON Data'!AR:AR,'ON Data'!$E:$E,1)/'ON Data'!$D$3),1)</f>
        <v>0</v>
      </c>
      <c r="AO6" s="423">
        <f xml:space="preserve">
TRUNC(IF($A$4&lt;=12,SUMIFS('ON Data'!AS:AS,'ON Data'!$D:$D,$A$4,'ON Data'!$E:$E,1),SUMIFS('ON Data'!AS:AS,'ON Data'!$E:$E,1)/'ON Data'!$D$3),1)</f>
        <v>0</v>
      </c>
      <c r="AP6" s="423">
        <f xml:space="preserve">
TRUNC(IF($A$4&lt;=12,SUMIFS('ON Data'!AT:AT,'ON Data'!$D:$D,$A$4,'ON Data'!$E:$E,1),SUMIFS('ON Data'!AT:AT,'ON Data'!$E:$E,1)/'ON Data'!$D$3),1)</f>
        <v>13</v>
      </c>
      <c r="AQ6" s="423">
        <f xml:space="preserve">
TRUNC(IF($A$4&lt;=12,SUMIFS('ON Data'!AU:AU,'ON Data'!$D:$D,$A$4,'ON Data'!$E:$E,1),SUMIFS('ON Data'!AU:AU,'ON Data'!$E:$E,1)/'ON Data'!$D$3),1)</f>
        <v>0</v>
      </c>
      <c r="AR6" s="423">
        <f xml:space="preserve">
TRUNC(IF($A$4&lt;=12,SUMIFS('ON Data'!AV:AV,'ON Data'!$D:$D,$A$4,'ON Data'!$E:$E,1),SUMIFS('ON Data'!AV:AV,'ON Data'!$E:$E,1)/'ON Data'!$D$3),1)</f>
        <v>0</v>
      </c>
      <c r="AS6" s="844">
        <f xml:space="preserve">
TRUNC(IF($A$4&lt;=12,SUMIFS('ON Data'!AW:AW,'ON Data'!$D:$D,$A$4,'ON Data'!$E:$E,1),SUMIFS('ON Data'!AW:AW,'ON Data'!$E:$E,1)/'ON Data'!$D$3),1)</f>
        <v>0</v>
      </c>
      <c r="AT6" s="856"/>
    </row>
    <row r="7" spans="1:46" ht="15" hidden="1" outlineLevel="1" thickBot="1" x14ac:dyDescent="0.35">
      <c r="A7" s="381" t="s">
        <v>131</v>
      </c>
      <c r="B7" s="421"/>
      <c r="C7" s="424"/>
      <c r="D7" s="423"/>
      <c r="E7" s="423"/>
      <c r="F7" s="423"/>
      <c r="G7" s="423"/>
      <c r="H7" s="423"/>
      <c r="I7" s="423"/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3"/>
      <c r="V7" s="423"/>
      <c r="W7" s="423"/>
      <c r="X7" s="423"/>
      <c r="Y7" s="423"/>
      <c r="Z7" s="423"/>
      <c r="AA7" s="423"/>
      <c r="AB7" s="423"/>
      <c r="AC7" s="423"/>
      <c r="AD7" s="423"/>
      <c r="AE7" s="423"/>
      <c r="AF7" s="423"/>
      <c r="AG7" s="423"/>
      <c r="AH7" s="423"/>
      <c r="AI7" s="423"/>
      <c r="AJ7" s="423"/>
      <c r="AK7" s="423"/>
      <c r="AL7" s="423"/>
      <c r="AM7" s="423"/>
      <c r="AN7" s="424"/>
      <c r="AO7" s="423"/>
      <c r="AP7" s="423"/>
      <c r="AQ7" s="423"/>
      <c r="AR7" s="423"/>
      <c r="AS7" s="844"/>
      <c r="AT7" s="856"/>
    </row>
    <row r="8" spans="1:46" ht="15" hidden="1" outlineLevel="1" thickBot="1" x14ac:dyDescent="0.35">
      <c r="A8" s="381" t="s">
        <v>96</v>
      </c>
      <c r="B8" s="421"/>
      <c r="C8" s="424"/>
      <c r="D8" s="423"/>
      <c r="E8" s="423"/>
      <c r="F8" s="423"/>
      <c r="G8" s="423"/>
      <c r="H8" s="423"/>
      <c r="I8" s="423"/>
      <c r="J8" s="423"/>
      <c r="K8" s="423"/>
      <c r="L8" s="423"/>
      <c r="M8" s="423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3"/>
      <c r="Y8" s="423"/>
      <c r="Z8" s="423"/>
      <c r="AA8" s="423"/>
      <c r="AB8" s="423"/>
      <c r="AC8" s="423"/>
      <c r="AD8" s="423"/>
      <c r="AE8" s="423"/>
      <c r="AF8" s="423"/>
      <c r="AG8" s="423"/>
      <c r="AH8" s="423"/>
      <c r="AI8" s="423"/>
      <c r="AJ8" s="423"/>
      <c r="AK8" s="423"/>
      <c r="AL8" s="423"/>
      <c r="AM8" s="423"/>
      <c r="AN8" s="424"/>
      <c r="AO8" s="423"/>
      <c r="AP8" s="423"/>
      <c r="AQ8" s="423"/>
      <c r="AR8" s="423"/>
      <c r="AS8" s="844"/>
      <c r="AT8" s="856"/>
    </row>
    <row r="9" spans="1:46" ht="15" hidden="1" outlineLevel="1" thickBot="1" x14ac:dyDescent="0.35">
      <c r="A9" s="382" t="s">
        <v>69</v>
      </c>
      <c r="B9" s="425"/>
      <c r="C9" s="426"/>
      <c r="D9" s="427"/>
      <c r="E9" s="427"/>
      <c r="F9" s="427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27"/>
      <c r="R9" s="427"/>
      <c r="S9" s="427"/>
      <c r="T9" s="427"/>
      <c r="U9" s="427"/>
      <c r="V9" s="427"/>
      <c r="W9" s="427"/>
      <c r="X9" s="427"/>
      <c r="Y9" s="427"/>
      <c r="Z9" s="427"/>
      <c r="AA9" s="427"/>
      <c r="AB9" s="427"/>
      <c r="AC9" s="427"/>
      <c r="AD9" s="427"/>
      <c r="AE9" s="427"/>
      <c r="AF9" s="427"/>
      <c r="AG9" s="427"/>
      <c r="AH9" s="427"/>
      <c r="AI9" s="427"/>
      <c r="AJ9" s="427"/>
      <c r="AK9" s="427"/>
      <c r="AL9" s="427"/>
      <c r="AM9" s="427"/>
      <c r="AN9" s="426"/>
      <c r="AO9" s="427"/>
      <c r="AP9" s="427"/>
      <c r="AQ9" s="427"/>
      <c r="AR9" s="427"/>
      <c r="AS9" s="845"/>
      <c r="AT9" s="856"/>
    </row>
    <row r="10" spans="1:46" x14ac:dyDescent="0.3">
      <c r="A10" s="383" t="s">
        <v>232</v>
      </c>
      <c r="B10" s="398"/>
      <c r="C10" s="399"/>
      <c r="D10" s="400"/>
      <c r="E10" s="400"/>
      <c r="F10" s="400"/>
      <c r="G10" s="400"/>
      <c r="H10" s="400"/>
      <c r="I10" s="400"/>
      <c r="J10" s="400"/>
      <c r="K10" s="400"/>
      <c r="L10" s="400"/>
      <c r="M10" s="400"/>
      <c r="N10" s="400"/>
      <c r="O10" s="400"/>
      <c r="P10" s="400"/>
      <c r="Q10" s="400"/>
      <c r="R10" s="400"/>
      <c r="S10" s="400"/>
      <c r="T10" s="400"/>
      <c r="U10" s="400"/>
      <c r="V10" s="400"/>
      <c r="W10" s="400"/>
      <c r="X10" s="400"/>
      <c r="Y10" s="400"/>
      <c r="Z10" s="400"/>
      <c r="AA10" s="400"/>
      <c r="AB10" s="400"/>
      <c r="AC10" s="400"/>
      <c r="AD10" s="400"/>
      <c r="AE10" s="400"/>
      <c r="AF10" s="400"/>
      <c r="AG10" s="400"/>
      <c r="AH10" s="400"/>
      <c r="AI10" s="400"/>
      <c r="AJ10" s="400"/>
      <c r="AK10" s="400"/>
      <c r="AL10" s="400"/>
      <c r="AM10" s="400"/>
      <c r="AN10" s="469"/>
      <c r="AO10" s="400"/>
      <c r="AP10" s="400"/>
      <c r="AQ10" s="400"/>
      <c r="AR10" s="400"/>
      <c r="AS10" s="846"/>
      <c r="AT10" s="856"/>
    </row>
    <row r="11" spans="1:46" x14ac:dyDescent="0.3">
      <c r="A11" s="384" t="s">
        <v>233</v>
      </c>
      <c r="B11" s="401">
        <f xml:space="preserve">
IF($A$4&lt;=12,SUMIFS('ON Data'!F:F,'ON Data'!$D:$D,$A$4,'ON Data'!$E:$E,2),SUMIFS('ON Data'!F:F,'ON Data'!$E:$E,2))</f>
        <v>17532.5</v>
      </c>
      <c r="C11" s="402">
        <f xml:space="preserve">
IF($A$4&lt;=12,SUMIFS('ON Data'!G:G,'ON Data'!$D:$D,$A$4,'ON Data'!$E:$E,2),SUMIFS('ON Data'!G:G,'ON Data'!$E:$E,2))</f>
        <v>0</v>
      </c>
      <c r="D11" s="403">
        <f xml:space="preserve">
IF($A$4&lt;=12,SUMIFS('ON Data'!H:H,'ON Data'!$D:$D,$A$4,'ON Data'!$E:$E,2),SUMIFS('ON Data'!H:H,'ON Data'!$E:$E,2))</f>
        <v>0</v>
      </c>
      <c r="E11" s="403"/>
      <c r="F11" s="403">
        <f xml:space="preserve">
IF($A$4&lt;=12,SUMIFS('ON Data'!J:J,'ON Data'!$D:$D,$A$4,'ON Data'!$E:$E,2),SUMIFS('ON Data'!J:J,'ON Data'!$E:$E,2))</f>
        <v>472</v>
      </c>
      <c r="G11" s="403">
        <f xml:space="preserve">
IF($A$4&lt;=12,SUMIFS('ON Data'!K:K,'ON Data'!$D:$D,$A$4,'ON Data'!$E:$E,2),SUMIFS('ON Data'!K:K,'ON Data'!$E:$E,2))</f>
        <v>0</v>
      </c>
      <c r="H11" s="403">
        <f xml:space="preserve">
IF($A$4&lt;=12,SUMIFS('ON Data'!L:L,'ON Data'!$D:$D,$A$4,'ON Data'!$E:$E,2),SUMIFS('ON Data'!L:L,'ON Data'!$E:$E,2))</f>
        <v>4432</v>
      </c>
      <c r="I11" s="403">
        <f xml:space="preserve">
IF($A$4&lt;=12,SUMIFS('ON Data'!M:M,'ON Data'!$D:$D,$A$4,'ON Data'!$E:$E,2),SUMIFS('ON Data'!M:M,'ON Data'!$E:$E,2))</f>
        <v>0</v>
      </c>
      <c r="J11" s="403">
        <f xml:space="preserve">
IF($A$4&lt;=12,SUMIFS('ON Data'!N:N,'ON Data'!$D:$D,$A$4,'ON Data'!$E:$E,2),SUMIFS('ON Data'!N:N,'ON Data'!$E:$E,2))</f>
        <v>0</v>
      </c>
      <c r="K11" s="403">
        <f xml:space="preserve">
IF($A$4&lt;=12,SUMIFS('ON Data'!O:O,'ON Data'!$D:$D,$A$4,'ON Data'!$E:$E,2),SUMIFS('ON Data'!O:O,'ON Data'!$E:$E,2))</f>
        <v>0</v>
      </c>
      <c r="L11" s="403">
        <f xml:space="preserve">
IF($A$4&lt;=12,SUMIFS('ON Data'!P:P,'ON Data'!$D:$D,$A$4,'ON Data'!$E:$E,2),SUMIFS('ON Data'!P:P,'ON Data'!$E:$E,2))</f>
        <v>0</v>
      </c>
      <c r="M11" s="403">
        <f xml:space="preserve">
IF($A$4&lt;=12,SUMIFS('ON Data'!Q:Q,'ON Data'!$D:$D,$A$4,'ON Data'!$E:$E,2),SUMIFS('ON Data'!Q:Q,'ON Data'!$E:$E,2))</f>
        <v>2967.5</v>
      </c>
      <c r="N11" s="403">
        <f xml:space="preserve">
IF($A$4&lt;=12,SUMIFS('ON Data'!R:R,'ON Data'!$D:$D,$A$4,'ON Data'!$E:$E,2),SUMIFS('ON Data'!R:R,'ON Data'!$E:$E,2))</f>
        <v>3192</v>
      </c>
      <c r="O11" s="403">
        <f xml:space="preserve">
IF($A$4&lt;=12,SUMIFS('ON Data'!S:S,'ON Data'!$D:$D,$A$4,'ON Data'!$E:$E,2),SUMIFS('ON Data'!S:S,'ON Data'!$E:$E,2))</f>
        <v>968.5</v>
      </c>
      <c r="P11" s="403">
        <f xml:space="preserve">
IF($A$4&lt;=12,SUMIFS('ON Data'!T:T,'ON Data'!$D:$D,$A$4,'ON Data'!$E:$E,2),SUMIFS('ON Data'!T:T,'ON Data'!$E:$E,2))</f>
        <v>0</v>
      </c>
      <c r="Q11" s="403">
        <f xml:space="preserve">
IF($A$4&lt;=12,SUMIFS('ON Data'!U:U,'ON Data'!$D:$D,$A$4,'ON Data'!$E:$E,2),SUMIFS('ON Data'!U:U,'ON Data'!$E:$E,2))</f>
        <v>0</v>
      </c>
      <c r="R11" s="403">
        <f xml:space="preserve">
IF($A$4&lt;=12,SUMIFS('ON Data'!V:V,'ON Data'!$D:$D,$A$4,'ON Data'!$E:$E,2),SUMIFS('ON Data'!V:V,'ON Data'!$E:$E,2))</f>
        <v>0</v>
      </c>
      <c r="S11" s="403">
        <f xml:space="preserve">
IF($A$4&lt;=12,SUMIFS('ON Data'!W:W,'ON Data'!$D:$D,$A$4,'ON Data'!$E:$E,2),SUMIFS('ON Data'!W:W,'ON Data'!$E:$E,2))</f>
        <v>0</v>
      </c>
      <c r="T11" s="403">
        <f xml:space="preserve">
IF($A$4&lt;=12,SUMIFS('ON Data'!X:X,'ON Data'!$D:$D,$A$4,'ON Data'!$E:$E,2),SUMIFS('ON Data'!X:X,'ON Data'!$E:$E,2))</f>
        <v>0</v>
      </c>
      <c r="U11" s="403">
        <f xml:space="preserve">
IF($A$4&lt;=12,SUMIFS('ON Data'!Y:Y,'ON Data'!$D:$D,$A$4,'ON Data'!$E:$E,2),SUMIFS('ON Data'!Y:Y,'ON Data'!$E:$E,2))</f>
        <v>0</v>
      </c>
      <c r="V11" s="403">
        <f xml:space="preserve">
IF($A$4&lt;=12,SUMIFS('ON Data'!Z:Z,'ON Data'!$D:$D,$A$4,'ON Data'!$E:$E,2),SUMIFS('ON Data'!Z:Z,'ON Data'!$E:$E,2))</f>
        <v>0</v>
      </c>
      <c r="W11" s="403">
        <f xml:space="preserve">
IF($A$4&lt;=12,SUMIFS('ON Data'!AA:AA,'ON Data'!$D:$D,$A$4,'ON Data'!$E:$E,2),SUMIFS('ON Data'!AA:AA,'ON Data'!$E:$E,2))</f>
        <v>0</v>
      </c>
      <c r="X11" s="403">
        <f xml:space="preserve">
IF($A$4&lt;=12,SUMIFS('ON Data'!AB:AB,'ON Data'!$D:$D,$A$4,'ON Data'!$E:$E,2),SUMIFS('ON Data'!AB:AB,'ON Data'!$E:$E,2))</f>
        <v>0</v>
      </c>
      <c r="Y11" s="403">
        <f xml:space="preserve">
IF($A$4&lt;=12,SUMIFS('ON Data'!AC:AC,'ON Data'!$D:$D,$A$4,'ON Data'!$E:$E,2),SUMIFS('ON Data'!AC:AC,'ON Data'!$E:$E,2))</f>
        <v>0</v>
      </c>
      <c r="Z11" s="403">
        <f xml:space="preserve">
IF($A$4&lt;=12,SUMIFS('ON Data'!AD:AD,'ON Data'!$D:$D,$A$4,'ON Data'!$E:$E,2),SUMIFS('ON Data'!AD:AD,'ON Data'!$E:$E,2))</f>
        <v>0</v>
      </c>
      <c r="AA11" s="403"/>
      <c r="AB11" s="403">
        <f xml:space="preserve">
IF($A$4&lt;=12,SUMIFS('ON Data'!AF:AF,'ON Data'!$D:$D,$A$4,'ON Data'!$E:$E,2),SUMIFS('ON Data'!AF:AF,'ON Data'!$E:$E,2))</f>
        <v>0</v>
      </c>
      <c r="AC11" s="403">
        <f xml:space="preserve">
IF($A$4&lt;=12,SUMIFS('ON Data'!AG:AG,'ON Data'!$D:$D,$A$4,'ON Data'!$E:$E,2),SUMIFS('ON Data'!AG:AG,'ON Data'!$E:$E,2))</f>
        <v>0</v>
      </c>
      <c r="AD11" s="403">
        <f xml:space="preserve">
IF($A$4&lt;=12,SUMIFS('ON Data'!AH:AH,'ON Data'!$D:$D,$A$4,'ON Data'!$E:$E,2),SUMIFS('ON Data'!AH:AH,'ON Data'!$E:$E,2))</f>
        <v>0</v>
      </c>
      <c r="AE11" s="403">
        <f xml:space="preserve">
IF($A$4&lt;=12,SUMIFS('ON Data'!AI:AI,'ON Data'!$D:$D,$A$4,'ON Data'!$E:$E,2),SUMIFS('ON Data'!AI:AI,'ON Data'!$E:$E,2))</f>
        <v>0</v>
      </c>
      <c r="AF11" s="403">
        <f xml:space="preserve">
IF($A$4&lt;=12,SUMIFS('ON Data'!AJ:AJ,'ON Data'!$D:$D,$A$4,'ON Data'!$E:$E,2),SUMIFS('ON Data'!AJ:AJ,'ON Data'!$E:$E,2))</f>
        <v>0</v>
      </c>
      <c r="AG11" s="403">
        <f xml:space="preserve">
IF($A$4&lt;=12,SUMIFS('ON Data'!AK:AK,'ON Data'!$D:$D,$A$4,'ON Data'!$E:$E,2),SUMIFS('ON Data'!AK:AK,'ON Data'!$E:$E,2))</f>
        <v>0</v>
      </c>
      <c r="AH11" s="403">
        <f xml:space="preserve">
IF($A$4&lt;=12,SUMIFS('ON Data'!AL:AL,'ON Data'!$D:$D,$A$4,'ON Data'!$E:$E,2),SUMIFS('ON Data'!AL:AL,'ON Data'!$E:$E,2))</f>
        <v>0</v>
      </c>
      <c r="AI11" s="403">
        <f xml:space="preserve">
IF($A$4&lt;=12,SUMIFS('ON Data'!AM:AM,'ON Data'!$D:$D,$A$4,'ON Data'!$E:$E,2),SUMIFS('ON Data'!AM:AM,'ON Data'!$E:$E,2))</f>
        <v>0</v>
      </c>
      <c r="AJ11" s="403">
        <f xml:space="preserve">
IF($A$4&lt;=12,SUMIFS('ON Data'!AN:AN,'ON Data'!$D:$D,$A$4,'ON Data'!$E:$E,2),SUMIFS('ON Data'!AN:AN,'ON Data'!$E:$E,2))</f>
        <v>0</v>
      </c>
      <c r="AK11" s="403">
        <f xml:space="preserve">
IF($A$4&lt;=12,SUMIFS('ON Data'!AO:AO,'ON Data'!$D:$D,$A$4,'ON Data'!$E:$E,2),SUMIFS('ON Data'!AO:AO,'ON Data'!$E:$E,2))</f>
        <v>0</v>
      </c>
      <c r="AL11" s="403">
        <f xml:space="preserve">
IF($A$4&lt;=12,SUMIFS('ON Data'!AP:AP,'ON Data'!$D:$D,$A$4,'ON Data'!$E:$E,2),SUMIFS('ON Data'!AP:AP,'ON Data'!$E:$E,2))</f>
        <v>0</v>
      </c>
      <c r="AM11" s="403">
        <f xml:space="preserve">
IF($A$4&lt;=12,SUMIFS('ON Data'!AQ:AQ,'ON Data'!$D:$D,$A$4,'ON Data'!$E:$E,2),SUMIFS('ON Data'!AQ:AQ,'ON Data'!$E:$E,2))</f>
        <v>648</v>
      </c>
      <c r="AN11" s="402">
        <f xml:space="preserve">
IF($A$4&lt;=12,SUMIFS('ON Data'!AR:AR,'ON Data'!$D:$D,$A$4,'ON Data'!$E:$E,2),SUMIFS('ON Data'!AR:AR,'ON Data'!$E:$E,2))</f>
        <v>0</v>
      </c>
      <c r="AO11" s="403">
        <f xml:space="preserve">
IF($A$4&lt;=12,SUMIFS('ON Data'!AS:AS,'ON Data'!$D:$D,$A$4,'ON Data'!$E:$E,2),SUMIFS('ON Data'!AS:AS,'ON Data'!$E:$E,2))</f>
        <v>0</v>
      </c>
      <c r="AP11" s="403">
        <f xml:space="preserve">
IF($A$4&lt;=12,SUMIFS('ON Data'!AT:AT,'ON Data'!$D:$D,$A$4,'ON Data'!$E:$E,2),SUMIFS('ON Data'!AT:AT,'ON Data'!$E:$E,2))</f>
        <v>3916.5</v>
      </c>
      <c r="AQ11" s="403">
        <f xml:space="preserve">
IF($A$4&lt;=12,SUMIFS('ON Data'!AU:AU,'ON Data'!$D:$D,$A$4,'ON Data'!$E:$E,2),SUMIFS('ON Data'!AU:AU,'ON Data'!$E:$E,2))</f>
        <v>0</v>
      </c>
      <c r="AR11" s="403">
        <f xml:space="preserve">
IF($A$4&lt;=12,SUMIFS('ON Data'!AV:AV,'ON Data'!$D:$D,$A$4,'ON Data'!$E:$E,2),SUMIFS('ON Data'!AV:AV,'ON Data'!$E:$E,2))</f>
        <v>0</v>
      </c>
      <c r="AS11" s="847">
        <f xml:space="preserve">
IF($A$4&lt;=12,SUMIFS('ON Data'!AW:AW,'ON Data'!$D:$D,$A$4,'ON Data'!$E:$E,2),SUMIFS('ON Data'!AW:AW,'ON Data'!$E:$E,2))</f>
        <v>0</v>
      </c>
      <c r="AT11" s="856"/>
    </row>
    <row r="12" spans="1:46" x14ac:dyDescent="0.3">
      <c r="A12" s="384" t="s">
        <v>234</v>
      </c>
      <c r="B12" s="401">
        <f xml:space="preserve">
IF($A$4&lt;=12,SUMIFS('ON Data'!F:F,'ON Data'!$D:$D,$A$4,'ON Data'!$E:$E,3),SUMIFS('ON Data'!F:F,'ON Data'!$E:$E,3))</f>
        <v>42</v>
      </c>
      <c r="C12" s="402">
        <f xml:space="preserve">
IF($A$4&lt;=12,SUMIFS('ON Data'!G:G,'ON Data'!$D:$D,$A$4,'ON Data'!$E:$E,3),SUMIFS('ON Data'!G:G,'ON Data'!$E:$E,3))</f>
        <v>0</v>
      </c>
      <c r="D12" s="403">
        <f xml:space="preserve">
IF($A$4&lt;=12,SUMIFS('ON Data'!H:H,'ON Data'!$D:$D,$A$4,'ON Data'!$E:$E,3),SUMIFS('ON Data'!H:H,'ON Data'!$E:$E,3))</f>
        <v>0</v>
      </c>
      <c r="E12" s="403"/>
      <c r="F12" s="403">
        <f xml:space="preserve">
IF($A$4&lt;=12,SUMIFS('ON Data'!J:J,'ON Data'!$D:$D,$A$4,'ON Data'!$E:$E,3),SUMIFS('ON Data'!J:J,'ON Data'!$E:$E,3))</f>
        <v>42</v>
      </c>
      <c r="G12" s="403">
        <f xml:space="preserve">
IF($A$4&lt;=12,SUMIFS('ON Data'!K:K,'ON Data'!$D:$D,$A$4,'ON Data'!$E:$E,3),SUMIFS('ON Data'!K:K,'ON Data'!$E:$E,3))</f>
        <v>0</v>
      </c>
      <c r="H12" s="403">
        <f xml:space="preserve">
IF($A$4&lt;=12,SUMIFS('ON Data'!L:L,'ON Data'!$D:$D,$A$4,'ON Data'!$E:$E,3),SUMIFS('ON Data'!L:L,'ON Data'!$E:$E,3))</f>
        <v>0</v>
      </c>
      <c r="I12" s="403">
        <f xml:space="preserve">
IF($A$4&lt;=12,SUMIFS('ON Data'!M:M,'ON Data'!$D:$D,$A$4,'ON Data'!$E:$E,3),SUMIFS('ON Data'!M:M,'ON Data'!$E:$E,3))</f>
        <v>0</v>
      </c>
      <c r="J12" s="403">
        <f xml:space="preserve">
IF($A$4&lt;=12,SUMIFS('ON Data'!N:N,'ON Data'!$D:$D,$A$4,'ON Data'!$E:$E,3),SUMIFS('ON Data'!N:N,'ON Data'!$E:$E,3))</f>
        <v>0</v>
      </c>
      <c r="K12" s="403">
        <f xml:space="preserve">
IF($A$4&lt;=12,SUMIFS('ON Data'!O:O,'ON Data'!$D:$D,$A$4,'ON Data'!$E:$E,3),SUMIFS('ON Data'!O:O,'ON Data'!$E:$E,3))</f>
        <v>0</v>
      </c>
      <c r="L12" s="403">
        <f xml:space="preserve">
IF($A$4&lt;=12,SUMIFS('ON Data'!P:P,'ON Data'!$D:$D,$A$4,'ON Data'!$E:$E,3),SUMIFS('ON Data'!P:P,'ON Data'!$E:$E,3))</f>
        <v>0</v>
      </c>
      <c r="M12" s="403">
        <f xml:space="preserve">
IF($A$4&lt;=12,SUMIFS('ON Data'!Q:Q,'ON Data'!$D:$D,$A$4,'ON Data'!$E:$E,3),SUMIFS('ON Data'!Q:Q,'ON Data'!$E:$E,3))</f>
        <v>0</v>
      </c>
      <c r="N12" s="403">
        <f xml:space="preserve">
IF($A$4&lt;=12,SUMIFS('ON Data'!R:R,'ON Data'!$D:$D,$A$4,'ON Data'!$E:$E,3),SUMIFS('ON Data'!R:R,'ON Data'!$E:$E,3))</f>
        <v>0</v>
      </c>
      <c r="O12" s="403">
        <f xml:space="preserve">
IF($A$4&lt;=12,SUMIFS('ON Data'!S:S,'ON Data'!$D:$D,$A$4,'ON Data'!$E:$E,3),SUMIFS('ON Data'!S:S,'ON Data'!$E:$E,3))</f>
        <v>0</v>
      </c>
      <c r="P12" s="403">
        <f xml:space="preserve">
IF($A$4&lt;=12,SUMIFS('ON Data'!T:T,'ON Data'!$D:$D,$A$4,'ON Data'!$E:$E,3),SUMIFS('ON Data'!T:T,'ON Data'!$E:$E,3))</f>
        <v>0</v>
      </c>
      <c r="Q12" s="403">
        <f xml:space="preserve">
IF($A$4&lt;=12,SUMIFS('ON Data'!U:U,'ON Data'!$D:$D,$A$4,'ON Data'!$E:$E,3),SUMIFS('ON Data'!U:U,'ON Data'!$E:$E,3))</f>
        <v>0</v>
      </c>
      <c r="R12" s="403">
        <f xml:space="preserve">
IF($A$4&lt;=12,SUMIFS('ON Data'!V:V,'ON Data'!$D:$D,$A$4,'ON Data'!$E:$E,3),SUMIFS('ON Data'!V:V,'ON Data'!$E:$E,3))</f>
        <v>0</v>
      </c>
      <c r="S12" s="403">
        <f xml:space="preserve">
IF($A$4&lt;=12,SUMIFS('ON Data'!W:W,'ON Data'!$D:$D,$A$4,'ON Data'!$E:$E,3),SUMIFS('ON Data'!W:W,'ON Data'!$E:$E,3))</f>
        <v>0</v>
      </c>
      <c r="T12" s="403">
        <f xml:space="preserve">
IF($A$4&lt;=12,SUMIFS('ON Data'!X:X,'ON Data'!$D:$D,$A$4,'ON Data'!$E:$E,3),SUMIFS('ON Data'!X:X,'ON Data'!$E:$E,3))</f>
        <v>0</v>
      </c>
      <c r="U12" s="403">
        <f xml:space="preserve">
IF($A$4&lt;=12,SUMIFS('ON Data'!Y:Y,'ON Data'!$D:$D,$A$4,'ON Data'!$E:$E,3),SUMIFS('ON Data'!Y:Y,'ON Data'!$E:$E,3))</f>
        <v>0</v>
      </c>
      <c r="V12" s="403">
        <f xml:space="preserve">
IF($A$4&lt;=12,SUMIFS('ON Data'!Z:Z,'ON Data'!$D:$D,$A$4,'ON Data'!$E:$E,3),SUMIFS('ON Data'!Z:Z,'ON Data'!$E:$E,3))</f>
        <v>0</v>
      </c>
      <c r="W12" s="403">
        <f xml:space="preserve">
IF($A$4&lt;=12,SUMIFS('ON Data'!AA:AA,'ON Data'!$D:$D,$A$4,'ON Data'!$E:$E,3),SUMIFS('ON Data'!AA:AA,'ON Data'!$E:$E,3))</f>
        <v>0</v>
      </c>
      <c r="X12" s="403">
        <f xml:space="preserve">
IF($A$4&lt;=12,SUMIFS('ON Data'!AB:AB,'ON Data'!$D:$D,$A$4,'ON Data'!$E:$E,3),SUMIFS('ON Data'!AB:AB,'ON Data'!$E:$E,3))</f>
        <v>0</v>
      </c>
      <c r="Y12" s="403">
        <f xml:space="preserve">
IF($A$4&lt;=12,SUMIFS('ON Data'!AC:AC,'ON Data'!$D:$D,$A$4,'ON Data'!$E:$E,3),SUMIFS('ON Data'!AC:AC,'ON Data'!$E:$E,3))</f>
        <v>0</v>
      </c>
      <c r="Z12" s="403">
        <f xml:space="preserve">
IF($A$4&lt;=12,SUMIFS('ON Data'!AD:AD,'ON Data'!$D:$D,$A$4,'ON Data'!$E:$E,3),SUMIFS('ON Data'!AD:AD,'ON Data'!$E:$E,3))</f>
        <v>0</v>
      </c>
      <c r="AA12" s="403"/>
      <c r="AB12" s="403">
        <f xml:space="preserve">
IF($A$4&lt;=12,SUMIFS('ON Data'!AF:AF,'ON Data'!$D:$D,$A$4,'ON Data'!$E:$E,3),SUMIFS('ON Data'!AF:AF,'ON Data'!$E:$E,3))</f>
        <v>0</v>
      </c>
      <c r="AC12" s="403">
        <f xml:space="preserve">
IF($A$4&lt;=12,SUMIFS('ON Data'!AG:AG,'ON Data'!$D:$D,$A$4,'ON Data'!$E:$E,3),SUMIFS('ON Data'!AG:AG,'ON Data'!$E:$E,3))</f>
        <v>0</v>
      </c>
      <c r="AD12" s="403">
        <f xml:space="preserve">
IF($A$4&lt;=12,SUMIFS('ON Data'!AH:AH,'ON Data'!$D:$D,$A$4,'ON Data'!$E:$E,3),SUMIFS('ON Data'!AH:AH,'ON Data'!$E:$E,3))</f>
        <v>0</v>
      </c>
      <c r="AE12" s="403">
        <f xml:space="preserve">
IF($A$4&lt;=12,SUMIFS('ON Data'!AI:AI,'ON Data'!$D:$D,$A$4,'ON Data'!$E:$E,3),SUMIFS('ON Data'!AI:AI,'ON Data'!$E:$E,3))</f>
        <v>0</v>
      </c>
      <c r="AF12" s="403">
        <f xml:space="preserve">
IF($A$4&lt;=12,SUMIFS('ON Data'!AJ:AJ,'ON Data'!$D:$D,$A$4,'ON Data'!$E:$E,3),SUMIFS('ON Data'!AJ:AJ,'ON Data'!$E:$E,3))</f>
        <v>0</v>
      </c>
      <c r="AG12" s="403">
        <f xml:space="preserve">
IF($A$4&lt;=12,SUMIFS('ON Data'!AK:AK,'ON Data'!$D:$D,$A$4,'ON Data'!$E:$E,3),SUMIFS('ON Data'!AK:AK,'ON Data'!$E:$E,3))</f>
        <v>0</v>
      </c>
      <c r="AH12" s="403">
        <f xml:space="preserve">
IF($A$4&lt;=12,SUMIFS('ON Data'!AL:AL,'ON Data'!$D:$D,$A$4,'ON Data'!$E:$E,3),SUMIFS('ON Data'!AL:AL,'ON Data'!$E:$E,3))</f>
        <v>0</v>
      </c>
      <c r="AI12" s="403">
        <f xml:space="preserve">
IF($A$4&lt;=12,SUMIFS('ON Data'!AM:AM,'ON Data'!$D:$D,$A$4,'ON Data'!$E:$E,3),SUMIFS('ON Data'!AM:AM,'ON Data'!$E:$E,3))</f>
        <v>0</v>
      </c>
      <c r="AJ12" s="403">
        <f xml:space="preserve">
IF($A$4&lt;=12,SUMIFS('ON Data'!AN:AN,'ON Data'!$D:$D,$A$4,'ON Data'!$E:$E,3),SUMIFS('ON Data'!AN:AN,'ON Data'!$E:$E,3))</f>
        <v>0</v>
      </c>
      <c r="AK12" s="403">
        <f xml:space="preserve">
IF($A$4&lt;=12,SUMIFS('ON Data'!AO:AO,'ON Data'!$D:$D,$A$4,'ON Data'!$E:$E,3),SUMIFS('ON Data'!AO:AO,'ON Data'!$E:$E,3))</f>
        <v>0</v>
      </c>
      <c r="AL12" s="403">
        <f xml:space="preserve">
IF($A$4&lt;=12,SUMIFS('ON Data'!AP:AP,'ON Data'!$D:$D,$A$4,'ON Data'!$E:$E,3),SUMIFS('ON Data'!AP:AP,'ON Data'!$E:$E,3))</f>
        <v>0</v>
      </c>
      <c r="AM12" s="403">
        <f xml:space="preserve">
IF($A$4&lt;=12,SUMIFS('ON Data'!AQ:AQ,'ON Data'!$D:$D,$A$4,'ON Data'!$E:$E,3),SUMIFS('ON Data'!AQ:AQ,'ON Data'!$E:$E,3))</f>
        <v>0</v>
      </c>
      <c r="AN12" s="402">
        <f xml:space="preserve">
IF($A$4&lt;=12,SUMIFS('ON Data'!AR:AR,'ON Data'!$D:$D,$A$4,'ON Data'!$E:$E,3),SUMIFS('ON Data'!AR:AR,'ON Data'!$E:$E,3))</f>
        <v>0</v>
      </c>
      <c r="AO12" s="403">
        <f xml:space="preserve">
IF($A$4&lt;=12,SUMIFS('ON Data'!AS:AS,'ON Data'!$D:$D,$A$4,'ON Data'!$E:$E,3),SUMIFS('ON Data'!AS:AS,'ON Data'!$E:$E,3))</f>
        <v>0</v>
      </c>
      <c r="AP12" s="403">
        <f xml:space="preserve">
IF($A$4&lt;=12,SUMIFS('ON Data'!AT:AT,'ON Data'!$D:$D,$A$4,'ON Data'!$E:$E,3),SUMIFS('ON Data'!AT:AT,'ON Data'!$E:$E,3))</f>
        <v>0</v>
      </c>
      <c r="AQ12" s="403">
        <f xml:space="preserve">
IF($A$4&lt;=12,SUMIFS('ON Data'!AU:AU,'ON Data'!$D:$D,$A$4,'ON Data'!$E:$E,3),SUMIFS('ON Data'!AU:AU,'ON Data'!$E:$E,3))</f>
        <v>0</v>
      </c>
      <c r="AR12" s="403">
        <f xml:space="preserve">
IF($A$4&lt;=12,SUMIFS('ON Data'!AV:AV,'ON Data'!$D:$D,$A$4,'ON Data'!$E:$E,3),SUMIFS('ON Data'!AV:AV,'ON Data'!$E:$E,3))</f>
        <v>0</v>
      </c>
      <c r="AS12" s="847">
        <f xml:space="preserve">
IF($A$4&lt;=12,SUMIFS('ON Data'!AW:AW,'ON Data'!$D:$D,$A$4,'ON Data'!$E:$E,3),SUMIFS('ON Data'!AW:AW,'ON Data'!$E:$E,3))</f>
        <v>0</v>
      </c>
      <c r="AT12" s="856"/>
    </row>
    <row r="13" spans="1:46" x14ac:dyDescent="0.3">
      <c r="A13" s="384" t="s">
        <v>241</v>
      </c>
      <c r="B13" s="401">
        <f xml:space="preserve">
IF($A$4&lt;=12,SUMIFS('ON Data'!F:F,'ON Data'!$D:$D,$A$4,'ON Data'!$E:$E,4),SUMIFS('ON Data'!F:F,'ON Data'!$E:$E,4))</f>
        <v>1184</v>
      </c>
      <c r="C13" s="402">
        <f xml:space="preserve">
IF($A$4&lt;=12,SUMIFS('ON Data'!G:G,'ON Data'!$D:$D,$A$4,'ON Data'!$E:$E,4),SUMIFS('ON Data'!G:G,'ON Data'!$E:$E,4))</f>
        <v>0</v>
      </c>
      <c r="D13" s="403">
        <f xml:space="preserve">
IF($A$4&lt;=12,SUMIFS('ON Data'!H:H,'ON Data'!$D:$D,$A$4,'ON Data'!$E:$E,4),SUMIFS('ON Data'!H:H,'ON Data'!$E:$E,4))</f>
        <v>0</v>
      </c>
      <c r="E13" s="403"/>
      <c r="F13" s="403">
        <f xml:space="preserve">
IF($A$4&lt;=12,SUMIFS('ON Data'!J:J,'ON Data'!$D:$D,$A$4,'ON Data'!$E:$E,4),SUMIFS('ON Data'!J:J,'ON Data'!$E:$E,4))</f>
        <v>174</v>
      </c>
      <c r="G13" s="403">
        <f xml:space="preserve">
IF($A$4&lt;=12,SUMIFS('ON Data'!K:K,'ON Data'!$D:$D,$A$4,'ON Data'!$E:$E,4),SUMIFS('ON Data'!K:K,'ON Data'!$E:$E,4))</f>
        <v>12</v>
      </c>
      <c r="H13" s="403">
        <f xml:space="preserve">
IF($A$4&lt;=12,SUMIFS('ON Data'!L:L,'ON Data'!$D:$D,$A$4,'ON Data'!$E:$E,4),SUMIFS('ON Data'!L:L,'ON Data'!$E:$E,4))</f>
        <v>977</v>
      </c>
      <c r="I13" s="403">
        <f xml:space="preserve">
IF($A$4&lt;=12,SUMIFS('ON Data'!M:M,'ON Data'!$D:$D,$A$4,'ON Data'!$E:$E,4),SUMIFS('ON Data'!M:M,'ON Data'!$E:$E,4))</f>
        <v>0</v>
      </c>
      <c r="J13" s="403">
        <f xml:space="preserve">
IF($A$4&lt;=12,SUMIFS('ON Data'!N:N,'ON Data'!$D:$D,$A$4,'ON Data'!$E:$E,4),SUMIFS('ON Data'!N:N,'ON Data'!$E:$E,4))</f>
        <v>0</v>
      </c>
      <c r="K13" s="403">
        <f xml:space="preserve">
IF($A$4&lt;=12,SUMIFS('ON Data'!O:O,'ON Data'!$D:$D,$A$4,'ON Data'!$E:$E,4),SUMIFS('ON Data'!O:O,'ON Data'!$E:$E,4))</f>
        <v>0</v>
      </c>
      <c r="L13" s="403">
        <f xml:space="preserve">
IF($A$4&lt;=12,SUMIFS('ON Data'!P:P,'ON Data'!$D:$D,$A$4,'ON Data'!$E:$E,4),SUMIFS('ON Data'!P:P,'ON Data'!$E:$E,4))</f>
        <v>0</v>
      </c>
      <c r="M13" s="403">
        <f xml:space="preserve">
IF($A$4&lt;=12,SUMIFS('ON Data'!Q:Q,'ON Data'!$D:$D,$A$4,'ON Data'!$E:$E,4),SUMIFS('ON Data'!Q:Q,'ON Data'!$E:$E,4))</f>
        <v>21</v>
      </c>
      <c r="N13" s="403">
        <f xml:space="preserve">
IF($A$4&lt;=12,SUMIFS('ON Data'!R:R,'ON Data'!$D:$D,$A$4,'ON Data'!$E:$E,4),SUMIFS('ON Data'!R:R,'ON Data'!$E:$E,4))</f>
        <v>0</v>
      </c>
      <c r="O13" s="403">
        <f xml:space="preserve">
IF($A$4&lt;=12,SUMIFS('ON Data'!S:S,'ON Data'!$D:$D,$A$4,'ON Data'!$E:$E,4),SUMIFS('ON Data'!S:S,'ON Data'!$E:$E,4))</f>
        <v>0</v>
      </c>
      <c r="P13" s="403">
        <f xml:space="preserve">
IF($A$4&lt;=12,SUMIFS('ON Data'!T:T,'ON Data'!$D:$D,$A$4,'ON Data'!$E:$E,4),SUMIFS('ON Data'!T:T,'ON Data'!$E:$E,4))</f>
        <v>0</v>
      </c>
      <c r="Q13" s="403">
        <f xml:space="preserve">
IF($A$4&lt;=12,SUMIFS('ON Data'!U:U,'ON Data'!$D:$D,$A$4,'ON Data'!$E:$E,4),SUMIFS('ON Data'!U:U,'ON Data'!$E:$E,4))</f>
        <v>0</v>
      </c>
      <c r="R13" s="403">
        <f xml:space="preserve">
IF($A$4&lt;=12,SUMIFS('ON Data'!V:V,'ON Data'!$D:$D,$A$4,'ON Data'!$E:$E,4),SUMIFS('ON Data'!V:V,'ON Data'!$E:$E,4))</f>
        <v>0</v>
      </c>
      <c r="S13" s="403">
        <f xml:space="preserve">
IF($A$4&lt;=12,SUMIFS('ON Data'!W:W,'ON Data'!$D:$D,$A$4,'ON Data'!$E:$E,4),SUMIFS('ON Data'!W:W,'ON Data'!$E:$E,4))</f>
        <v>0</v>
      </c>
      <c r="T13" s="403">
        <f xml:space="preserve">
IF($A$4&lt;=12,SUMIFS('ON Data'!X:X,'ON Data'!$D:$D,$A$4,'ON Data'!$E:$E,4),SUMIFS('ON Data'!X:X,'ON Data'!$E:$E,4))</f>
        <v>0</v>
      </c>
      <c r="U13" s="403">
        <f xml:space="preserve">
IF($A$4&lt;=12,SUMIFS('ON Data'!Y:Y,'ON Data'!$D:$D,$A$4,'ON Data'!$E:$E,4),SUMIFS('ON Data'!Y:Y,'ON Data'!$E:$E,4))</f>
        <v>0</v>
      </c>
      <c r="V13" s="403">
        <f xml:space="preserve">
IF($A$4&lt;=12,SUMIFS('ON Data'!Z:Z,'ON Data'!$D:$D,$A$4,'ON Data'!$E:$E,4),SUMIFS('ON Data'!Z:Z,'ON Data'!$E:$E,4))</f>
        <v>0</v>
      </c>
      <c r="W13" s="403">
        <f xml:space="preserve">
IF($A$4&lt;=12,SUMIFS('ON Data'!AA:AA,'ON Data'!$D:$D,$A$4,'ON Data'!$E:$E,4),SUMIFS('ON Data'!AA:AA,'ON Data'!$E:$E,4))</f>
        <v>0</v>
      </c>
      <c r="X13" s="403">
        <f xml:space="preserve">
IF($A$4&lt;=12,SUMIFS('ON Data'!AB:AB,'ON Data'!$D:$D,$A$4,'ON Data'!$E:$E,4),SUMIFS('ON Data'!AB:AB,'ON Data'!$E:$E,4))</f>
        <v>0</v>
      </c>
      <c r="Y13" s="403">
        <f xml:space="preserve">
IF($A$4&lt;=12,SUMIFS('ON Data'!AC:AC,'ON Data'!$D:$D,$A$4,'ON Data'!$E:$E,4),SUMIFS('ON Data'!AC:AC,'ON Data'!$E:$E,4))</f>
        <v>0</v>
      </c>
      <c r="Z13" s="403">
        <f xml:space="preserve">
IF($A$4&lt;=12,SUMIFS('ON Data'!AD:AD,'ON Data'!$D:$D,$A$4,'ON Data'!$E:$E,4),SUMIFS('ON Data'!AD:AD,'ON Data'!$E:$E,4))</f>
        <v>0</v>
      </c>
      <c r="AA13" s="403"/>
      <c r="AB13" s="403">
        <f xml:space="preserve">
IF($A$4&lt;=12,SUMIFS('ON Data'!AF:AF,'ON Data'!$D:$D,$A$4,'ON Data'!$E:$E,4),SUMIFS('ON Data'!AF:AF,'ON Data'!$E:$E,4))</f>
        <v>0</v>
      </c>
      <c r="AC13" s="403">
        <f xml:space="preserve">
IF($A$4&lt;=12,SUMIFS('ON Data'!AG:AG,'ON Data'!$D:$D,$A$4,'ON Data'!$E:$E,4),SUMIFS('ON Data'!AG:AG,'ON Data'!$E:$E,4))</f>
        <v>0</v>
      </c>
      <c r="AD13" s="403">
        <f xml:space="preserve">
IF($A$4&lt;=12,SUMIFS('ON Data'!AH:AH,'ON Data'!$D:$D,$A$4,'ON Data'!$E:$E,4),SUMIFS('ON Data'!AH:AH,'ON Data'!$E:$E,4))</f>
        <v>0</v>
      </c>
      <c r="AE13" s="403">
        <f xml:space="preserve">
IF($A$4&lt;=12,SUMIFS('ON Data'!AI:AI,'ON Data'!$D:$D,$A$4,'ON Data'!$E:$E,4),SUMIFS('ON Data'!AI:AI,'ON Data'!$E:$E,4))</f>
        <v>0</v>
      </c>
      <c r="AF13" s="403">
        <f xml:space="preserve">
IF($A$4&lt;=12,SUMIFS('ON Data'!AJ:AJ,'ON Data'!$D:$D,$A$4,'ON Data'!$E:$E,4),SUMIFS('ON Data'!AJ:AJ,'ON Data'!$E:$E,4))</f>
        <v>0</v>
      </c>
      <c r="AG13" s="403">
        <f xml:space="preserve">
IF($A$4&lt;=12,SUMIFS('ON Data'!AK:AK,'ON Data'!$D:$D,$A$4,'ON Data'!$E:$E,4),SUMIFS('ON Data'!AK:AK,'ON Data'!$E:$E,4))</f>
        <v>0</v>
      </c>
      <c r="AH13" s="403">
        <f xml:space="preserve">
IF($A$4&lt;=12,SUMIFS('ON Data'!AL:AL,'ON Data'!$D:$D,$A$4,'ON Data'!$E:$E,4),SUMIFS('ON Data'!AL:AL,'ON Data'!$E:$E,4))</f>
        <v>0</v>
      </c>
      <c r="AI13" s="403">
        <f xml:space="preserve">
IF($A$4&lt;=12,SUMIFS('ON Data'!AM:AM,'ON Data'!$D:$D,$A$4,'ON Data'!$E:$E,4),SUMIFS('ON Data'!AM:AM,'ON Data'!$E:$E,4))</f>
        <v>0</v>
      </c>
      <c r="AJ13" s="403">
        <f xml:space="preserve">
IF($A$4&lt;=12,SUMIFS('ON Data'!AN:AN,'ON Data'!$D:$D,$A$4,'ON Data'!$E:$E,4),SUMIFS('ON Data'!AN:AN,'ON Data'!$E:$E,4))</f>
        <v>0</v>
      </c>
      <c r="AK13" s="403">
        <f xml:space="preserve">
IF($A$4&lt;=12,SUMIFS('ON Data'!AO:AO,'ON Data'!$D:$D,$A$4,'ON Data'!$E:$E,4),SUMIFS('ON Data'!AO:AO,'ON Data'!$E:$E,4))</f>
        <v>0</v>
      </c>
      <c r="AL13" s="403">
        <f xml:space="preserve">
IF($A$4&lt;=12,SUMIFS('ON Data'!AP:AP,'ON Data'!$D:$D,$A$4,'ON Data'!$E:$E,4),SUMIFS('ON Data'!AP:AP,'ON Data'!$E:$E,4))</f>
        <v>0</v>
      </c>
      <c r="AM13" s="403">
        <f xml:space="preserve">
IF($A$4&lt;=12,SUMIFS('ON Data'!AQ:AQ,'ON Data'!$D:$D,$A$4,'ON Data'!$E:$E,4),SUMIFS('ON Data'!AQ:AQ,'ON Data'!$E:$E,4))</f>
        <v>0</v>
      </c>
      <c r="AN13" s="402">
        <f xml:space="preserve">
IF($A$4&lt;=12,SUMIFS('ON Data'!AR:AR,'ON Data'!$D:$D,$A$4,'ON Data'!$E:$E,4),SUMIFS('ON Data'!AR:AR,'ON Data'!$E:$E,4))</f>
        <v>0</v>
      </c>
      <c r="AO13" s="403">
        <f xml:space="preserve">
IF($A$4&lt;=12,SUMIFS('ON Data'!AS:AS,'ON Data'!$D:$D,$A$4,'ON Data'!$E:$E,4),SUMIFS('ON Data'!AS:AS,'ON Data'!$E:$E,4))</f>
        <v>0</v>
      </c>
      <c r="AP13" s="403">
        <f xml:space="preserve">
IF($A$4&lt;=12,SUMIFS('ON Data'!AT:AT,'ON Data'!$D:$D,$A$4,'ON Data'!$E:$E,4),SUMIFS('ON Data'!AT:AT,'ON Data'!$E:$E,4))</f>
        <v>0</v>
      </c>
      <c r="AQ13" s="403">
        <f xml:space="preserve">
IF($A$4&lt;=12,SUMIFS('ON Data'!AU:AU,'ON Data'!$D:$D,$A$4,'ON Data'!$E:$E,4),SUMIFS('ON Data'!AU:AU,'ON Data'!$E:$E,4))</f>
        <v>0</v>
      </c>
      <c r="AR13" s="403">
        <f xml:space="preserve">
IF($A$4&lt;=12,SUMIFS('ON Data'!AV:AV,'ON Data'!$D:$D,$A$4,'ON Data'!$E:$E,4),SUMIFS('ON Data'!AV:AV,'ON Data'!$E:$E,4))</f>
        <v>0</v>
      </c>
      <c r="AS13" s="847">
        <f xml:space="preserve">
IF($A$4&lt;=12,SUMIFS('ON Data'!AW:AW,'ON Data'!$D:$D,$A$4,'ON Data'!$E:$E,4),SUMIFS('ON Data'!AW:AW,'ON Data'!$E:$E,4))</f>
        <v>0</v>
      </c>
      <c r="AT13" s="856"/>
    </row>
    <row r="14" spans="1:46" ht="15" thickBot="1" x14ac:dyDescent="0.35">
      <c r="A14" s="385" t="s">
        <v>235</v>
      </c>
      <c r="B14" s="405">
        <f xml:space="preserve">
IF($A$4&lt;=12,SUMIFS('ON Data'!F:F,'ON Data'!$D:$D,$A$4,'ON Data'!$E:$E,5),SUMIFS('ON Data'!F:F,'ON Data'!$E:$E,5))</f>
        <v>0</v>
      </c>
      <c r="C14" s="406">
        <f xml:space="preserve">
IF($A$4&lt;=12,SUMIFS('ON Data'!G:G,'ON Data'!$D:$D,$A$4,'ON Data'!$E:$E,5),SUMIFS('ON Data'!G:G,'ON Data'!$E:$E,5))</f>
        <v>0</v>
      </c>
      <c r="D14" s="407">
        <f xml:space="preserve">
IF($A$4&lt;=12,SUMIFS('ON Data'!H:H,'ON Data'!$D:$D,$A$4,'ON Data'!$E:$E,5),SUMIFS('ON Data'!H:H,'ON Data'!$E:$E,5))</f>
        <v>0</v>
      </c>
      <c r="E14" s="407"/>
      <c r="F14" s="407">
        <f xml:space="preserve">
IF($A$4&lt;=12,SUMIFS('ON Data'!J:J,'ON Data'!$D:$D,$A$4,'ON Data'!$E:$E,5),SUMIFS('ON Data'!J:J,'ON Data'!$E:$E,5))</f>
        <v>0</v>
      </c>
      <c r="G14" s="407">
        <f xml:space="preserve">
IF($A$4&lt;=12,SUMIFS('ON Data'!K:K,'ON Data'!$D:$D,$A$4,'ON Data'!$E:$E,5),SUMIFS('ON Data'!K:K,'ON Data'!$E:$E,5))</f>
        <v>0</v>
      </c>
      <c r="H14" s="407">
        <f xml:space="preserve">
IF($A$4&lt;=12,SUMIFS('ON Data'!L:L,'ON Data'!$D:$D,$A$4,'ON Data'!$E:$E,5),SUMIFS('ON Data'!L:L,'ON Data'!$E:$E,5))</f>
        <v>0</v>
      </c>
      <c r="I14" s="407">
        <f xml:space="preserve">
IF($A$4&lt;=12,SUMIFS('ON Data'!M:M,'ON Data'!$D:$D,$A$4,'ON Data'!$E:$E,5),SUMIFS('ON Data'!M:M,'ON Data'!$E:$E,5))</f>
        <v>0</v>
      </c>
      <c r="J14" s="407">
        <f xml:space="preserve">
IF($A$4&lt;=12,SUMIFS('ON Data'!N:N,'ON Data'!$D:$D,$A$4,'ON Data'!$E:$E,5),SUMIFS('ON Data'!N:N,'ON Data'!$E:$E,5))</f>
        <v>0</v>
      </c>
      <c r="K14" s="407">
        <f xml:space="preserve">
IF($A$4&lt;=12,SUMIFS('ON Data'!O:O,'ON Data'!$D:$D,$A$4,'ON Data'!$E:$E,5),SUMIFS('ON Data'!O:O,'ON Data'!$E:$E,5))</f>
        <v>0</v>
      </c>
      <c r="L14" s="407">
        <f xml:space="preserve">
IF($A$4&lt;=12,SUMIFS('ON Data'!P:P,'ON Data'!$D:$D,$A$4,'ON Data'!$E:$E,5),SUMIFS('ON Data'!P:P,'ON Data'!$E:$E,5))</f>
        <v>0</v>
      </c>
      <c r="M14" s="407">
        <f xml:space="preserve">
IF($A$4&lt;=12,SUMIFS('ON Data'!Q:Q,'ON Data'!$D:$D,$A$4,'ON Data'!$E:$E,5),SUMIFS('ON Data'!Q:Q,'ON Data'!$E:$E,5))</f>
        <v>0</v>
      </c>
      <c r="N14" s="407">
        <f xml:space="preserve">
IF($A$4&lt;=12,SUMIFS('ON Data'!R:R,'ON Data'!$D:$D,$A$4,'ON Data'!$E:$E,5),SUMIFS('ON Data'!R:R,'ON Data'!$E:$E,5))</f>
        <v>0</v>
      </c>
      <c r="O14" s="407">
        <f xml:space="preserve">
IF($A$4&lt;=12,SUMIFS('ON Data'!S:S,'ON Data'!$D:$D,$A$4,'ON Data'!$E:$E,5),SUMIFS('ON Data'!S:S,'ON Data'!$E:$E,5))</f>
        <v>0</v>
      </c>
      <c r="P14" s="407">
        <f xml:space="preserve">
IF($A$4&lt;=12,SUMIFS('ON Data'!T:T,'ON Data'!$D:$D,$A$4,'ON Data'!$E:$E,5),SUMIFS('ON Data'!T:T,'ON Data'!$E:$E,5))</f>
        <v>0</v>
      </c>
      <c r="Q14" s="407">
        <f xml:space="preserve">
IF($A$4&lt;=12,SUMIFS('ON Data'!U:U,'ON Data'!$D:$D,$A$4,'ON Data'!$E:$E,5),SUMIFS('ON Data'!U:U,'ON Data'!$E:$E,5))</f>
        <v>0</v>
      </c>
      <c r="R14" s="407">
        <f xml:space="preserve">
IF($A$4&lt;=12,SUMIFS('ON Data'!V:V,'ON Data'!$D:$D,$A$4,'ON Data'!$E:$E,5),SUMIFS('ON Data'!V:V,'ON Data'!$E:$E,5))</f>
        <v>0</v>
      </c>
      <c r="S14" s="407">
        <f xml:space="preserve">
IF($A$4&lt;=12,SUMIFS('ON Data'!W:W,'ON Data'!$D:$D,$A$4,'ON Data'!$E:$E,5),SUMIFS('ON Data'!W:W,'ON Data'!$E:$E,5))</f>
        <v>0</v>
      </c>
      <c r="T14" s="407">
        <f xml:space="preserve">
IF($A$4&lt;=12,SUMIFS('ON Data'!X:X,'ON Data'!$D:$D,$A$4,'ON Data'!$E:$E,5),SUMIFS('ON Data'!X:X,'ON Data'!$E:$E,5))</f>
        <v>0</v>
      </c>
      <c r="U14" s="407">
        <f xml:space="preserve">
IF($A$4&lt;=12,SUMIFS('ON Data'!Y:Y,'ON Data'!$D:$D,$A$4,'ON Data'!$E:$E,5),SUMIFS('ON Data'!Y:Y,'ON Data'!$E:$E,5))</f>
        <v>0</v>
      </c>
      <c r="V14" s="407">
        <f xml:space="preserve">
IF($A$4&lt;=12,SUMIFS('ON Data'!Z:Z,'ON Data'!$D:$D,$A$4,'ON Data'!$E:$E,5),SUMIFS('ON Data'!Z:Z,'ON Data'!$E:$E,5))</f>
        <v>0</v>
      </c>
      <c r="W14" s="407">
        <f xml:space="preserve">
IF($A$4&lt;=12,SUMIFS('ON Data'!AA:AA,'ON Data'!$D:$D,$A$4,'ON Data'!$E:$E,5),SUMIFS('ON Data'!AA:AA,'ON Data'!$E:$E,5))</f>
        <v>0</v>
      </c>
      <c r="X14" s="407">
        <f xml:space="preserve">
IF($A$4&lt;=12,SUMIFS('ON Data'!AB:AB,'ON Data'!$D:$D,$A$4,'ON Data'!$E:$E,5),SUMIFS('ON Data'!AB:AB,'ON Data'!$E:$E,5))</f>
        <v>0</v>
      </c>
      <c r="Y14" s="407">
        <f xml:space="preserve">
IF($A$4&lt;=12,SUMIFS('ON Data'!AC:AC,'ON Data'!$D:$D,$A$4,'ON Data'!$E:$E,5),SUMIFS('ON Data'!AC:AC,'ON Data'!$E:$E,5))</f>
        <v>0</v>
      </c>
      <c r="Z14" s="407">
        <f xml:space="preserve">
IF($A$4&lt;=12,SUMIFS('ON Data'!AD:AD,'ON Data'!$D:$D,$A$4,'ON Data'!$E:$E,5),SUMIFS('ON Data'!AD:AD,'ON Data'!$E:$E,5))</f>
        <v>0</v>
      </c>
      <c r="AA14" s="407"/>
      <c r="AB14" s="407">
        <f xml:space="preserve">
IF($A$4&lt;=12,SUMIFS('ON Data'!AF:AF,'ON Data'!$D:$D,$A$4,'ON Data'!$E:$E,5),SUMIFS('ON Data'!AF:AF,'ON Data'!$E:$E,5))</f>
        <v>0</v>
      </c>
      <c r="AC14" s="407">
        <f xml:space="preserve">
IF($A$4&lt;=12,SUMIFS('ON Data'!AG:AG,'ON Data'!$D:$D,$A$4,'ON Data'!$E:$E,5),SUMIFS('ON Data'!AG:AG,'ON Data'!$E:$E,5))</f>
        <v>0</v>
      </c>
      <c r="AD14" s="407">
        <f xml:space="preserve">
IF($A$4&lt;=12,SUMIFS('ON Data'!AH:AH,'ON Data'!$D:$D,$A$4,'ON Data'!$E:$E,5),SUMIFS('ON Data'!AH:AH,'ON Data'!$E:$E,5))</f>
        <v>0</v>
      </c>
      <c r="AE14" s="407">
        <f xml:space="preserve">
IF($A$4&lt;=12,SUMIFS('ON Data'!AI:AI,'ON Data'!$D:$D,$A$4,'ON Data'!$E:$E,5),SUMIFS('ON Data'!AI:AI,'ON Data'!$E:$E,5))</f>
        <v>0</v>
      </c>
      <c r="AF14" s="407">
        <f xml:space="preserve">
IF($A$4&lt;=12,SUMIFS('ON Data'!AJ:AJ,'ON Data'!$D:$D,$A$4,'ON Data'!$E:$E,5),SUMIFS('ON Data'!AJ:AJ,'ON Data'!$E:$E,5))</f>
        <v>0</v>
      </c>
      <c r="AG14" s="407">
        <f xml:space="preserve">
IF($A$4&lt;=12,SUMIFS('ON Data'!AK:AK,'ON Data'!$D:$D,$A$4,'ON Data'!$E:$E,5),SUMIFS('ON Data'!AK:AK,'ON Data'!$E:$E,5))</f>
        <v>0</v>
      </c>
      <c r="AH14" s="407">
        <f xml:space="preserve">
IF($A$4&lt;=12,SUMIFS('ON Data'!AL:AL,'ON Data'!$D:$D,$A$4,'ON Data'!$E:$E,5),SUMIFS('ON Data'!AL:AL,'ON Data'!$E:$E,5))</f>
        <v>0</v>
      </c>
      <c r="AI14" s="407">
        <f xml:space="preserve">
IF($A$4&lt;=12,SUMIFS('ON Data'!AM:AM,'ON Data'!$D:$D,$A$4,'ON Data'!$E:$E,5),SUMIFS('ON Data'!AM:AM,'ON Data'!$E:$E,5))</f>
        <v>0</v>
      </c>
      <c r="AJ14" s="407">
        <f xml:space="preserve">
IF($A$4&lt;=12,SUMIFS('ON Data'!AN:AN,'ON Data'!$D:$D,$A$4,'ON Data'!$E:$E,5),SUMIFS('ON Data'!AN:AN,'ON Data'!$E:$E,5))</f>
        <v>0</v>
      </c>
      <c r="AK14" s="407">
        <f xml:space="preserve">
IF($A$4&lt;=12,SUMIFS('ON Data'!AO:AO,'ON Data'!$D:$D,$A$4,'ON Data'!$E:$E,5),SUMIFS('ON Data'!AO:AO,'ON Data'!$E:$E,5))</f>
        <v>0</v>
      </c>
      <c r="AL14" s="407">
        <f xml:space="preserve">
IF($A$4&lt;=12,SUMIFS('ON Data'!AP:AP,'ON Data'!$D:$D,$A$4,'ON Data'!$E:$E,5),SUMIFS('ON Data'!AP:AP,'ON Data'!$E:$E,5))</f>
        <v>0</v>
      </c>
      <c r="AM14" s="407">
        <f xml:space="preserve">
IF($A$4&lt;=12,SUMIFS('ON Data'!AQ:AQ,'ON Data'!$D:$D,$A$4,'ON Data'!$E:$E,5),SUMIFS('ON Data'!AQ:AQ,'ON Data'!$E:$E,5))</f>
        <v>0</v>
      </c>
      <c r="AN14" s="406">
        <f xml:space="preserve">
IF($A$4&lt;=12,SUMIFS('ON Data'!AR:AR,'ON Data'!$D:$D,$A$4,'ON Data'!$E:$E,5),SUMIFS('ON Data'!AR:AR,'ON Data'!$E:$E,5))</f>
        <v>0</v>
      </c>
      <c r="AO14" s="407">
        <f xml:space="preserve">
IF($A$4&lt;=12,SUMIFS('ON Data'!AS:AS,'ON Data'!$D:$D,$A$4,'ON Data'!$E:$E,5),SUMIFS('ON Data'!AS:AS,'ON Data'!$E:$E,5))</f>
        <v>0</v>
      </c>
      <c r="AP14" s="407">
        <f xml:space="preserve">
IF($A$4&lt;=12,SUMIFS('ON Data'!AT:AT,'ON Data'!$D:$D,$A$4,'ON Data'!$E:$E,5),SUMIFS('ON Data'!AT:AT,'ON Data'!$E:$E,5))</f>
        <v>0</v>
      </c>
      <c r="AQ14" s="407">
        <f xml:space="preserve">
IF($A$4&lt;=12,SUMIFS('ON Data'!AU:AU,'ON Data'!$D:$D,$A$4,'ON Data'!$E:$E,5),SUMIFS('ON Data'!AU:AU,'ON Data'!$E:$E,5))</f>
        <v>0</v>
      </c>
      <c r="AR14" s="407">
        <f xml:space="preserve">
IF($A$4&lt;=12,SUMIFS('ON Data'!AV:AV,'ON Data'!$D:$D,$A$4,'ON Data'!$E:$E,5),SUMIFS('ON Data'!AV:AV,'ON Data'!$E:$E,5))</f>
        <v>0</v>
      </c>
      <c r="AS14" s="848">
        <f xml:space="preserve">
IF($A$4&lt;=12,SUMIFS('ON Data'!AW:AW,'ON Data'!$D:$D,$A$4,'ON Data'!$E:$E,5),SUMIFS('ON Data'!AW:AW,'ON Data'!$E:$E,5))</f>
        <v>0</v>
      </c>
      <c r="AT14" s="856"/>
    </row>
    <row r="15" spans="1:46" x14ac:dyDescent="0.3">
      <c r="A15" s="282" t="s">
        <v>245</v>
      </c>
      <c r="B15" s="409"/>
      <c r="C15" s="410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11"/>
      <c r="S15" s="411"/>
      <c r="T15" s="411"/>
      <c r="U15" s="411"/>
      <c r="V15" s="411"/>
      <c r="W15" s="411"/>
      <c r="X15" s="411"/>
      <c r="Y15" s="411"/>
      <c r="Z15" s="411"/>
      <c r="AA15" s="411"/>
      <c r="AB15" s="411"/>
      <c r="AC15" s="411"/>
      <c r="AD15" s="411"/>
      <c r="AE15" s="411"/>
      <c r="AF15" s="411"/>
      <c r="AG15" s="411"/>
      <c r="AH15" s="411"/>
      <c r="AI15" s="411"/>
      <c r="AJ15" s="411"/>
      <c r="AK15" s="411"/>
      <c r="AL15" s="411"/>
      <c r="AM15" s="411"/>
      <c r="AN15" s="470"/>
      <c r="AO15" s="411"/>
      <c r="AP15" s="411"/>
      <c r="AQ15" s="411"/>
      <c r="AR15" s="411"/>
      <c r="AS15" s="849"/>
      <c r="AT15" s="856"/>
    </row>
    <row r="16" spans="1:46" x14ac:dyDescent="0.3">
      <c r="A16" s="386" t="s">
        <v>236</v>
      </c>
      <c r="B16" s="401">
        <f xml:space="preserve">
IF($A$4&lt;=12,SUMIFS('ON Data'!F:F,'ON Data'!$D:$D,$A$4,'ON Data'!$E:$E,7),SUMIFS('ON Data'!F:F,'ON Data'!$E:$E,7))</f>
        <v>0</v>
      </c>
      <c r="C16" s="402">
        <f xml:space="preserve">
IF($A$4&lt;=12,SUMIFS('ON Data'!G:G,'ON Data'!$D:$D,$A$4,'ON Data'!$E:$E,7),SUMIFS('ON Data'!G:G,'ON Data'!$E:$E,7))</f>
        <v>0</v>
      </c>
      <c r="D16" s="403">
        <f xml:space="preserve">
IF($A$4&lt;=12,SUMIFS('ON Data'!H:H,'ON Data'!$D:$D,$A$4,'ON Data'!$E:$E,7),SUMIFS('ON Data'!H:H,'ON Data'!$E:$E,7))</f>
        <v>0</v>
      </c>
      <c r="E16" s="403"/>
      <c r="F16" s="403">
        <f xml:space="preserve">
IF($A$4&lt;=12,SUMIFS('ON Data'!J:J,'ON Data'!$D:$D,$A$4,'ON Data'!$E:$E,7),SUMIFS('ON Data'!J:J,'ON Data'!$E:$E,7))</f>
        <v>0</v>
      </c>
      <c r="G16" s="403">
        <f xml:space="preserve">
IF($A$4&lt;=12,SUMIFS('ON Data'!K:K,'ON Data'!$D:$D,$A$4,'ON Data'!$E:$E,7),SUMIFS('ON Data'!K:K,'ON Data'!$E:$E,7))</f>
        <v>0</v>
      </c>
      <c r="H16" s="403">
        <f xml:space="preserve">
IF($A$4&lt;=12,SUMIFS('ON Data'!L:L,'ON Data'!$D:$D,$A$4,'ON Data'!$E:$E,7),SUMIFS('ON Data'!L:L,'ON Data'!$E:$E,7))</f>
        <v>0</v>
      </c>
      <c r="I16" s="403">
        <f xml:space="preserve">
IF($A$4&lt;=12,SUMIFS('ON Data'!M:M,'ON Data'!$D:$D,$A$4,'ON Data'!$E:$E,7),SUMIFS('ON Data'!M:M,'ON Data'!$E:$E,7))</f>
        <v>0</v>
      </c>
      <c r="J16" s="403">
        <f xml:space="preserve">
IF($A$4&lt;=12,SUMIFS('ON Data'!N:N,'ON Data'!$D:$D,$A$4,'ON Data'!$E:$E,7),SUMIFS('ON Data'!N:N,'ON Data'!$E:$E,7))</f>
        <v>0</v>
      </c>
      <c r="K16" s="403">
        <f xml:space="preserve">
IF($A$4&lt;=12,SUMIFS('ON Data'!O:O,'ON Data'!$D:$D,$A$4,'ON Data'!$E:$E,7),SUMIFS('ON Data'!O:O,'ON Data'!$E:$E,7))</f>
        <v>0</v>
      </c>
      <c r="L16" s="403">
        <f xml:space="preserve">
IF($A$4&lt;=12,SUMIFS('ON Data'!P:P,'ON Data'!$D:$D,$A$4,'ON Data'!$E:$E,7),SUMIFS('ON Data'!P:P,'ON Data'!$E:$E,7))</f>
        <v>0</v>
      </c>
      <c r="M16" s="403">
        <f xml:space="preserve">
IF($A$4&lt;=12,SUMIFS('ON Data'!Q:Q,'ON Data'!$D:$D,$A$4,'ON Data'!$E:$E,7),SUMIFS('ON Data'!Q:Q,'ON Data'!$E:$E,7))</f>
        <v>0</v>
      </c>
      <c r="N16" s="403">
        <f xml:space="preserve">
IF($A$4&lt;=12,SUMIFS('ON Data'!R:R,'ON Data'!$D:$D,$A$4,'ON Data'!$E:$E,7),SUMIFS('ON Data'!R:R,'ON Data'!$E:$E,7))</f>
        <v>0</v>
      </c>
      <c r="O16" s="403">
        <f xml:space="preserve">
IF($A$4&lt;=12,SUMIFS('ON Data'!S:S,'ON Data'!$D:$D,$A$4,'ON Data'!$E:$E,7),SUMIFS('ON Data'!S:S,'ON Data'!$E:$E,7))</f>
        <v>0</v>
      </c>
      <c r="P16" s="403">
        <f xml:space="preserve">
IF($A$4&lt;=12,SUMIFS('ON Data'!T:T,'ON Data'!$D:$D,$A$4,'ON Data'!$E:$E,7),SUMIFS('ON Data'!T:T,'ON Data'!$E:$E,7))</f>
        <v>0</v>
      </c>
      <c r="Q16" s="403">
        <f xml:space="preserve">
IF($A$4&lt;=12,SUMIFS('ON Data'!U:U,'ON Data'!$D:$D,$A$4,'ON Data'!$E:$E,7),SUMIFS('ON Data'!U:U,'ON Data'!$E:$E,7))</f>
        <v>0</v>
      </c>
      <c r="R16" s="403">
        <f xml:space="preserve">
IF($A$4&lt;=12,SUMIFS('ON Data'!V:V,'ON Data'!$D:$D,$A$4,'ON Data'!$E:$E,7),SUMIFS('ON Data'!V:V,'ON Data'!$E:$E,7))</f>
        <v>0</v>
      </c>
      <c r="S16" s="403">
        <f xml:space="preserve">
IF($A$4&lt;=12,SUMIFS('ON Data'!W:W,'ON Data'!$D:$D,$A$4,'ON Data'!$E:$E,7),SUMIFS('ON Data'!W:W,'ON Data'!$E:$E,7))</f>
        <v>0</v>
      </c>
      <c r="T16" s="403">
        <f xml:space="preserve">
IF($A$4&lt;=12,SUMIFS('ON Data'!X:X,'ON Data'!$D:$D,$A$4,'ON Data'!$E:$E,7),SUMIFS('ON Data'!X:X,'ON Data'!$E:$E,7))</f>
        <v>0</v>
      </c>
      <c r="U16" s="403">
        <f xml:space="preserve">
IF($A$4&lt;=12,SUMIFS('ON Data'!Y:Y,'ON Data'!$D:$D,$A$4,'ON Data'!$E:$E,7),SUMIFS('ON Data'!Y:Y,'ON Data'!$E:$E,7))</f>
        <v>0</v>
      </c>
      <c r="V16" s="403">
        <f xml:space="preserve">
IF($A$4&lt;=12,SUMIFS('ON Data'!Z:Z,'ON Data'!$D:$D,$A$4,'ON Data'!$E:$E,7),SUMIFS('ON Data'!Z:Z,'ON Data'!$E:$E,7))</f>
        <v>0</v>
      </c>
      <c r="W16" s="403">
        <f xml:space="preserve">
IF($A$4&lt;=12,SUMIFS('ON Data'!AA:AA,'ON Data'!$D:$D,$A$4,'ON Data'!$E:$E,7),SUMIFS('ON Data'!AA:AA,'ON Data'!$E:$E,7))</f>
        <v>0</v>
      </c>
      <c r="X16" s="403">
        <f xml:space="preserve">
IF($A$4&lt;=12,SUMIFS('ON Data'!AB:AB,'ON Data'!$D:$D,$A$4,'ON Data'!$E:$E,7),SUMIFS('ON Data'!AB:AB,'ON Data'!$E:$E,7))</f>
        <v>0</v>
      </c>
      <c r="Y16" s="403">
        <f xml:space="preserve">
IF($A$4&lt;=12,SUMIFS('ON Data'!AC:AC,'ON Data'!$D:$D,$A$4,'ON Data'!$E:$E,7),SUMIFS('ON Data'!AC:AC,'ON Data'!$E:$E,7))</f>
        <v>0</v>
      </c>
      <c r="Z16" s="403">
        <f xml:space="preserve">
IF($A$4&lt;=12,SUMIFS('ON Data'!AD:AD,'ON Data'!$D:$D,$A$4,'ON Data'!$E:$E,7),SUMIFS('ON Data'!AD:AD,'ON Data'!$E:$E,7))</f>
        <v>0</v>
      </c>
      <c r="AA16" s="403"/>
      <c r="AB16" s="403">
        <f xml:space="preserve">
IF($A$4&lt;=12,SUMIFS('ON Data'!AF:AF,'ON Data'!$D:$D,$A$4,'ON Data'!$E:$E,7),SUMIFS('ON Data'!AF:AF,'ON Data'!$E:$E,7))</f>
        <v>0</v>
      </c>
      <c r="AC16" s="403">
        <f xml:space="preserve">
IF($A$4&lt;=12,SUMIFS('ON Data'!AG:AG,'ON Data'!$D:$D,$A$4,'ON Data'!$E:$E,7),SUMIFS('ON Data'!AG:AG,'ON Data'!$E:$E,7))</f>
        <v>0</v>
      </c>
      <c r="AD16" s="403">
        <f xml:space="preserve">
IF($A$4&lt;=12,SUMIFS('ON Data'!AH:AH,'ON Data'!$D:$D,$A$4,'ON Data'!$E:$E,7),SUMIFS('ON Data'!AH:AH,'ON Data'!$E:$E,7))</f>
        <v>0</v>
      </c>
      <c r="AE16" s="403">
        <f xml:space="preserve">
IF($A$4&lt;=12,SUMIFS('ON Data'!AI:AI,'ON Data'!$D:$D,$A$4,'ON Data'!$E:$E,7),SUMIFS('ON Data'!AI:AI,'ON Data'!$E:$E,7))</f>
        <v>0</v>
      </c>
      <c r="AF16" s="403">
        <f xml:space="preserve">
IF($A$4&lt;=12,SUMIFS('ON Data'!AJ:AJ,'ON Data'!$D:$D,$A$4,'ON Data'!$E:$E,7),SUMIFS('ON Data'!AJ:AJ,'ON Data'!$E:$E,7))</f>
        <v>0</v>
      </c>
      <c r="AG16" s="403">
        <f xml:space="preserve">
IF($A$4&lt;=12,SUMIFS('ON Data'!AK:AK,'ON Data'!$D:$D,$A$4,'ON Data'!$E:$E,7),SUMIFS('ON Data'!AK:AK,'ON Data'!$E:$E,7))</f>
        <v>0</v>
      </c>
      <c r="AH16" s="403">
        <f xml:space="preserve">
IF($A$4&lt;=12,SUMIFS('ON Data'!AL:AL,'ON Data'!$D:$D,$A$4,'ON Data'!$E:$E,7),SUMIFS('ON Data'!AL:AL,'ON Data'!$E:$E,7))</f>
        <v>0</v>
      </c>
      <c r="AI16" s="403">
        <f xml:space="preserve">
IF($A$4&lt;=12,SUMIFS('ON Data'!AM:AM,'ON Data'!$D:$D,$A$4,'ON Data'!$E:$E,7),SUMIFS('ON Data'!AM:AM,'ON Data'!$E:$E,7))</f>
        <v>0</v>
      </c>
      <c r="AJ16" s="403">
        <f xml:space="preserve">
IF($A$4&lt;=12,SUMIFS('ON Data'!AN:AN,'ON Data'!$D:$D,$A$4,'ON Data'!$E:$E,7),SUMIFS('ON Data'!AN:AN,'ON Data'!$E:$E,7))</f>
        <v>0</v>
      </c>
      <c r="AK16" s="403">
        <f xml:space="preserve">
IF($A$4&lt;=12,SUMIFS('ON Data'!AO:AO,'ON Data'!$D:$D,$A$4,'ON Data'!$E:$E,7),SUMIFS('ON Data'!AO:AO,'ON Data'!$E:$E,7))</f>
        <v>0</v>
      </c>
      <c r="AL16" s="403">
        <f xml:space="preserve">
IF($A$4&lt;=12,SUMIFS('ON Data'!AP:AP,'ON Data'!$D:$D,$A$4,'ON Data'!$E:$E,7),SUMIFS('ON Data'!AP:AP,'ON Data'!$E:$E,7))</f>
        <v>0</v>
      </c>
      <c r="AM16" s="403">
        <f xml:space="preserve">
IF($A$4&lt;=12,SUMIFS('ON Data'!AQ:AQ,'ON Data'!$D:$D,$A$4,'ON Data'!$E:$E,7),SUMIFS('ON Data'!AQ:AQ,'ON Data'!$E:$E,7))</f>
        <v>0</v>
      </c>
      <c r="AN16" s="402">
        <f xml:space="preserve">
IF($A$4&lt;=12,SUMIFS('ON Data'!AR:AR,'ON Data'!$D:$D,$A$4,'ON Data'!$E:$E,7),SUMIFS('ON Data'!AR:AR,'ON Data'!$E:$E,7))</f>
        <v>0</v>
      </c>
      <c r="AO16" s="403">
        <f xml:space="preserve">
IF($A$4&lt;=12,SUMIFS('ON Data'!AS:AS,'ON Data'!$D:$D,$A$4,'ON Data'!$E:$E,7),SUMIFS('ON Data'!AS:AS,'ON Data'!$E:$E,7))</f>
        <v>0</v>
      </c>
      <c r="AP16" s="403">
        <f xml:space="preserve">
IF($A$4&lt;=12,SUMIFS('ON Data'!AT:AT,'ON Data'!$D:$D,$A$4,'ON Data'!$E:$E,7),SUMIFS('ON Data'!AT:AT,'ON Data'!$E:$E,7))</f>
        <v>0</v>
      </c>
      <c r="AQ16" s="403">
        <f xml:space="preserve">
IF($A$4&lt;=12,SUMIFS('ON Data'!AU:AU,'ON Data'!$D:$D,$A$4,'ON Data'!$E:$E,7),SUMIFS('ON Data'!AU:AU,'ON Data'!$E:$E,7))</f>
        <v>0</v>
      </c>
      <c r="AR16" s="403">
        <f xml:space="preserve">
IF($A$4&lt;=12,SUMIFS('ON Data'!AV:AV,'ON Data'!$D:$D,$A$4,'ON Data'!$E:$E,7),SUMIFS('ON Data'!AV:AV,'ON Data'!$E:$E,7))</f>
        <v>0</v>
      </c>
      <c r="AS16" s="847">
        <f xml:space="preserve">
IF($A$4&lt;=12,SUMIFS('ON Data'!AW:AW,'ON Data'!$D:$D,$A$4,'ON Data'!$E:$E,7),SUMIFS('ON Data'!AW:AW,'ON Data'!$E:$E,7))</f>
        <v>0</v>
      </c>
      <c r="AT16" s="856"/>
    </row>
    <row r="17" spans="1:46" x14ac:dyDescent="0.3">
      <c r="A17" s="386" t="s">
        <v>237</v>
      </c>
      <c r="B17" s="401">
        <f xml:space="preserve">
IF($A$4&lt;=12,SUMIFS('ON Data'!F:F,'ON Data'!$D:$D,$A$4,'ON Data'!$E:$E,8),SUMIFS('ON Data'!F:F,'ON Data'!$E:$E,8))</f>
        <v>0</v>
      </c>
      <c r="C17" s="402">
        <f xml:space="preserve">
IF($A$4&lt;=12,SUMIFS('ON Data'!G:G,'ON Data'!$D:$D,$A$4,'ON Data'!$E:$E,8),SUMIFS('ON Data'!G:G,'ON Data'!$E:$E,8))</f>
        <v>0</v>
      </c>
      <c r="D17" s="403">
        <f xml:space="preserve">
IF($A$4&lt;=12,SUMIFS('ON Data'!H:H,'ON Data'!$D:$D,$A$4,'ON Data'!$E:$E,8),SUMIFS('ON Data'!H:H,'ON Data'!$E:$E,8))</f>
        <v>0</v>
      </c>
      <c r="E17" s="403"/>
      <c r="F17" s="403">
        <f xml:space="preserve">
IF($A$4&lt;=12,SUMIFS('ON Data'!J:J,'ON Data'!$D:$D,$A$4,'ON Data'!$E:$E,8),SUMIFS('ON Data'!J:J,'ON Data'!$E:$E,8))</f>
        <v>0</v>
      </c>
      <c r="G17" s="403">
        <f xml:space="preserve">
IF($A$4&lt;=12,SUMIFS('ON Data'!K:K,'ON Data'!$D:$D,$A$4,'ON Data'!$E:$E,8),SUMIFS('ON Data'!K:K,'ON Data'!$E:$E,8))</f>
        <v>0</v>
      </c>
      <c r="H17" s="403">
        <f xml:space="preserve">
IF($A$4&lt;=12,SUMIFS('ON Data'!L:L,'ON Data'!$D:$D,$A$4,'ON Data'!$E:$E,8),SUMIFS('ON Data'!L:L,'ON Data'!$E:$E,8))</f>
        <v>0</v>
      </c>
      <c r="I17" s="403">
        <f xml:space="preserve">
IF($A$4&lt;=12,SUMIFS('ON Data'!M:M,'ON Data'!$D:$D,$A$4,'ON Data'!$E:$E,8),SUMIFS('ON Data'!M:M,'ON Data'!$E:$E,8))</f>
        <v>0</v>
      </c>
      <c r="J17" s="403">
        <f xml:space="preserve">
IF($A$4&lt;=12,SUMIFS('ON Data'!N:N,'ON Data'!$D:$D,$A$4,'ON Data'!$E:$E,8),SUMIFS('ON Data'!N:N,'ON Data'!$E:$E,8))</f>
        <v>0</v>
      </c>
      <c r="K17" s="403">
        <f xml:space="preserve">
IF($A$4&lt;=12,SUMIFS('ON Data'!O:O,'ON Data'!$D:$D,$A$4,'ON Data'!$E:$E,8),SUMIFS('ON Data'!O:O,'ON Data'!$E:$E,8))</f>
        <v>0</v>
      </c>
      <c r="L17" s="403">
        <f xml:space="preserve">
IF($A$4&lt;=12,SUMIFS('ON Data'!P:P,'ON Data'!$D:$D,$A$4,'ON Data'!$E:$E,8),SUMIFS('ON Data'!P:P,'ON Data'!$E:$E,8))</f>
        <v>0</v>
      </c>
      <c r="M17" s="403">
        <f xml:space="preserve">
IF($A$4&lt;=12,SUMIFS('ON Data'!Q:Q,'ON Data'!$D:$D,$A$4,'ON Data'!$E:$E,8),SUMIFS('ON Data'!Q:Q,'ON Data'!$E:$E,8))</f>
        <v>0</v>
      </c>
      <c r="N17" s="403">
        <f xml:space="preserve">
IF($A$4&lt;=12,SUMIFS('ON Data'!R:R,'ON Data'!$D:$D,$A$4,'ON Data'!$E:$E,8),SUMIFS('ON Data'!R:R,'ON Data'!$E:$E,8))</f>
        <v>0</v>
      </c>
      <c r="O17" s="403">
        <f xml:space="preserve">
IF($A$4&lt;=12,SUMIFS('ON Data'!S:S,'ON Data'!$D:$D,$A$4,'ON Data'!$E:$E,8),SUMIFS('ON Data'!S:S,'ON Data'!$E:$E,8))</f>
        <v>0</v>
      </c>
      <c r="P17" s="403">
        <f xml:space="preserve">
IF($A$4&lt;=12,SUMIFS('ON Data'!T:T,'ON Data'!$D:$D,$A$4,'ON Data'!$E:$E,8),SUMIFS('ON Data'!T:T,'ON Data'!$E:$E,8))</f>
        <v>0</v>
      </c>
      <c r="Q17" s="403">
        <f xml:space="preserve">
IF($A$4&lt;=12,SUMIFS('ON Data'!U:U,'ON Data'!$D:$D,$A$4,'ON Data'!$E:$E,8),SUMIFS('ON Data'!U:U,'ON Data'!$E:$E,8))</f>
        <v>0</v>
      </c>
      <c r="R17" s="403">
        <f xml:space="preserve">
IF($A$4&lt;=12,SUMIFS('ON Data'!V:V,'ON Data'!$D:$D,$A$4,'ON Data'!$E:$E,8),SUMIFS('ON Data'!V:V,'ON Data'!$E:$E,8))</f>
        <v>0</v>
      </c>
      <c r="S17" s="403">
        <f xml:space="preserve">
IF($A$4&lt;=12,SUMIFS('ON Data'!W:W,'ON Data'!$D:$D,$A$4,'ON Data'!$E:$E,8),SUMIFS('ON Data'!W:W,'ON Data'!$E:$E,8))</f>
        <v>0</v>
      </c>
      <c r="T17" s="403">
        <f xml:space="preserve">
IF($A$4&lt;=12,SUMIFS('ON Data'!X:X,'ON Data'!$D:$D,$A$4,'ON Data'!$E:$E,8),SUMIFS('ON Data'!X:X,'ON Data'!$E:$E,8))</f>
        <v>0</v>
      </c>
      <c r="U17" s="403">
        <f xml:space="preserve">
IF($A$4&lt;=12,SUMIFS('ON Data'!Y:Y,'ON Data'!$D:$D,$A$4,'ON Data'!$E:$E,8),SUMIFS('ON Data'!Y:Y,'ON Data'!$E:$E,8))</f>
        <v>0</v>
      </c>
      <c r="V17" s="403">
        <f xml:space="preserve">
IF($A$4&lt;=12,SUMIFS('ON Data'!Z:Z,'ON Data'!$D:$D,$A$4,'ON Data'!$E:$E,8),SUMIFS('ON Data'!Z:Z,'ON Data'!$E:$E,8))</f>
        <v>0</v>
      </c>
      <c r="W17" s="403">
        <f xml:space="preserve">
IF($A$4&lt;=12,SUMIFS('ON Data'!AA:AA,'ON Data'!$D:$D,$A$4,'ON Data'!$E:$E,8),SUMIFS('ON Data'!AA:AA,'ON Data'!$E:$E,8))</f>
        <v>0</v>
      </c>
      <c r="X17" s="403">
        <f xml:space="preserve">
IF($A$4&lt;=12,SUMIFS('ON Data'!AB:AB,'ON Data'!$D:$D,$A$4,'ON Data'!$E:$E,8),SUMIFS('ON Data'!AB:AB,'ON Data'!$E:$E,8))</f>
        <v>0</v>
      </c>
      <c r="Y17" s="403">
        <f xml:space="preserve">
IF($A$4&lt;=12,SUMIFS('ON Data'!AC:AC,'ON Data'!$D:$D,$A$4,'ON Data'!$E:$E,8),SUMIFS('ON Data'!AC:AC,'ON Data'!$E:$E,8))</f>
        <v>0</v>
      </c>
      <c r="Z17" s="403">
        <f xml:space="preserve">
IF($A$4&lt;=12,SUMIFS('ON Data'!AD:AD,'ON Data'!$D:$D,$A$4,'ON Data'!$E:$E,8),SUMIFS('ON Data'!AD:AD,'ON Data'!$E:$E,8))</f>
        <v>0</v>
      </c>
      <c r="AA17" s="403"/>
      <c r="AB17" s="403">
        <f xml:space="preserve">
IF($A$4&lt;=12,SUMIFS('ON Data'!AF:AF,'ON Data'!$D:$D,$A$4,'ON Data'!$E:$E,8),SUMIFS('ON Data'!AF:AF,'ON Data'!$E:$E,8))</f>
        <v>0</v>
      </c>
      <c r="AC17" s="403">
        <f xml:space="preserve">
IF($A$4&lt;=12,SUMIFS('ON Data'!AG:AG,'ON Data'!$D:$D,$A$4,'ON Data'!$E:$E,8),SUMIFS('ON Data'!AG:AG,'ON Data'!$E:$E,8))</f>
        <v>0</v>
      </c>
      <c r="AD17" s="403">
        <f xml:space="preserve">
IF($A$4&lt;=12,SUMIFS('ON Data'!AH:AH,'ON Data'!$D:$D,$A$4,'ON Data'!$E:$E,8),SUMIFS('ON Data'!AH:AH,'ON Data'!$E:$E,8))</f>
        <v>0</v>
      </c>
      <c r="AE17" s="403">
        <f xml:space="preserve">
IF($A$4&lt;=12,SUMIFS('ON Data'!AI:AI,'ON Data'!$D:$D,$A$4,'ON Data'!$E:$E,8),SUMIFS('ON Data'!AI:AI,'ON Data'!$E:$E,8))</f>
        <v>0</v>
      </c>
      <c r="AF17" s="403">
        <f xml:space="preserve">
IF($A$4&lt;=12,SUMIFS('ON Data'!AJ:AJ,'ON Data'!$D:$D,$A$4,'ON Data'!$E:$E,8),SUMIFS('ON Data'!AJ:AJ,'ON Data'!$E:$E,8))</f>
        <v>0</v>
      </c>
      <c r="AG17" s="403">
        <f xml:space="preserve">
IF($A$4&lt;=12,SUMIFS('ON Data'!AK:AK,'ON Data'!$D:$D,$A$4,'ON Data'!$E:$E,8),SUMIFS('ON Data'!AK:AK,'ON Data'!$E:$E,8))</f>
        <v>0</v>
      </c>
      <c r="AH17" s="403">
        <f xml:space="preserve">
IF($A$4&lt;=12,SUMIFS('ON Data'!AL:AL,'ON Data'!$D:$D,$A$4,'ON Data'!$E:$E,8),SUMIFS('ON Data'!AL:AL,'ON Data'!$E:$E,8))</f>
        <v>0</v>
      </c>
      <c r="AI17" s="403">
        <f xml:space="preserve">
IF($A$4&lt;=12,SUMIFS('ON Data'!AM:AM,'ON Data'!$D:$D,$A$4,'ON Data'!$E:$E,8),SUMIFS('ON Data'!AM:AM,'ON Data'!$E:$E,8))</f>
        <v>0</v>
      </c>
      <c r="AJ17" s="403">
        <f xml:space="preserve">
IF($A$4&lt;=12,SUMIFS('ON Data'!AN:AN,'ON Data'!$D:$D,$A$4,'ON Data'!$E:$E,8),SUMIFS('ON Data'!AN:AN,'ON Data'!$E:$E,8))</f>
        <v>0</v>
      </c>
      <c r="AK17" s="403">
        <f xml:space="preserve">
IF($A$4&lt;=12,SUMIFS('ON Data'!AO:AO,'ON Data'!$D:$D,$A$4,'ON Data'!$E:$E,8),SUMIFS('ON Data'!AO:AO,'ON Data'!$E:$E,8))</f>
        <v>0</v>
      </c>
      <c r="AL17" s="403">
        <f xml:space="preserve">
IF($A$4&lt;=12,SUMIFS('ON Data'!AP:AP,'ON Data'!$D:$D,$A$4,'ON Data'!$E:$E,8),SUMIFS('ON Data'!AP:AP,'ON Data'!$E:$E,8))</f>
        <v>0</v>
      </c>
      <c r="AM17" s="403">
        <f xml:space="preserve">
IF($A$4&lt;=12,SUMIFS('ON Data'!AQ:AQ,'ON Data'!$D:$D,$A$4,'ON Data'!$E:$E,8),SUMIFS('ON Data'!AQ:AQ,'ON Data'!$E:$E,8))</f>
        <v>0</v>
      </c>
      <c r="AN17" s="402">
        <f xml:space="preserve">
IF($A$4&lt;=12,SUMIFS('ON Data'!AR:AR,'ON Data'!$D:$D,$A$4,'ON Data'!$E:$E,8),SUMIFS('ON Data'!AR:AR,'ON Data'!$E:$E,8))</f>
        <v>0</v>
      </c>
      <c r="AO17" s="403">
        <f xml:space="preserve">
IF($A$4&lt;=12,SUMIFS('ON Data'!AS:AS,'ON Data'!$D:$D,$A$4,'ON Data'!$E:$E,8),SUMIFS('ON Data'!AS:AS,'ON Data'!$E:$E,8))</f>
        <v>0</v>
      </c>
      <c r="AP17" s="403">
        <f xml:space="preserve">
IF($A$4&lt;=12,SUMIFS('ON Data'!AT:AT,'ON Data'!$D:$D,$A$4,'ON Data'!$E:$E,8),SUMIFS('ON Data'!AT:AT,'ON Data'!$E:$E,8))</f>
        <v>0</v>
      </c>
      <c r="AQ17" s="403">
        <f xml:space="preserve">
IF($A$4&lt;=12,SUMIFS('ON Data'!AU:AU,'ON Data'!$D:$D,$A$4,'ON Data'!$E:$E,8),SUMIFS('ON Data'!AU:AU,'ON Data'!$E:$E,8))</f>
        <v>0</v>
      </c>
      <c r="AR17" s="403">
        <f xml:space="preserve">
IF($A$4&lt;=12,SUMIFS('ON Data'!AV:AV,'ON Data'!$D:$D,$A$4,'ON Data'!$E:$E,8),SUMIFS('ON Data'!AV:AV,'ON Data'!$E:$E,8))</f>
        <v>0</v>
      </c>
      <c r="AS17" s="847">
        <f xml:space="preserve">
IF($A$4&lt;=12,SUMIFS('ON Data'!AW:AW,'ON Data'!$D:$D,$A$4,'ON Data'!$E:$E,8),SUMIFS('ON Data'!AW:AW,'ON Data'!$E:$E,8))</f>
        <v>0</v>
      </c>
      <c r="AT17" s="856"/>
    </row>
    <row r="18" spans="1:46" x14ac:dyDescent="0.3">
      <c r="A18" s="386" t="s">
        <v>238</v>
      </c>
      <c r="B18" s="401">
        <f xml:space="preserve">
B19-B16-B17</f>
        <v>28136</v>
      </c>
      <c r="C18" s="402">
        <f t="shared" ref="C18:I18" si="0" xml:space="preserve">
C19-C16-C17</f>
        <v>0</v>
      </c>
      <c r="D18" s="403">
        <f t="shared" si="0"/>
        <v>0</v>
      </c>
      <c r="E18" s="403"/>
      <c r="F18" s="403">
        <f t="shared" si="0"/>
        <v>0</v>
      </c>
      <c r="G18" s="403">
        <f t="shared" si="0"/>
        <v>0</v>
      </c>
      <c r="H18" s="403">
        <f t="shared" si="0"/>
        <v>0</v>
      </c>
      <c r="I18" s="403">
        <f t="shared" si="0"/>
        <v>0</v>
      </c>
      <c r="J18" s="403">
        <f t="shared" ref="J18:AK18" si="1" xml:space="preserve">
J19-J16-J17</f>
        <v>0</v>
      </c>
      <c r="K18" s="403">
        <f t="shared" si="1"/>
        <v>0</v>
      </c>
      <c r="L18" s="403">
        <f t="shared" si="1"/>
        <v>0</v>
      </c>
      <c r="M18" s="403">
        <f t="shared" si="1"/>
        <v>7034</v>
      </c>
      <c r="N18" s="403">
        <f t="shared" si="1"/>
        <v>17585</v>
      </c>
      <c r="O18" s="403">
        <f t="shared" si="1"/>
        <v>3517</v>
      </c>
      <c r="P18" s="403">
        <f t="shared" si="1"/>
        <v>0</v>
      </c>
      <c r="Q18" s="403">
        <f t="shared" si="1"/>
        <v>0</v>
      </c>
      <c r="R18" s="403">
        <f t="shared" si="1"/>
        <v>0</v>
      </c>
      <c r="S18" s="403">
        <f t="shared" si="1"/>
        <v>0</v>
      </c>
      <c r="T18" s="403">
        <f t="shared" si="1"/>
        <v>0</v>
      </c>
      <c r="U18" s="403">
        <f t="shared" si="1"/>
        <v>0</v>
      </c>
      <c r="V18" s="403">
        <f t="shared" si="1"/>
        <v>0</v>
      </c>
      <c r="W18" s="403">
        <f t="shared" si="1"/>
        <v>0</v>
      </c>
      <c r="X18" s="403">
        <f t="shared" si="1"/>
        <v>0</v>
      </c>
      <c r="Y18" s="403">
        <f t="shared" si="1"/>
        <v>0</v>
      </c>
      <c r="Z18" s="403">
        <f t="shared" si="1"/>
        <v>0</v>
      </c>
      <c r="AA18" s="403"/>
      <c r="AB18" s="403">
        <f t="shared" si="1"/>
        <v>0</v>
      </c>
      <c r="AC18" s="403">
        <f t="shared" si="1"/>
        <v>0</v>
      </c>
      <c r="AD18" s="403">
        <f t="shared" si="1"/>
        <v>0</v>
      </c>
      <c r="AE18" s="403">
        <f t="shared" si="1"/>
        <v>0</v>
      </c>
      <c r="AF18" s="403">
        <f t="shared" si="1"/>
        <v>0</v>
      </c>
      <c r="AG18" s="403">
        <f t="shared" si="1"/>
        <v>0</v>
      </c>
      <c r="AH18" s="403">
        <f t="shared" si="1"/>
        <v>0</v>
      </c>
      <c r="AI18" s="403">
        <f t="shared" si="1"/>
        <v>0</v>
      </c>
      <c r="AJ18" s="403">
        <f t="shared" si="1"/>
        <v>0</v>
      </c>
      <c r="AK18" s="403">
        <f t="shared" si="1"/>
        <v>0</v>
      </c>
      <c r="AL18" s="403">
        <f t="shared" ref="AL18:AS18" si="2" xml:space="preserve">
AL19-AL16-AL17</f>
        <v>0</v>
      </c>
      <c r="AM18" s="403">
        <f t="shared" si="2"/>
        <v>0</v>
      </c>
      <c r="AN18" s="402">
        <f t="shared" si="2"/>
        <v>0</v>
      </c>
      <c r="AO18" s="403">
        <f t="shared" si="2"/>
        <v>0</v>
      </c>
      <c r="AP18" s="403">
        <f t="shared" si="2"/>
        <v>0</v>
      </c>
      <c r="AQ18" s="403">
        <f t="shared" si="2"/>
        <v>0</v>
      </c>
      <c r="AR18" s="403">
        <f t="shared" si="2"/>
        <v>0</v>
      </c>
      <c r="AS18" s="847">
        <f t="shared" si="2"/>
        <v>0</v>
      </c>
      <c r="AT18" s="856"/>
    </row>
    <row r="19" spans="1:46" ht="15" thickBot="1" x14ac:dyDescent="0.35">
      <c r="A19" s="387" t="s">
        <v>239</v>
      </c>
      <c r="B19" s="412">
        <f xml:space="preserve">
IF($A$4&lt;=12,SUMIFS('ON Data'!F:F,'ON Data'!$D:$D,$A$4,'ON Data'!$E:$E,9),SUMIFS('ON Data'!F:F,'ON Data'!$E:$E,9))</f>
        <v>28136</v>
      </c>
      <c r="C19" s="413">
        <f xml:space="preserve">
IF($A$4&lt;=12,SUMIFS('ON Data'!G:G,'ON Data'!$D:$D,$A$4,'ON Data'!$E:$E,9),SUMIFS('ON Data'!G:G,'ON Data'!$E:$E,9))</f>
        <v>0</v>
      </c>
      <c r="D19" s="414">
        <f xml:space="preserve">
IF($A$4&lt;=12,SUMIFS('ON Data'!H:H,'ON Data'!$D:$D,$A$4,'ON Data'!$E:$E,9),SUMIFS('ON Data'!H:H,'ON Data'!$E:$E,9))</f>
        <v>0</v>
      </c>
      <c r="E19" s="414"/>
      <c r="F19" s="414">
        <f xml:space="preserve">
IF($A$4&lt;=12,SUMIFS('ON Data'!J:J,'ON Data'!$D:$D,$A$4,'ON Data'!$E:$E,9),SUMIFS('ON Data'!J:J,'ON Data'!$E:$E,9))</f>
        <v>0</v>
      </c>
      <c r="G19" s="414">
        <f xml:space="preserve">
IF($A$4&lt;=12,SUMIFS('ON Data'!K:K,'ON Data'!$D:$D,$A$4,'ON Data'!$E:$E,9),SUMIFS('ON Data'!K:K,'ON Data'!$E:$E,9))</f>
        <v>0</v>
      </c>
      <c r="H19" s="414">
        <f xml:space="preserve">
IF($A$4&lt;=12,SUMIFS('ON Data'!L:L,'ON Data'!$D:$D,$A$4,'ON Data'!$E:$E,9),SUMIFS('ON Data'!L:L,'ON Data'!$E:$E,9))</f>
        <v>0</v>
      </c>
      <c r="I19" s="414">
        <f xml:space="preserve">
IF($A$4&lt;=12,SUMIFS('ON Data'!M:M,'ON Data'!$D:$D,$A$4,'ON Data'!$E:$E,9),SUMIFS('ON Data'!M:M,'ON Data'!$E:$E,9))</f>
        <v>0</v>
      </c>
      <c r="J19" s="414">
        <f xml:space="preserve">
IF($A$4&lt;=12,SUMIFS('ON Data'!N:N,'ON Data'!$D:$D,$A$4,'ON Data'!$E:$E,9),SUMIFS('ON Data'!N:N,'ON Data'!$E:$E,9))</f>
        <v>0</v>
      </c>
      <c r="K19" s="414">
        <f xml:space="preserve">
IF($A$4&lt;=12,SUMIFS('ON Data'!O:O,'ON Data'!$D:$D,$A$4,'ON Data'!$E:$E,9),SUMIFS('ON Data'!O:O,'ON Data'!$E:$E,9))</f>
        <v>0</v>
      </c>
      <c r="L19" s="414">
        <f xml:space="preserve">
IF($A$4&lt;=12,SUMIFS('ON Data'!P:P,'ON Data'!$D:$D,$A$4,'ON Data'!$E:$E,9),SUMIFS('ON Data'!P:P,'ON Data'!$E:$E,9))</f>
        <v>0</v>
      </c>
      <c r="M19" s="414">
        <f xml:space="preserve">
IF($A$4&lt;=12,SUMIFS('ON Data'!Q:Q,'ON Data'!$D:$D,$A$4,'ON Data'!$E:$E,9),SUMIFS('ON Data'!Q:Q,'ON Data'!$E:$E,9))</f>
        <v>7034</v>
      </c>
      <c r="N19" s="414">
        <f xml:space="preserve">
IF($A$4&lt;=12,SUMIFS('ON Data'!R:R,'ON Data'!$D:$D,$A$4,'ON Data'!$E:$E,9),SUMIFS('ON Data'!R:R,'ON Data'!$E:$E,9))</f>
        <v>17585</v>
      </c>
      <c r="O19" s="414">
        <f xml:space="preserve">
IF($A$4&lt;=12,SUMIFS('ON Data'!S:S,'ON Data'!$D:$D,$A$4,'ON Data'!$E:$E,9),SUMIFS('ON Data'!S:S,'ON Data'!$E:$E,9))</f>
        <v>3517</v>
      </c>
      <c r="P19" s="414">
        <f xml:space="preserve">
IF($A$4&lt;=12,SUMIFS('ON Data'!T:T,'ON Data'!$D:$D,$A$4,'ON Data'!$E:$E,9),SUMIFS('ON Data'!T:T,'ON Data'!$E:$E,9))</f>
        <v>0</v>
      </c>
      <c r="Q19" s="414">
        <f xml:space="preserve">
IF($A$4&lt;=12,SUMIFS('ON Data'!U:U,'ON Data'!$D:$D,$A$4,'ON Data'!$E:$E,9),SUMIFS('ON Data'!U:U,'ON Data'!$E:$E,9))</f>
        <v>0</v>
      </c>
      <c r="R19" s="414">
        <f xml:space="preserve">
IF($A$4&lt;=12,SUMIFS('ON Data'!V:V,'ON Data'!$D:$D,$A$4,'ON Data'!$E:$E,9),SUMIFS('ON Data'!V:V,'ON Data'!$E:$E,9))</f>
        <v>0</v>
      </c>
      <c r="S19" s="414">
        <f xml:space="preserve">
IF($A$4&lt;=12,SUMIFS('ON Data'!W:W,'ON Data'!$D:$D,$A$4,'ON Data'!$E:$E,9),SUMIFS('ON Data'!W:W,'ON Data'!$E:$E,9))</f>
        <v>0</v>
      </c>
      <c r="T19" s="414">
        <f xml:space="preserve">
IF($A$4&lt;=12,SUMIFS('ON Data'!X:X,'ON Data'!$D:$D,$A$4,'ON Data'!$E:$E,9),SUMIFS('ON Data'!X:X,'ON Data'!$E:$E,9))</f>
        <v>0</v>
      </c>
      <c r="U19" s="414">
        <f xml:space="preserve">
IF($A$4&lt;=12,SUMIFS('ON Data'!Y:Y,'ON Data'!$D:$D,$A$4,'ON Data'!$E:$E,9),SUMIFS('ON Data'!Y:Y,'ON Data'!$E:$E,9))</f>
        <v>0</v>
      </c>
      <c r="V19" s="414">
        <f xml:space="preserve">
IF($A$4&lt;=12,SUMIFS('ON Data'!Z:Z,'ON Data'!$D:$D,$A$4,'ON Data'!$E:$E,9),SUMIFS('ON Data'!Z:Z,'ON Data'!$E:$E,9))</f>
        <v>0</v>
      </c>
      <c r="W19" s="414">
        <f xml:space="preserve">
IF($A$4&lt;=12,SUMIFS('ON Data'!AA:AA,'ON Data'!$D:$D,$A$4,'ON Data'!$E:$E,9),SUMIFS('ON Data'!AA:AA,'ON Data'!$E:$E,9))</f>
        <v>0</v>
      </c>
      <c r="X19" s="414">
        <f xml:space="preserve">
IF($A$4&lt;=12,SUMIFS('ON Data'!AB:AB,'ON Data'!$D:$D,$A$4,'ON Data'!$E:$E,9),SUMIFS('ON Data'!AB:AB,'ON Data'!$E:$E,9))</f>
        <v>0</v>
      </c>
      <c r="Y19" s="414">
        <f xml:space="preserve">
IF($A$4&lt;=12,SUMIFS('ON Data'!AC:AC,'ON Data'!$D:$D,$A$4,'ON Data'!$E:$E,9),SUMIFS('ON Data'!AC:AC,'ON Data'!$E:$E,9))</f>
        <v>0</v>
      </c>
      <c r="Z19" s="414">
        <f xml:space="preserve">
IF($A$4&lt;=12,SUMIFS('ON Data'!AD:AD,'ON Data'!$D:$D,$A$4,'ON Data'!$E:$E,9),SUMIFS('ON Data'!AD:AD,'ON Data'!$E:$E,9))</f>
        <v>0</v>
      </c>
      <c r="AA19" s="414"/>
      <c r="AB19" s="414">
        <f xml:space="preserve">
IF($A$4&lt;=12,SUMIFS('ON Data'!AF:AF,'ON Data'!$D:$D,$A$4,'ON Data'!$E:$E,9),SUMIFS('ON Data'!AF:AF,'ON Data'!$E:$E,9))</f>
        <v>0</v>
      </c>
      <c r="AC19" s="414">
        <f xml:space="preserve">
IF($A$4&lt;=12,SUMIFS('ON Data'!AG:AG,'ON Data'!$D:$D,$A$4,'ON Data'!$E:$E,9),SUMIFS('ON Data'!AG:AG,'ON Data'!$E:$E,9))</f>
        <v>0</v>
      </c>
      <c r="AD19" s="414">
        <f xml:space="preserve">
IF($A$4&lt;=12,SUMIFS('ON Data'!AH:AH,'ON Data'!$D:$D,$A$4,'ON Data'!$E:$E,9),SUMIFS('ON Data'!AH:AH,'ON Data'!$E:$E,9))</f>
        <v>0</v>
      </c>
      <c r="AE19" s="414">
        <f xml:space="preserve">
IF($A$4&lt;=12,SUMIFS('ON Data'!AI:AI,'ON Data'!$D:$D,$A$4,'ON Data'!$E:$E,9),SUMIFS('ON Data'!AI:AI,'ON Data'!$E:$E,9))</f>
        <v>0</v>
      </c>
      <c r="AF19" s="414">
        <f xml:space="preserve">
IF($A$4&lt;=12,SUMIFS('ON Data'!AJ:AJ,'ON Data'!$D:$D,$A$4,'ON Data'!$E:$E,9),SUMIFS('ON Data'!AJ:AJ,'ON Data'!$E:$E,9))</f>
        <v>0</v>
      </c>
      <c r="AG19" s="414">
        <f xml:space="preserve">
IF($A$4&lt;=12,SUMIFS('ON Data'!AK:AK,'ON Data'!$D:$D,$A$4,'ON Data'!$E:$E,9),SUMIFS('ON Data'!AK:AK,'ON Data'!$E:$E,9))</f>
        <v>0</v>
      </c>
      <c r="AH19" s="414">
        <f xml:space="preserve">
IF($A$4&lt;=12,SUMIFS('ON Data'!AL:AL,'ON Data'!$D:$D,$A$4,'ON Data'!$E:$E,9),SUMIFS('ON Data'!AL:AL,'ON Data'!$E:$E,9))</f>
        <v>0</v>
      </c>
      <c r="AI19" s="414">
        <f xml:space="preserve">
IF($A$4&lt;=12,SUMIFS('ON Data'!AM:AM,'ON Data'!$D:$D,$A$4,'ON Data'!$E:$E,9),SUMIFS('ON Data'!AM:AM,'ON Data'!$E:$E,9))</f>
        <v>0</v>
      </c>
      <c r="AJ19" s="414">
        <f xml:space="preserve">
IF($A$4&lt;=12,SUMIFS('ON Data'!AN:AN,'ON Data'!$D:$D,$A$4,'ON Data'!$E:$E,9),SUMIFS('ON Data'!AN:AN,'ON Data'!$E:$E,9))</f>
        <v>0</v>
      </c>
      <c r="AK19" s="414">
        <f xml:space="preserve">
IF($A$4&lt;=12,SUMIFS('ON Data'!AO:AO,'ON Data'!$D:$D,$A$4,'ON Data'!$E:$E,9),SUMIFS('ON Data'!AO:AO,'ON Data'!$E:$E,9))</f>
        <v>0</v>
      </c>
      <c r="AL19" s="414">
        <f xml:space="preserve">
IF($A$4&lt;=12,SUMIFS('ON Data'!AP:AP,'ON Data'!$D:$D,$A$4,'ON Data'!$E:$E,9),SUMIFS('ON Data'!AP:AP,'ON Data'!$E:$E,9))</f>
        <v>0</v>
      </c>
      <c r="AM19" s="414">
        <f xml:space="preserve">
IF($A$4&lt;=12,SUMIFS('ON Data'!AQ:AQ,'ON Data'!$D:$D,$A$4,'ON Data'!$E:$E,9),SUMIFS('ON Data'!AQ:AQ,'ON Data'!$E:$E,9))</f>
        <v>0</v>
      </c>
      <c r="AN19" s="413">
        <f xml:space="preserve">
IF($A$4&lt;=12,SUMIFS('ON Data'!AR:AR,'ON Data'!$D:$D,$A$4,'ON Data'!$E:$E,9),SUMIFS('ON Data'!AR:AR,'ON Data'!$E:$E,9))</f>
        <v>0</v>
      </c>
      <c r="AO19" s="414">
        <f xml:space="preserve">
IF($A$4&lt;=12,SUMIFS('ON Data'!AS:AS,'ON Data'!$D:$D,$A$4,'ON Data'!$E:$E,9),SUMIFS('ON Data'!AS:AS,'ON Data'!$E:$E,9))</f>
        <v>0</v>
      </c>
      <c r="AP19" s="414">
        <f xml:space="preserve">
IF($A$4&lt;=12,SUMIFS('ON Data'!AT:AT,'ON Data'!$D:$D,$A$4,'ON Data'!$E:$E,9),SUMIFS('ON Data'!AT:AT,'ON Data'!$E:$E,9))</f>
        <v>0</v>
      </c>
      <c r="AQ19" s="414">
        <f xml:space="preserve">
IF($A$4&lt;=12,SUMIFS('ON Data'!AU:AU,'ON Data'!$D:$D,$A$4,'ON Data'!$E:$E,9),SUMIFS('ON Data'!AU:AU,'ON Data'!$E:$E,9))</f>
        <v>0</v>
      </c>
      <c r="AR19" s="414">
        <f xml:space="preserve">
IF($A$4&lt;=12,SUMIFS('ON Data'!AV:AV,'ON Data'!$D:$D,$A$4,'ON Data'!$E:$E,9),SUMIFS('ON Data'!AV:AV,'ON Data'!$E:$E,9))</f>
        <v>0</v>
      </c>
      <c r="AS19" s="850">
        <f xml:space="preserve">
IF($A$4&lt;=12,SUMIFS('ON Data'!AW:AW,'ON Data'!$D:$D,$A$4,'ON Data'!$E:$E,9),SUMIFS('ON Data'!AW:AW,'ON Data'!$E:$E,9))</f>
        <v>0</v>
      </c>
      <c r="AT19" s="856"/>
    </row>
    <row r="20" spans="1:46" ht="15" collapsed="1" thickBot="1" x14ac:dyDescent="0.35">
      <c r="A20" s="388" t="s">
        <v>94</v>
      </c>
      <c r="B20" s="415">
        <f xml:space="preserve">
IF($A$4&lt;=12,SUMIFS('ON Data'!F:F,'ON Data'!$D:$D,$A$4,'ON Data'!$E:$E,6),SUMIFS('ON Data'!F:F,'ON Data'!$E:$E,6))</f>
        <v>5940120</v>
      </c>
      <c r="C20" s="416">
        <f xml:space="preserve">
IF($A$4&lt;=12,SUMIFS('ON Data'!G:G,'ON Data'!$D:$D,$A$4,'ON Data'!$E:$E,6),SUMIFS('ON Data'!G:G,'ON Data'!$E:$E,6))</f>
        <v>0</v>
      </c>
      <c r="D20" s="417">
        <f xml:space="preserve">
IF($A$4&lt;=12,SUMIFS('ON Data'!H:H,'ON Data'!$D:$D,$A$4,'ON Data'!$E:$E,6),SUMIFS('ON Data'!H:H,'ON Data'!$E:$E,6))</f>
        <v>0</v>
      </c>
      <c r="E20" s="417"/>
      <c r="F20" s="417">
        <f xml:space="preserve">
IF($A$4&lt;=12,SUMIFS('ON Data'!J:J,'ON Data'!$D:$D,$A$4,'ON Data'!$E:$E,6),SUMIFS('ON Data'!J:J,'ON Data'!$E:$E,6))</f>
        <v>265359</v>
      </c>
      <c r="G20" s="417">
        <f xml:space="preserve">
IF($A$4&lt;=12,SUMIFS('ON Data'!K:K,'ON Data'!$D:$D,$A$4,'ON Data'!$E:$E,6),SUMIFS('ON Data'!K:K,'ON Data'!$E:$E,6))</f>
        <v>4924</v>
      </c>
      <c r="H20" s="417">
        <f xml:space="preserve">
IF($A$4&lt;=12,SUMIFS('ON Data'!L:L,'ON Data'!$D:$D,$A$4,'ON Data'!$E:$E,6),SUMIFS('ON Data'!L:L,'ON Data'!$E:$E,6))</f>
        <v>3147527</v>
      </c>
      <c r="I20" s="417">
        <f xml:space="preserve">
IF($A$4&lt;=12,SUMIFS('ON Data'!M:M,'ON Data'!$D:$D,$A$4,'ON Data'!$E:$E,6),SUMIFS('ON Data'!M:M,'ON Data'!$E:$E,6))</f>
        <v>0</v>
      </c>
      <c r="J20" s="417">
        <f xml:space="preserve">
IF($A$4&lt;=12,SUMIFS('ON Data'!N:N,'ON Data'!$D:$D,$A$4,'ON Data'!$E:$E,6),SUMIFS('ON Data'!N:N,'ON Data'!$E:$E,6))</f>
        <v>0</v>
      </c>
      <c r="K20" s="417">
        <f xml:space="preserve">
IF($A$4&lt;=12,SUMIFS('ON Data'!O:O,'ON Data'!$D:$D,$A$4,'ON Data'!$E:$E,6),SUMIFS('ON Data'!O:O,'ON Data'!$E:$E,6))</f>
        <v>0</v>
      </c>
      <c r="L20" s="417">
        <f xml:space="preserve">
IF($A$4&lt;=12,SUMIFS('ON Data'!P:P,'ON Data'!$D:$D,$A$4,'ON Data'!$E:$E,6),SUMIFS('ON Data'!P:P,'ON Data'!$E:$E,6))</f>
        <v>0</v>
      </c>
      <c r="M20" s="417">
        <f xml:space="preserve">
IF($A$4&lt;=12,SUMIFS('ON Data'!Q:Q,'ON Data'!$D:$D,$A$4,'ON Data'!$E:$E,6),SUMIFS('ON Data'!Q:Q,'ON Data'!$E:$E,6))</f>
        <v>638340</v>
      </c>
      <c r="N20" s="417">
        <f xml:space="preserve">
IF($A$4&lt;=12,SUMIFS('ON Data'!R:R,'ON Data'!$D:$D,$A$4,'ON Data'!$E:$E,6),SUMIFS('ON Data'!R:R,'ON Data'!$E:$E,6))</f>
        <v>754440</v>
      </c>
      <c r="O20" s="417">
        <f xml:space="preserve">
IF($A$4&lt;=12,SUMIFS('ON Data'!S:S,'ON Data'!$D:$D,$A$4,'ON Data'!$E:$E,6),SUMIFS('ON Data'!S:S,'ON Data'!$E:$E,6))</f>
        <v>235078</v>
      </c>
      <c r="P20" s="417">
        <f xml:space="preserve">
IF($A$4&lt;=12,SUMIFS('ON Data'!T:T,'ON Data'!$D:$D,$A$4,'ON Data'!$E:$E,6),SUMIFS('ON Data'!T:T,'ON Data'!$E:$E,6))</f>
        <v>0</v>
      </c>
      <c r="Q20" s="417">
        <f xml:space="preserve">
IF($A$4&lt;=12,SUMIFS('ON Data'!U:U,'ON Data'!$D:$D,$A$4,'ON Data'!$E:$E,6),SUMIFS('ON Data'!U:U,'ON Data'!$E:$E,6))</f>
        <v>0</v>
      </c>
      <c r="R20" s="417">
        <f xml:space="preserve">
IF($A$4&lt;=12,SUMIFS('ON Data'!V:V,'ON Data'!$D:$D,$A$4,'ON Data'!$E:$E,6),SUMIFS('ON Data'!V:V,'ON Data'!$E:$E,6))</f>
        <v>0</v>
      </c>
      <c r="S20" s="417">
        <f xml:space="preserve">
IF($A$4&lt;=12,SUMIFS('ON Data'!W:W,'ON Data'!$D:$D,$A$4,'ON Data'!$E:$E,6),SUMIFS('ON Data'!W:W,'ON Data'!$E:$E,6))</f>
        <v>0</v>
      </c>
      <c r="T20" s="417">
        <f xml:space="preserve">
IF($A$4&lt;=12,SUMIFS('ON Data'!X:X,'ON Data'!$D:$D,$A$4,'ON Data'!$E:$E,6),SUMIFS('ON Data'!X:X,'ON Data'!$E:$E,6))</f>
        <v>0</v>
      </c>
      <c r="U20" s="417">
        <f xml:space="preserve">
IF($A$4&lt;=12,SUMIFS('ON Data'!Y:Y,'ON Data'!$D:$D,$A$4,'ON Data'!$E:$E,6),SUMIFS('ON Data'!Y:Y,'ON Data'!$E:$E,6))</f>
        <v>0</v>
      </c>
      <c r="V20" s="417">
        <f xml:space="preserve">
IF($A$4&lt;=12,SUMIFS('ON Data'!Z:Z,'ON Data'!$D:$D,$A$4,'ON Data'!$E:$E,6),SUMIFS('ON Data'!Z:Z,'ON Data'!$E:$E,6))</f>
        <v>0</v>
      </c>
      <c r="W20" s="417">
        <f xml:space="preserve">
IF($A$4&lt;=12,SUMIFS('ON Data'!AA:AA,'ON Data'!$D:$D,$A$4,'ON Data'!$E:$E,6),SUMIFS('ON Data'!AA:AA,'ON Data'!$E:$E,6))</f>
        <v>0</v>
      </c>
      <c r="X20" s="417">
        <f xml:space="preserve">
IF($A$4&lt;=12,SUMIFS('ON Data'!AB:AB,'ON Data'!$D:$D,$A$4,'ON Data'!$E:$E,6),SUMIFS('ON Data'!AB:AB,'ON Data'!$E:$E,6))</f>
        <v>0</v>
      </c>
      <c r="Y20" s="417">
        <f xml:space="preserve">
IF($A$4&lt;=12,SUMIFS('ON Data'!AC:AC,'ON Data'!$D:$D,$A$4,'ON Data'!$E:$E,6),SUMIFS('ON Data'!AC:AC,'ON Data'!$E:$E,6))</f>
        <v>0</v>
      </c>
      <c r="Z20" s="417">
        <f xml:space="preserve">
IF($A$4&lt;=12,SUMIFS('ON Data'!AD:AD,'ON Data'!$D:$D,$A$4,'ON Data'!$E:$E,6),SUMIFS('ON Data'!AD:AD,'ON Data'!$E:$E,6))</f>
        <v>0</v>
      </c>
      <c r="AA20" s="417"/>
      <c r="AB20" s="417">
        <f xml:space="preserve">
IF($A$4&lt;=12,SUMIFS('ON Data'!AF:AF,'ON Data'!$D:$D,$A$4,'ON Data'!$E:$E,6),SUMIFS('ON Data'!AF:AF,'ON Data'!$E:$E,6))</f>
        <v>0</v>
      </c>
      <c r="AC20" s="417">
        <f xml:space="preserve">
IF($A$4&lt;=12,SUMIFS('ON Data'!AG:AG,'ON Data'!$D:$D,$A$4,'ON Data'!$E:$E,6),SUMIFS('ON Data'!AG:AG,'ON Data'!$E:$E,6))</f>
        <v>0</v>
      </c>
      <c r="AD20" s="417">
        <f xml:space="preserve">
IF($A$4&lt;=12,SUMIFS('ON Data'!AH:AH,'ON Data'!$D:$D,$A$4,'ON Data'!$E:$E,6),SUMIFS('ON Data'!AH:AH,'ON Data'!$E:$E,6))</f>
        <v>0</v>
      </c>
      <c r="AE20" s="417">
        <f xml:space="preserve">
IF($A$4&lt;=12,SUMIFS('ON Data'!AI:AI,'ON Data'!$D:$D,$A$4,'ON Data'!$E:$E,6),SUMIFS('ON Data'!AI:AI,'ON Data'!$E:$E,6))</f>
        <v>0</v>
      </c>
      <c r="AF20" s="417">
        <f xml:space="preserve">
IF($A$4&lt;=12,SUMIFS('ON Data'!AJ:AJ,'ON Data'!$D:$D,$A$4,'ON Data'!$E:$E,6),SUMIFS('ON Data'!AJ:AJ,'ON Data'!$E:$E,6))</f>
        <v>0</v>
      </c>
      <c r="AG20" s="417">
        <f xml:space="preserve">
IF($A$4&lt;=12,SUMIFS('ON Data'!AK:AK,'ON Data'!$D:$D,$A$4,'ON Data'!$E:$E,6),SUMIFS('ON Data'!AK:AK,'ON Data'!$E:$E,6))</f>
        <v>0</v>
      </c>
      <c r="AH20" s="417">
        <f xml:space="preserve">
IF($A$4&lt;=12,SUMIFS('ON Data'!AL:AL,'ON Data'!$D:$D,$A$4,'ON Data'!$E:$E,6),SUMIFS('ON Data'!AL:AL,'ON Data'!$E:$E,6))</f>
        <v>0</v>
      </c>
      <c r="AI20" s="417">
        <f xml:space="preserve">
IF($A$4&lt;=12,SUMIFS('ON Data'!AM:AM,'ON Data'!$D:$D,$A$4,'ON Data'!$E:$E,6),SUMIFS('ON Data'!AM:AM,'ON Data'!$E:$E,6))</f>
        <v>0</v>
      </c>
      <c r="AJ20" s="417">
        <f xml:space="preserve">
IF($A$4&lt;=12,SUMIFS('ON Data'!AN:AN,'ON Data'!$D:$D,$A$4,'ON Data'!$E:$E,6),SUMIFS('ON Data'!AN:AN,'ON Data'!$E:$E,6))</f>
        <v>0</v>
      </c>
      <c r="AK20" s="417">
        <f xml:space="preserve">
IF($A$4&lt;=12,SUMIFS('ON Data'!AO:AO,'ON Data'!$D:$D,$A$4,'ON Data'!$E:$E,6),SUMIFS('ON Data'!AO:AO,'ON Data'!$E:$E,6))</f>
        <v>0</v>
      </c>
      <c r="AL20" s="417">
        <f xml:space="preserve">
IF($A$4&lt;=12,SUMIFS('ON Data'!AP:AP,'ON Data'!$D:$D,$A$4,'ON Data'!$E:$E,6),SUMIFS('ON Data'!AP:AP,'ON Data'!$E:$E,6))</f>
        <v>0</v>
      </c>
      <c r="AM20" s="417">
        <f xml:space="preserve">
IF($A$4&lt;=12,SUMIFS('ON Data'!AQ:AQ,'ON Data'!$D:$D,$A$4,'ON Data'!$E:$E,6),SUMIFS('ON Data'!AQ:AQ,'ON Data'!$E:$E,6))</f>
        <v>93056</v>
      </c>
      <c r="AN20" s="416">
        <f xml:space="preserve">
IF($A$4&lt;=12,SUMIFS('ON Data'!AR:AR,'ON Data'!$D:$D,$A$4,'ON Data'!$E:$E,6),SUMIFS('ON Data'!AR:AR,'ON Data'!$E:$E,6))</f>
        <v>0</v>
      </c>
      <c r="AO20" s="417">
        <f xml:space="preserve">
IF($A$4&lt;=12,SUMIFS('ON Data'!AS:AS,'ON Data'!$D:$D,$A$4,'ON Data'!$E:$E,6),SUMIFS('ON Data'!AS:AS,'ON Data'!$E:$E,6))</f>
        <v>0</v>
      </c>
      <c r="AP20" s="417">
        <f xml:space="preserve">
IF($A$4&lt;=12,SUMIFS('ON Data'!AT:AT,'ON Data'!$D:$D,$A$4,'ON Data'!$E:$E,6),SUMIFS('ON Data'!AT:AT,'ON Data'!$E:$E,6))</f>
        <v>657026</v>
      </c>
      <c r="AQ20" s="417">
        <f xml:space="preserve">
IF($A$4&lt;=12,SUMIFS('ON Data'!AU:AU,'ON Data'!$D:$D,$A$4,'ON Data'!$E:$E,6),SUMIFS('ON Data'!AU:AU,'ON Data'!$E:$E,6))</f>
        <v>0</v>
      </c>
      <c r="AR20" s="417">
        <f xml:space="preserve">
IF($A$4&lt;=12,SUMIFS('ON Data'!AV:AV,'ON Data'!$D:$D,$A$4,'ON Data'!$E:$E,6),SUMIFS('ON Data'!AV:AV,'ON Data'!$E:$E,6))</f>
        <v>0</v>
      </c>
      <c r="AS20" s="851">
        <f xml:space="preserve">
IF($A$4&lt;=12,SUMIFS('ON Data'!AW:AW,'ON Data'!$D:$D,$A$4,'ON Data'!$E:$E,6),SUMIFS('ON Data'!AW:AW,'ON Data'!$E:$E,6))</f>
        <v>0</v>
      </c>
      <c r="AT20" s="856"/>
    </row>
    <row r="21" spans="1:46" ht="15" hidden="1" outlineLevel="1" thickBot="1" x14ac:dyDescent="0.35">
      <c r="A21" s="381" t="s">
        <v>131</v>
      </c>
      <c r="B21" s="401">
        <f xml:space="preserve">
IF($A$4&lt;=12,SUMIFS('ON Data'!F:F,'ON Data'!$D:$D,$A$4,'ON Data'!$E:$E,12),SUMIFS('ON Data'!F:F,'ON Data'!$E:$E,12))</f>
        <v>0</v>
      </c>
      <c r="C21" s="402">
        <f xml:space="preserve">
IF($A$4&lt;=12,SUMIFS('ON Data'!G:G,'ON Data'!$D:$D,$A$4,'ON Data'!$E:$E,12),SUMIFS('ON Data'!G:G,'ON Data'!$E:$E,12))</f>
        <v>0</v>
      </c>
      <c r="D21" s="403">
        <f xml:space="preserve">
IF($A$4&lt;=12,SUMIFS('ON Data'!H:H,'ON Data'!$D:$D,$A$4,'ON Data'!$E:$E,12),SUMIFS('ON Data'!H:H,'ON Data'!$E:$E,12))</f>
        <v>0</v>
      </c>
      <c r="E21" s="403"/>
      <c r="F21" s="403">
        <f xml:space="preserve">
IF($A$4&lt;=12,SUMIFS('ON Data'!J:J,'ON Data'!$D:$D,$A$4,'ON Data'!$E:$E,12),SUMIFS('ON Data'!J:J,'ON Data'!$E:$E,12))</f>
        <v>0</v>
      </c>
      <c r="G21" s="403">
        <f xml:space="preserve">
IF($A$4&lt;=12,SUMIFS('ON Data'!K:K,'ON Data'!$D:$D,$A$4,'ON Data'!$E:$E,12),SUMIFS('ON Data'!K:K,'ON Data'!$E:$E,12))</f>
        <v>0</v>
      </c>
      <c r="H21" s="403">
        <f xml:space="preserve">
IF($A$4&lt;=12,SUMIFS('ON Data'!L:L,'ON Data'!$D:$D,$A$4,'ON Data'!$E:$E,12),SUMIFS('ON Data'!L:L,'ON Data'!$E:$E,12))</f>
        <v>0</v>
      </c>
      <c r="I21" s="403">
        <f xml:space="preserve">
IF($A$4&lt;=12,SUMIFS('ON Data'!M:M,'ON Data'!$D:$D,$A$4,'ON Data'!$E:$E,12),SUMIFS('ON Data'!M:M,'ON Data'!$E:$E,12))</f>
        <v>0</v>
      </c>
      <c r="J21" s="403">
        <f xml:space="preserve">
IF($A$4&lt;=12,SUMIFS('ON Data'!N:N,'ON Data'!$D:$D,$A$4,'ON Data'!$E:$E,12),SUMIFS('ON Data'!N:N,'ON Data'!$E:$E,12))</f>
        <v>0</v>
      </c>
      <c r="K21" s="403">
        <f xml:space="preserve">
IF($A$4&lt;=12,SUMIFS('ON Data'!O:O,'ON Data'!$D:$D,$A$4,'ON Data'!$E:$E,12),SUMIFS('ON Data'!O:O,'ON Data'!$E:$E,12))</f>
        <v>0</v>
      </c>
      <c r="L21" s="403">
        <f xml:space="preserve">
IF($A$4&lt;=12,SUMIFS('ON Data'!P:P,'ON Data'!$D:$D,$A$4,'ON Data'!$E:$E,12),SUMIFS('ON Data'!P:P,'ON Data'!$E:$E,12))</f>
        <v>0</v>
      </c>
      <c r="M21" s="403">
        <f xml:space="preserve">
IF($A$4&lt;=12,SUMIFS('ON Data'!Q:Q,'ON Data'!$D:$D,$A$4,'ON Data'!$E:$E,12),SUMIFS('ON Data'!Q:Q,'ON Data'!$E:$E,12))</f>
        <v>0</v>
      </c>
      <c r="N21" s="403">
        <f xml:space="preserve">
IF($A$4&lt;=12,SUMIFS('ON Data'!R:R,'ON Data'!$D:$D,$A$4,'ON Data'!$E:$E,12),SUMIFS('ON Data'!R:R,'ON Data'!$E:$E,12))</f>
        <v>0</v>
      </c>
      <c r="O21" s="403">
        <f xml:space="preserve">
IF($A$4&lt;=12,SUMIFS('ON Data'!S:S,'ON Data'!$D:$D,$A$4,'ON Data'!$E:$E,12),SUMIFS('ON Data'!S:S,'ON Data'!$E:$E,12))</f>
        <v>0</v>
      </c>
      <c r="P21" s="403">
        <f xml:space="preserve">
IF($A$4&lt;=12,SUMIFS('ON Data'!T:T,'ON Data'!$D:$D,$A$4,'ON Data'!$E:$E,12),SUMIFS('ON Data'!T:T,'ON Data'!$E:$E,12))</f>
        <v>0</v>
      </c>
      <c r="Q21" s="403">
        <f xml:space="preserve">
IF($A$4&lt;=12,SUMIFS('ON Data'!U:U,'ON Data'!$D:$D,$A$4,'ON Data'!$E:$E,12),SUMIFS('ON Data'!U:U,'ON Data'!$E:$E,12))</f>
        <v>0</v>
      </c>
      <c r="R21" s="403">
        <f xml:space="preserve">
IF($A$4&lt;=12,SUMIFS('ON Data'!V:V,'ON Data'!$D:$D,$A$4,'ON Data'!$E:$E,12),SUMIFS('ON Data'!V:V,'ON Data'!$E:$E,12))</f>
        <v>0</v>
      </c>
      <c r="S21" s="403">
        <f xml:space="preserve">
IF($A$4&lt;=12,SUMIFS('ON Data'!W:W,'ON Data'!$D:$D,$A$4,'ON Data'!$E:$E,12),SUMIFS('ON Data'!W:W,'ON Data'!$E:$E,12))</f>
        <v>0</v>
      </c>
      <c r="T21" s="403">
        <f xml:space="preserve">
IF($A$4&lt;=12,SUMIFS('ON Data'!X:X,'ON Data'!$D:$D,$A$4,'ON Data'!$E:$E,12),SUMIFS('ON Data'!X:X,'ON Data'!$E:$E,12))</f>
        <v>0</v>
      </c>
      <c r="U21" s="403">
        <f xml:space="preserve">
IF($A$4&lt;=12,SUMIFS('ON Data'!Y:Y,'ON Data'!$D:$D,$A$4,'ON Data'!$E:$E,12),SUMIFS('ON Data'!Y:Y,'ON Data'!$E:$E,12))</f>
        <v>0</v>
      </c>
      <c r="V21" s="403">
        <f xml:space="preserve">
IF($A$4&lt;=12,SUMIFS('ON Data'!Z:Z,'ON Data'!$D:$D,$A$4,'ON Data'!$E:$E,12),SUMIFS('ON Data'!Z:Z,'ON Data'!$E:$E,12))</f>
        <v>0</v>
      </c>
      <c r="W21" s="403">
        <f xml:space="preserve">
IF($A$4&lt;=12,SUMIFS('ON Data'!AA:AA,'ON Data'!$D:$D,$A$4,'ON Data'!$E:$E,12),SUMIFS('ON Data'!AA:AA,'ON Data'!$E:$E,12))</f>
        <v>0</v>
      </c>
      <c r="X21" s="403">
        <f xml:space="preserve">
IF($A$4&lt;=12,SUMIFS('ON Data'!AB:AB,'ON Data'!$D:$D,$A$4,'ON Data'!$E:$E,12),SUMIFS('ON Data'!AB:AB,'ON Data'!$E:$E,12))</f>
        <v>0</v>
      </c>
      <c r="Y21" s="403">
        <f xml:space="preserve">
IF($A$4&lt;=12,SUMIFS('ON Data'!AC:AC,'ON Data'!$D:$D,$A$4,'ON Data'!$E:$E,12),SUMIFS('ON Data'!AC:AC,'ON Data'!$E:$E,12))</f>
        <v>0</v>
      </c>
      <c r="Z21" s="403">
        <f xml:space="preserve">
IF($A$4&lt;=12,SUMIFS('ON Data'!AD:AD,'ON Data'!$D:$D,$A$4,'ON Data'!$E:$E,12),SUMIFS('ON Data'!AD:AD,'ON Data'!$E:$E,12))</f>
        <v>0</v>
      </c>
      <c r="AA21" s="403"/>
      <c r="AB21" s="403">
        <f xml:space="preserve">
IF($A$4&lt;=12,SUMIFS('ON Data'!AF:AF,'ON Data'!$D:$D,$A$4,'ON Data'!$E:$E,12),SUMIFS('ON Data'!AF:AF,'ON Data'!$E:$E,12))</f>
        <v>0</v>
      </c>
      <c r="AC21" s="403">
        <f xml:space="preserve">
IF($A$4&lt;=12,SUMIFS('ON Data'!AG:AG,'ON Data'!$D:$D,$A$4,'ON Data'!$E:$E,12),SUMIFS('ON Data'!AG:AG,'ON Data'!$E:$E,12))</f>
        <v>0</v>
      </c>
      <c r="AD21" s="403">
        <f xml:space="preserve">
IF($A$4&lt;=12,SUMIFS('ON Data'!AH:AH,'ON Data'!$D:$D,$A$4,'ON Data'!$E:$E,12),SUMIFS('ON Data'!AH:AH,'ON Data'!$E:$E,12))</f>
        <v>0</v>
      </c>
      <c r="AE21" s="403">
        <f xml:space="preserve">
IF($A$4&lt;=12,SUMIFS('ON Data'!AI:AI,'ON Data'!$D:$D,$A$4,'ON Data'!$E:$E,12),SUMIFS('ON Data'!AI:AI,'ON Data'!$E:$E,12))</f>
        <v>0</v>
      </c>
      <c r="AF21" s="403">
        <f xml:space="preserve">
IF($A$4&lt;=12,SUMIFS('ON Data'!AJ:AJ,'ON Data'!$D:$D,$A$4,'ON Data'!$E:$E,12),SUMIFS('ON Data'!AJ:AJ,'ON Data'!$E:$E,12))</f>
        <v>0</v>
      </c>
      <c r="AG21" s="403">
        <f xml:space="preserve">
IF($A$4&lt;=12,SUMIFS('ON Data'!AK:AK,'ON Data'!$D:$D,$A$4,'ON Data'!$E:$E,12),SUMIFS('ON Data'!AK:AK,'ON Data'!$E:$E,12))</f>
        <v>0</v>
      </c>
      <c r="AH21" s="403">
        <f xml:space="preserve">
IF($A$4&lt;=12,SUMIFS('ON Data'!AL:AL,'ON Data'!$D:$D,$A$4,'ON Data'!$E:$E,12),SUMIFS('ON Data'!AL:AL,'ON Data'!$E:$E,12))</f>
        <v>0</v>
      </c>
      <c r="AI21" s="403">
        <f xml:space="preserve">
IF($A$4&lt;=12,SUMIFS('ON Data'!AM:AM,'ON Data'!$D:$D,$A$4,'ON Data'!$E:$E,12),SUMIFS('ON Data'!AM:AM,'ON Data'!$E:$E,12))</f>
        <v>0</v>
      </c>
      <c r="AJ21" s="403">
        <f xml:space="preserve">
IF($A$4&lt;=12,SUMIFS('ON Data'!AN:AN,'ON Data'!$D:$D,$A$4,'ON Data'!$E:$E,12),SUMIFS('ON Data'!AN:AN,'ON Data'!$E:$E,12))</f>
        <v>0</v>
      </c>
      <c r="AK21" s="403">
        <f xml:space="preserve">
IF($A$4&lt;=12,SUMIFS('ON Data'!AO:AO,'ON Data'!$D:$D,$A$4,'ON Data'!$E:$E,12),SUMIFS('ON Data'!AO:AO,'ON Data'!$E:$E,12))</f>
        <v>0</v>
      </c>
      <c r="AL21" s="403">
        <f xml:space="preserve">
IF($A$4&lt;=12,SUMIFS('ON Data'!AP:AP,'ON Data'!$D:$D,$A$4,'ON Data'!$E:$E,12),SUMIFS('ON Data'!AP:AP,'ON Data'!$E:$E,12))</f>
        <v>0</v>
      </c>
      <c r="AM21" s="404">
        <f xml:space="preserve">
IF($A$4&lt;=12,SUMIFS('ON Data'!AQ:AQ,'ON Data'!$D:$D,$A$4,'ON Data'!$E:$E,12),SUMIFS('ON Data'!AQ:AQ,'ON Data'!$E:$E,12))</f>
        <v>0</v>
      </c>
      <c r="AN21" s="503"/>
      <c r="AO21" s="503"/>
      <c r="AP21" s="503"/>
      <c r="AQ21" s="503"/>
      <c r="AR21" s="503"/>
      <c r="AS21" s="503"/>
      <c r="AT21" s="856"/>
    </row>
    <row r="22" spans="1:46" ht="15" hidden="1" outlineLevel="1" thickBot="1" x14ac:dyDescent="0.35">
      <c r="A22" s="381" t="s">
        <v>96</v>
      </c>
      <c r="B22" s="463" t="str">
        <f xml:space="preserve">
IF(OR(B21="",B21=0),"",B20/B21)</f>
        <v/>
      </c>
      <c r="C22" s="464" t="str">
        <f t="shared" ref="C22:I22" si="3" xml:space="preserve">
IF(OR(C21="",C21=0),"",C20/C21)</f>
        <v/>
      </c>
      <c r="D22" s="465" t="str">
        <f t="shared" si="3"/>
        <v/>
      </c>
      <c r="E22" s="465"/>
      <c r="F22" s="465" t="str">
        <f t="shared" si="3"/>
        <v/>
      </c>
      <c r="G22" s="465" t="str">
        <f t="shared" si="3"/>
        <v/>
      </c>
      <c r="H22" s="465" t="str">
        <f t="shared" si="3"/>
        <v/>
      </c>
      <c r="I22" s="465" t="str">
        <f t="shared" si="3"/>
        <v/>
      </c>
      <c r="J22" s="465" t="str">
        <f t="shared" ref="J22:AM22" si="4" xml:space="preserve">
IF(OR(J21="",J21=0),"",J20/J21)</f>
        <v/>
      </c>
      <c r="K22" s="465" t="str">
        <f t="shared" si="4"/>
        <v/>
      </c>
      <c r="L22" s="465" t="str">
        <f t="shared" si="4"/>
        <v/>
      </c>
      <c r="M22" s="465" t="str">
        <f t="shared" si="4"/>
        <v/>
      </c>
      <c r="N22" s="465" t="str">
        <f t="shared" si="4"/>
        <v/>
      </c>
      <c r="O22" s="465" t="str">
        <f t="shared" si="4"/>
        <v/>
      </c>
      <c r="P22" s="465" t="str">
        <f t="shared" si="4"/>
        <v/>
      </c>
      <c r="Q22" s="465" t="str">
        <f t="shared" si="4"/>
        <v/>
      </c>
      <c r="R22" s="465" t="str">
        <f t="shared" si="4"/>
        <v/>
      </c>
      <c r="S22" s="465" t="str">
        <f t="shared" si="4"/>
        <v/>
      </c>
      <c r="T22" s="465" t="str">
        <f t="shared" si="4"/>
        <v/>
      </c>
      <c r="U22" s="465" t="str">
        <f t="shared" si="4"/>
        <v/>
      </c>
      <c r="V22" s="465" t="str">
        <f t="shared" si="4"/>
        <v/>
      </c>
      <c r="W22" s="465" t="str">
        <f t="shared" si="4"/>
        <v/>
      </c>
      <c r="X22" s="465" t="str">
        <f t="shared" si="4"/>
        <v/>
      </c>
      <c r="Y22" s="465" t="str">
        <f t="shared" si="4"/>
        <v/>
      </c>
      <c r="Z22" s="465" t="str">
        <f t="shared" si="4"/>
        <v/>
      </c>
      <c r="AA22" s="465"/>
      <c r="AB22" s="465" t="str">
        <f t="shared" si="4"/>
        <v/>
      </c>
      <c r="AC22" s="465" t="str">
        <f t="shared" si="4"/>
        <v/>
      </c>
      <c r="AD22" s="465" t="str">
        <f t="shared" si="4"/>
        <v/>
      </c>
      <c r="AE22" s="465" t="str">
        <f t="shared" si="4"/>
        <v/>
      </c>
      <c r="AF22" s="465" t="str">
        <f t="shared" si="4"/>
        <v/>
      </c>
      <c r="AG22" s="465" t="str">
        <f t="shared" si="4"/>
        <v/>
      </c>
      <c r="AH22" s="465" t="str">
        <f t="shared" si="4"/>
        <v/>
      </c>
      <c r="AI22" s="465" t="str">
        <f t="shared" si="4"/>
        <v/>
      </c>
      <c r="AJ22" s="465" t="str">
        <f t="shared" si="4"/>
        <v/>
      </c>
      <c r="AK22" s="465" t="str">
        <f t="shared" si="4"/>
        <v/>
      </c>
      <c r="AL22" s="465" t="str">
        <f t="shared" si="4"/>
        <v/>
      </c>
      <c r="AM22" s="466" t="str">
        <f t="shared" si="4"/>
        <v/>
      </c>
      <c r="AN22" s="503"/>
      <c r="AO22" s="503"/>
      <c r="AP22" s="503"/>
      <c r="AQ22" s="503"/>
      <c r="AR22" s="503"/>
      <c r="AS22" s="503"/>
      <c r="AT22" s="856"/>
    </row>
    <row r="23" spans="1:46" ht="15" hidden="1" outlineLevel="1" thickBot="1" x14ac:dyDescent="0.35">
      <c r="A23" s="389" t="s">
        <v>69</v>
      </c>
      <c r="B23" s="405">
        <f xml:space="preserve">
IF(B21="","",B20-B21)</f>
        <v>5940120</v>
      </c>
      <c r="C23" s="406">
        <f t="shared" ref="C23:I23" si="5" xml:space="preserve">
IF(C21="","",C20-C21)</f>
        <v>0</v>
      </c>
      <c r="D23" s="407">
        <f t="shared" si="5"/>
        <v>0</v>
      </c>
      <c r="E23" s="407"/>
      <c r="F23" s="407">
        <f t="shared" si="5"/>
        <v>265359</v>
      </c>
      <c r="G23" s="407">
        <f t="shared" si="5"/>
        <v>4924</v>
      </c>
      <c r="H23" s="407">
        <f t="shared" si="5"/>
        <v>3147527</v>
      </c>
      <c r="I23" s="407">
        <f t="shared" si="5"/>
        <v>0</v>
      </c>
      <c r="J23" s="407">
        <f t="shared" ref="J23:AM23" si="6" xml:space="preserve">
IF(J21="","",J20-J21)</f>
        <v>0</v>
      </c>
      <c r="K23" s="407">
        <f t="shared" si="6"/>
        <v>0</v>
      </c>
      <c r="L23" s="407">
        <f t="shared" si="6"/>
        <v>0</v>
      </c>
      <c r="M23" s="407">
        <f t="shared" si="6"/>
        <v>638340</v>
      </c>
      <c r="N23" s="407">
        <f t="shared" si="6"/>
        <v>754440</v>
      </c>
      <c r="O23" s="407">
        <f t="shared" si="6"/>
        <v>235078</v>
      </c>
      <c r="P23" s="407">
        <f t="shared" si="6"/>
        <v>0</v>
      </c>
      <c r="Q23" s="407">
        <f t="shared" si="6"/>
        <v>0</v>
      </c>
      <c r="R23" s="407">
        <f t="shared" si="6"/>
        <v>0</v>
      </c>
      <c r="S23" s="407">
        <f t="shared" si="6"/>
        <v>0</v>
      </c>
      <c r="T23" s="407">
        <f t="shared" si="6"/>
        <v>0</v>
      </c>
      <c r="U23" s="407">
        <f t="shared" si="6"/>
        <v>0</v>
      </c>
      <c r="V23" s="407">
        <f t="shared" si="6"/>
        <v>0</v>
      </c>
      <c r="W23" s="407">
        <f t="shared" si="6"/>
        <v>0</v>
      </c>
      <c r="X23" s="407">
        <f t="shared" si="6"/>
        <v>0</v>
      </c>
      <c r="Y23" s="407">
        <f t="shared" si="6"/>
        <v>0</v>
      </c>
      <c r="Z23" s="407">
        <f t="shared" si="6"/>
        <v>0</v>
      </c>
      <c r="AA23" s="407"/>
      <c r="AB23" s="407">
        <f t="shared" si="6"/>
        <v>0</v>
      </c>
      <c r="AC23" s="407">
        <f t="shared" si="6"/>
        <v>0</v>
      </c>
      <c r="AD23" s="407">
        <f t="shared" si="6"/>
        <v>0</v>
      </c>
      <c r="AE23" s="407">
        <f t="shared" si="6"/>
        <v>0</v>
      </c>
      <c r="AF23" s="407">
        <f t="shared" si="6"/>
        <v>0</v>
      </c>
      <c r="AG23" s="407">
        <f t="shared" si="6"/>
        <v>0</v>
      </c>
      <c r="AH23" s="407">
        <f t="shared" si="6"/>
        <v>0</v>
      </c>
      <c r="AI23" s="407">
        <f t="shared" si="6"/>
        <v>0</v>
      </c>
      <c r="AJ23" s="407">
        <f t="shared" si="6"/>
        <v>0</v>
      </c>
      <c r="AK23" s="407">
        <f t="shared" si="6"/>
        <v>0</v>
      </c>
      <c r="AL23" s="407">
        <f t="shared" si="6"/>
        <v>0</v>
      </c>
      <c r="AM23" s="408">
        <f t="shared" si="6"/>
        <v>93056</v>
      </c>
      <c r="AN23" s="503"/>
      <c r="AO23" s="503"/>
      <c r="AP23" s="503"/>
      <c r="AQ23" s="503"/>
      <c r="AR23" s="503"/>
      <c r="AS23" s="503"/>
      <c r="AT23" s="856"/>
    </row>
    <row r="24" spans="1:46" x14ac:dyDescent="0.3">
      <c r="A24" s="383" t="s">
        <v>240</v>
      </c>
      <c r="B24" s="432" t="s">
        <v>3</v>
      </c>
      <c r="C24" s="857" t="s">
        <v>252</v>
      </c>
      <c r="D24" s="828"/>
      <c r="E24" s="829"/>
      <c r="F24" s="830" t="s">
        <v>350</v>
      </c>
      <c r="G24" s="831"/>
      <c r="H24" s="831"/>
      <c r="I24" s="831"/>
      <c r="J24" s="831"/>
      <c r="K24" s="831"/>
      <c r="L24" s="830" t="s">
        <v>251</v>
      </c>
      <c r="M24" s="829"/>
      <c r="N24" s="829"/>
      <c r="O24" s="829"/>
      <c r="P24" s="829"/>
      <c r="Q24" s="829"/>
      <c r="R24" s="829"/>
      <c r="S24" s="829"/>
      <c r="T24" s="829"/>
      <c r="U24" s="829"/>
      <c r="V24" s="829"/>
      <c r="W24" s="829"/>
      <c r="X24" s="829"/>
      <c r="Y24" s="829"/>
      <c r="Z24" s="829"/>
      <c r="AA24" s="829"/>
      <c r="AB24" s="829"/>
      <c r="AC24" s="829"/>
      <c r="AD24" s="829"/>
      <c r="AE24" s="829"/>
      <c r="AF24" s="829"/>
      <c r="AG24" s="829"/>
      <c r="AH24" s="829"/>
      <c r="AI24" s="829"/>
      <c r="AJ24" s="829"/>
      <c r="AK24" s="829"/>
      <c r="AL24" s="829"/>
      <c r="AM24" s="829"/>
      <c r="AN24" s="829"/>
      <c r="AO24" s="829"/>
      <c r="AP24" s="829"/>
      <c r="AQ24" s="830" t="s">
        <v>351</v>
      </c>
      <c r="AR24" s="829"/>
      <c r="AS24" s="852"/>
      <c r="AT24" s="856"/>
    </row>
    <row r="25" spans="1:46" x14ac:dyDescent="0.3">
      <c r="A25" s="384" t="s">
        <v>94</v>
      </c>
      <c r="B25" s="401">
        <f xml:space="preserve">
SUM(C25:AS25)</f>
        <v>8000</v>
      </c>
      <c r="C25" s="858">
        <f xml:space="preserve">
IF($A$4&lt;=12,SUMIFS('ON Data'!$I:$I,'ON Data'!$D:$D,$A$4,'ON Data'!$E:$E,10),SUMIFS('ON Data'!$I:$I,'ON Data'!$E:$E,10))</f>
        <v>0</v>
      </c>
      <c r="D25" s="832"/>
      <c r="E25" s="833"/>
      <c r="F25" s="834">
        <f xml:space="preserve">
IF($A$4&lt;=12,SUMIFS('ON Data'!K:K,'ON Data'!$D:$D,$A$4,'ON Data'!$E:$E,10),SUMIFS('ON Data'!K:K,'ON Data'!$E:$E,10))</f>
        <v>8000</v>
      </c>
      <c r="G25" s="833"/>
      <c r="H25" s="833"/>
      <c r="I25" s="833"/>
      <c r="J25" s="833"/>
      <c r="K25" s="833"/>
      <c r="L25" s="834">
        <f xml:space="preserve">
IF($A$4&lt;=12,SUMIFS('ON Data'!P:P,'ON Data'!$D:$D,$A$4,'ON Data'!$E:$E,10),SUMIFS('ON Data'!P:P,'ON Data'!$E:$E,10))</f>
        <v>0</v>
      </c>
      <c r="M25" s="833"/>
      <c r="N25" s="833"/>
      <c r="O25" s="833"/>
      <c r="P25" s="833"/>
      <c r="Q25" s="833"/>
      <c r="R25" s="833"/>
      <c r="S25" s="833"/>
      <c r="T25" s="833"/>
      <c r="U25" s="833"/>
      <c r="V25" s="833"/>
      <c r="W25" s="833"/>
      <c r="X25" s="833"/>
      <c r="Y25" s="833"/>
      <c r="Z25" s="833"/>
      <c r="AA25" s="833"/>
      <c r="AB25" s="833"/>
      <c r="AC25" s="833"/>
      <c r="AD25" s="833"/>
      <c r="AE25" s="833"/>
      <c r="AF25" s="833"/>
      <c r="AG25" s="833"/>
      <c r="AH25" s="833"/>
      <c r="AI25" s="833"/>
      <c r="AJ25" s="833"/>
      <c r="AK25" s="833"/>
      <c r="AL25" s="833"/>
      <c r="AM25" s="833"/>
      <c r="AN25" s="833"/>
      <c r="AO25" s="833"/>
      <c r="AP25" s="833"/>
      <c r="AQ25" s="834">
        <f xml:space="preserve">
IF($A$4&lt;=12,SUMIFS('ON Data'!AW:AW,'ON Data'!$D:$D,$A$4,'ON Data'!$E:$E,10),SUMIFS('ON Data'!AW:AW,'ON Data'!$E:$E,10))</f>
        <v>0</v>
      </c>
      <c r="AR25" s="833"/>
      <c r="AS25" s="853"/>
      <c r="AT25" s="856"/>
    </row>
    <row r="26" spans="1:46" x14ac:dyDescent="0.3">
      <c r="A26" s="390" t="s">
        <v>250</v>
      </c>
      <c r="B26" s="412">
        <f xml:space="preserve">
SUM(C26:AS26)</f>
        <v>9311.6741465659998</v>
      </c>
      <c r="C26" s="858">
        <f xml:space="preserve">
IF($A$4&lt;=12,SUMIFS('ON Data'!$I:$I,'ON Data'!$D:$D,$A$4,'ON Data'!$E:$E,11),SUMIFS('ON Data'!$I:$I,'ON Data'!$E:$E,11))</f>
        <v>0</v>
      </c>
      <c r="D26" s="832"/>
      <c r="E26" s="833"/>
      <c r="F26" s="834">
        <f xml:space="preserve">
IF($A$4&lt;=12,SUMIFS('ON Data'!K:K,'ON Data'!$D:$D,$A$4,'ON Data'!$E:$E,11),SUMIFS('ON Data'!K:K,'ON Data'!$E:$E,11))</f>
        <v>7645.0074798993328</v>
      </c>
      <c r="G26" s="833"/>
      <c r="H26" s="833"/>
      <c r="I26" s="833"/>
      <c r="J26" s="833"/>
      <c r="K26" s="833"/>
      <c r="L26" s="835">
        <f xml:space="preserve">
IF($A$4&lt;=12,SUMIFS('ON Data'!P:P,'ON Data'!$D:$D,$A$4,'ON Data'!$E:$E,11),SUMIFS('ON Data'!P:P,'ON Data'!$E:$E,11))</f>
        <v>1666.6666666666667</v>
      </c>
      <c r="M26" s="836"/>
      <c r="N26" s="836"/>
      <c r="O26" s="836"/>
      <c r="P26" s="836"/>
      <c r="Q26" s="836"/>
      <c r="R26" s="836"/>
      <c r="S26" s="836"/>
      <c r="T26" s="836"/>
      <c r="U26" s="836"/>
      <c r="V26" s="836"/>
      <c r="W26" s="836"/>
      <c r="X26" s="836"/>
      <c r="Y26" s="836"/>
      <c r="Z26" s="836"/>
      <c r="AA26" s="836"/>
      <c r="AB26" s="836"/>
      <c r="AC26" s="836"/>
      <c r="AD26" s="836"/>
      <c r="AE26" s="836"/>
      <c r="AF26" s="836"/>
      <c r="AG26" s="836"/>
      <c r="AH26" s="836"/>
      <c r="AI26" s="836"/>
      <c r="AJ26" s="836"/>
      <c r="AK26" s="836"/>
      <c r="AL26" s="836"/>
      <c r="AM26" s="836"/>
      <c r="AN26" s="836"/>
      <c r="AO26" s="836"/>
      <c r="AP26" s="836"/>
      <c r="AQ26" s="835">
        <f xml:space="preserve">
IF($A$4&lt;=12,SUMIFS('ON Data'!AW:AW,'ON Data'!$D:$D,$A$4,'ON Data'!$E:$E,11),SUMIFS('ON Data'!AW:AW,'ON Data'!$E:$E,11))</f>
        <v>0</v>
      </c>
      <c r="AR26" s="836"/>
      <c r="AS26" s="854"/>
      <c r="AT26" s="856"/>
    </row>
    <row r="27" spans="1:46" x14ac:dyDescent="0.3">
      <c r="A27" s="390" t="s">
        <v>96</v>
      </c>
      <c r="B27" s="433">
        <f xml:space="preserve">
IF(B26=0,0,B25/B26)</f>
        <v>0.85913659284891053</v>
      </c>
      <c r="C27" s="859">
        <f xml:space="preserve">
IF(C26=0,0,C25/C26)</f>
        <v>0</v>
      </c>
      <c r="D27" s="832"/>
      <c r="E27" s="833"/>
      <c r="F27" s="837">
        <f xml:space="preserve">
IF(F26=0,0,F25/F26)</f>
        <v>1.0464345549738221</v>
      </c>
      <c r="G27" s="833"/>
      <c r="H27" s="833"/>
      <c r="I27" s="833"/>
      <c r="J27" s="833"/>
      <c r="K27" s="833"/>
      <c r="L27" s="837">
        <f xml:space="preserve">
IF(L26=0,0,L25/L26)</f>
        <v>0</v>
      </c>
      <c r="M27" s="833"/>
      <c r="N27" s="833"/>
      <c r="O27" s="833"/>
      <c r="P27" s="833"/>
      <c r="Q27" s="833"/>
      <c r="R27" s="833"/>
      <c r="S27" s="833"/>
      <c r="T27" s="833"/>
      <c r="U27" s="833"/>
      <c r="V27" s="833"/>
      <c r="W27" s="833"/>
      <c r="X27" s="833"/>
      <c r="Y27" s="833"/>
      <c r="Z27" s="833"/>
      <c r="AA27" s="833"/>
      <c r="AB27" s="833"/>
      <c r="AC27" s="833"/>
      <c r="AD27" s="833"/>
      <c r="AE27" s="833"/>
      <c r="AF27" s="833"/>
      <c r="AG27" s="833"/>
      <c r="AH27" s="833"/>
      <c r="AI27" s="833"/>
      <c r="AJ27" s="833"/>
      <c r="AK27" s="833"/>
      <c r="AL27" s="833"/>
      <c r="AM27" s="833"/>
      <c r="AN27" s="833"/>
      <c r="AO27" s="833"/>
      <c r="AP27" s="833"/>
      <c r="AQ27" s="837">
        <f xml:space="preserve">
IF(AQ26=0,0,AQ25/AQ26)</f>
        <v>0</v>
      </c>
      <c r="AR27" s="833"/>
      <c r="AS27" s="853"/>
      <c r="AT27" s="856"/>
    </row>
    <row r="28" spans="1:46" ht="15" thickBot="1" x14ac:dyDescent="0.35">
      <c r="A28" s="390" t="s">
        <v>249</v>
      </c>
      <c r="B28" s="412">
        <f xml:space="preserve">
SUM(C28:AS28)</f>
        <v>1311.6741465659995</v>
      </c>
      <c r="C28" s="860">
        <f xml:space="preserve">
C26-C25</f>
        <v>0</v>
      </c>
      <c r="D28" s="838"/>
      <c r="E28" s="839"/>
      <c r="F28" s="840">
        <f xml:space="preserve">
F26-F25</f>
        <v>-354.99252010066721</v>
      </c>
      <c r="G28" s="839"/>
      <c r="H28" s="839"/>
      <c r="I28" s="839"/>
      <c r="J28" s="839"/>
      <c r="K28" s="839"/>
      <c r="L28" s="840">
        <f xml:space="preserve">
L26-L25</f>
        <v>1666.6666666666667</v>
      </c>
      <c r="M28" s="839"/>
      <c r="N28" s="839"/>
      <c r="O28" s="839"/>
      <c r="P28" s="839"/>
      <c r="Q28" s="839"/>
      <c r="R28" s="839"/>
      <c r="S28" s="839"/>
      <c r="T28" s="839"/>
      <c r="U28" s="839"/>
      <c r="V28" s="839"/>
      <c r="W28" s="839"/>
      <c r="X28" s="839"/>
      <c r="Y28" s="839"/>
      <c r="Z28" s="839"/>
      <c r="AA28" s="839"/>
      <c r="AB28" s="839"/>
      <c r="AC28" s="839"/>
      <c r="AD28" s="839"/>
      <c r="AE28" s="839"/>
      <c r="AF28" s="839"/>
      <c r="AG28" s="839"/>
      <c r="AH28" s="839"/>
      <c r="AI28" s="839"/>
      <c r="AJ28" s="839"/>
      <c r="AK28" s="839"/>
      <c r="AL28" s="839"/>
      <c r="AM28" s="839"/>
      <c r="AN28" s="839"/>
      <c r="AO28" s="839"/>
      <c r="AP28" s="839"/>
      <c r="AQ28" s="840">
        <f xml:space="preserve">
AQ26-AQ25</f>
        <v>0</v>
      </c>
      <c r="AR28" s="839"/>
      <c r="AS28" s="855"/>
      <c r="AT28" s="856"/>
    </row>
    <row r="29" spans="1:46" x14ac:dyDescent="0.3">
      <c r="A29" s="391"/>
      <c r="B29" s="391"/>
      <c r="C29" s="392"/>
      <c r="D29" s="391"/>
      <c r="E29" s="391"/>
      <c r="F29" s="391"/>
      <c r="G29" s="392"/>
      <c r="H29" s="392"/>
      <c r="I29" s="392"/>
      <c r="J29" s="392"/>
      <c r="K29" s="392"/>
      <c r="L29" s="392"/>
      <c r="M29" s="392"/>
      <c r="N29" s="392"/>
      <c r="O29" s="392"/>
      <c r="P29" s="392"/>
      <c r="Q29" s="392"/>
      <c r="R29" s="392"/>
      <c r="S29" s="392"/>
      <c r="T29" s="392"/>
      <c r="U29" s="392"/>
      <c r="V29" s="392"/>
      <c r="W29" s="392"/>
      <c r="X29" s="392"/>
      <c r="Y29" s="392"/>
      <c r="Z29" s="392"/>
      <c r="AA29" s="392"/>
      <c r="AB29" s="392"/>
      <c r="AC29" s="392"/>
      <c r="AD29" s="392"/>
      <c r="AE29" s="392"/>
      <c r="AF29" s="392"/>
      <c r="AG29" s="392"/>
      <c r="AH29" s="392"/>
      <c r="AI29" s="391"/>
      <c r="AJ29" s="391"/>
      <c r="AK29" s="391"/>
      <c r="AL29" s="391"/>
      <c r="AM29" s="391"/>
    </row>
    <row r="30" spans="1:46" x14ac:dyDescent="0.3">
      <c r="A30" s="222" t="s">
        <v>202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70"/>
      <c r="AL30" s="270"/>
      <c r="AM30" s="270"/>
    </row>
    <row r="31" spans="1:46" x14ac:dyDescent="0.3">
      <c r="A31" s="223" t="s">
        <v>247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70"/>
      <c r="AL31" s="270"/>
      <c r="AM31" s="270"/>
    </row>
    <row r="32" spans="1:46" ht="14.4" customHeight="1" x14ac:dyDescent="0.3">
      <c r="A32" s="429" t="s">
        <v>244</v>
      </c>
      <c r="B32" s="430"/>
      <c r="C32" s="430"/>
      <c r="D32" s="430"/>
      <c r="E32" s="430"/>
      <c r="F32" s="430"/>
      <c r="G32" s="430"/>
      <c r="H32" s="430"/>
      <c r="I32" s="430"/>
      <c r="J32" s="430"/>
      <c r="K32" s="430"/>
      <c r="L32" s="430"/>
      <c r="M32" s="430"/>
      <c r="N32" s="430"/>
      <c r="O32" s="430"/>
      <c r="P32" s="430"/>
      <c r="Q32" s="430"/>
      <c r="R32" s="430"/>
      <c r="S32" s="430"/>
      <c r="T32" s="430"/>
      <c r="U32" s="430"/>
      <c r="V32" s="430"/>
      <c r="W32" s="430"/>
      <c r="X32" s="430"/>
      <c r="Y32" s="430"/>
      <c r="Z32" s="430"/>
      <c r="AA32" s="430"/>
      <c r="AB32" s="430"/>
      <c r="AC32" s="430"/>
      <c r="AD32" s="430"/>
      <c r="AE32" s="430"/>
      <c r="AF32" s="430"/>
      <c r="AG32" s="430"/>
      <c r="AH32" s="430"/>
      <c r="AI32" s="430"/>
      <c r="AJ32" s="430"/>
    </row>
    <row r="33" spans="1:1" x14ac:dyDescent="0.3">
      <c r="A33" s="431" t="s">
        <v>346</v>
      </c>
    </row>
    <row r="34" spans="1:1" x14ac:dyDescent="0.3">
      <c r="A34" s="431" t="s">
        <v>347</v>
      </c>
    </row>
    <row r="35" spans="1:1" x14ac:dyDescent="0.3">
      <c r="A35" s="431" t="s">
        <v>348</v>
      </c>
    </row>
    <row r="36" spans="1:1" x14ac:dyDescent="0.3">
      <c r="A36" s="431" t="s">
        <v>349</v>
      </c>
    </row>
    <row r="37" spans="1:1" x14ac:dyDescent="0.3">
      <c r="A37" s="431" t="s">
        <v>253</v>
      </c>
    </row>
  </sheetData>
  <mergeCells count="22">
    <mergeCell ref="AQ28:AS28"/>
    <mergeCell ref="L24:AP24"/>
    <mergeCell ref="L25:AP25"/>
    <mergeCell ref="L26:AP26"/>
    <mergeCell ref="L27:AP27"/>
    <mergeCell ref="L28:AP28"/>
    <mergeCell ref="A1:AS1"/>
    <mergeCell ref="F24:K24"/>
    <mergeCell ref="F25:K25"/>
    <mergeCell ref="F26:K26"/>
    <mergeCell ref="F27:K27"/>
    <mergeCell ref="B3:B4"/>
    <mergeCell ref="AQ24:AS24"/>
    <mergeCell ref="AQ25:AS25"/>
    <mergeCell ref="AQ26:AS26"/>
    <mergeCell ref="AQ27:AS27"/>
    <mergeCell ref="F28:K28"/>
    <mergeCell ref="C24:E24"/>
    <mergeCell ref="C25:E25"/>
    <mergeCell ref="C26:E26"/>
    <mergeCell ref="C27:E27"/>
    <mergeCell ref="C28:E28"/>
  </mergeCells>
  <conditionalFormatting sqref="C27">
    <cfRule type="cellIs" dxfId="29" priority="12" operator="greaterThan">
      <formula>1</formula>
    </cfRule>
  </conditionalFormatting>
  <conditionalFormatting sqref="C28">
    <cfRule type="cellIs" dxfId="28" priority="11" operator="lessThan">
      <formula>0</formula>
    </cfRule>
  </conditionalFormatting>
  <conditionalFormatting sqref="B22:AM22">
    <cfRule type="cellIs" dxfId="27" priority="10" operator="greaterThan">
      <formula>1</formula>
    </cfRule>
  </conditionalFormatting>
  <conditionalFormatting sqref="B23:AM23">
    <cfRule type="cellIs" dxfId="26" priority="9" operator="greaterThan">
      <formula>0</formula>
    </cfRule>
  </conditionalFormatting>
  <conditionalFormatting sqref="L28">
    <cfRule type="cellIs" dxfId="25" priority="5" operator="lessThan">
      <formula>0</formula>
    </cfRule>
  </conditionalFormatting>
  <conditionalFormatting sqref="L27">
    <cfRule type="cellIs" dxfId="24" priority="6" operator="greaterThan">
      <formula>1</formula>
    </cfRule>
  </conditionalFormatting>
  <conditionalFormatting sqref="F27">
    <cfRule type="cellIs" dxfId="23" priority="4" operator="greaterThan">
      <formula>1</formula>
    </cfRule>
  </conditionalFormatting>
  <conditionalFormatting sqref="F28">
    <cfRule type="cellIs" dxfId="22" priority="3" operator="lessThan">
      <formula>0</formula>
    </cfRule>
  </conditionalFormatting>
  <conditionalFormatting sqref="AQ28">
    <cfRule type="cellIs" dxfId="21" priority="1" operator="lessThan">
      <formula>0</formula>
    </cfRule>
  </conditionalFormatting>
  <conditionalFormatting sqref="AQ27">
    <cfRule type="cellIs" dxfId="2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8" t="s">
        <v>151</v>
      </c>
      <c r="B1" s="518"/>
      <c r="C1" s="519"/>
      <c r="D1" s="519"/>
      <c r="E1" s="519"/>
    </row>
    <row r="2" spans="1:5" ht="14.4" customHeight="1" thickBot="1" x14ac:dyDescent="0.35">
      <c r="A2" s="374" t="s">
        <v>353</v>
      </c>
      <c r="B2" s="271"/>
    </row>
    <row r="3" spans="1:5" ht="14.4" customHeight="1" thickBot="1" x14ac:dyDescent="0.35">
      <c r="A3" s="274"/>
      <c r="C3" s="275" t="s">
        <v>131</v>
      </c>
      <c r="D3" s="276" t="s">
        <v>94</v>
      </c>
      <c r="E3" s="277" t="s">
        <v>96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12310.074205671615</v>
      </c>
      <c r="D4" s="280">
        <f ca="1">IF(ISERROR(VLOOKUP("Náklady celkem",INDIRECT("HI!$A:$G"),5,0)),0,VLOOKUP("Náklady celkem",INDIRECT("HI!$A:$G"),5,0))</f>
        <v>12079.361530000002</v>
      </c>
      <c r="E4" s="281">
        <f ca="1">IF(C4=0,0,D4/C4)</f>
        <v>0.98125822218315162</v>
      </c>
    </row>
    <row r="5" spans="1:5" ht="14.4" customHeight="1" x14ac:dyDescent="0.3">
      <c r="A5" s="282" t="s">
        <v>194</v>
      </c>
      <c r="B5" s="283"/>
      <c r="C5" s="284"/>
      <c r="D5" s="284"/>
      <c r="E5" s="285"/>
    </row>
    <row r="6" spans="1:5" ht="14.4" customHeight="1" x14ac:dyDescent="0.3">
      <c r="A6" s="286" t="s">
        <v>199</v>
      </c>
      <c r="B6" s="287"/>
      <c r="C6" s="288"/>
      <c r="D6" s="288"/>
      <c r="E6" s="285"/>
    </row>
    <row r="7" spans="1:5" ht="14.4" customHeight="1" x14ac:dyDescent="0.3">
      <c r="A7" s="45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136</v>
      </c>
      <c r="C7" s="288">
        <f>IF(ISERROR(HI!F5),"",HI!F5)</f>
        <v>409.099999999999</v>
      </c>
      <c r="D7" s="288">
        <f>IF(ISERROR(HI!E5),"",HI!E5)</f>
        <v>383.16381000000001</v>
      </c>
      <c r="E7" s="285">
        <f t="shared" ref="E7:E15" si="0">IF(C7=0,0,D7/C7)</f>
        <v>0.93660183329259583</v>
      </c>
    </row>
    <row r="8" spans="1:5" ht="14.4" customHeight="1" x14ac:dyDescent="0.3">
      <c r="A8" s="458" t="str">
        <f>HYPERLINK("#'LŽ PL'!A1","Plnění pozitivního listu (min. 90%)")</f>
        <v>Plnění pozitivního listu (min. 90%)</v>
      </c>
      <c r="B8" s="287" t="s">
        <v>186</v>
      </c>
      <c r="C8" s="289">
        <v>0.9</v>
      </c>
      <c r="D8" s="289">
        <f>IF(ISERROR(VLOOKUP("celkem",'LŽ PL'!$A:$F,5,0)),0,VLOOKUP("celkem",'LŽ PL'!$A:$F,5,0))</f>
        <v>0.96589803013434261</v>
      </c>
      <c r="E8" s="285">
        <f t="shared" si="0"/>
        <v>1.073220033482603</v>
      </c>
    </row>
    <row r="9" spans="1:5" ht="14.4" customHeight="1" x14ac:dyDescent="0.3">
      <c r="A9" s="458" t="str">
        <f>HYPERLINK("#'LŽ Statim'!A1","Podíl statimových žádanek (max. 30%)")</f>
        <v>Podíl statimových žádanek (max. 30%)</v>
      </c>
      <c r="B9" s="456" t="s">
        <v>291</v>
      </c>
      <c r="C9" s="457">
        <v>0.3</v>
      </c>
      <c r="D9" s="457">
        <f>IF('LŽ Statim'!G3="",0,'LŽ Statim'!G3)</f>
        <v>0.22810810810810811</v>
      </c>
      <c r="E9" s="285">
        <f>IF(C9=0,0,D9/C9)</f>
        <v>0.76036036036036037</v>
      </c>
    </row>
    <row r="10" spans="1:5" ht="14.4" customHeight="1" x14ac:dyDescent="0.3">
      <c r="A10" s="290" t="s">
        <v>195</v>
      </c>
      <c r="B10" s="287"/>
      <c r="C10" s="288"/>
      <c r="D10" s="288"/>
      <c r="E10" s="285"/>
    </row>
    <row r="11" spans="1:5" ht="14.4" customHeight="1" x14ac:dyDescent="0.3">
      <c r="A11" s="458" t="str">
        <f>HYPERLINK("#'Léky Recepty'!A1","Záchyt v lékárně (Úhrada Kč, min. 60%)")</f>
        <v>Záchyt v lékárně (Úhrada Kč, min. 60%)</v>
      </c>
      <c r="B11" s="287" t="s">
        <v>141</v>
      </c>
      <c r="C11" s="289">
        <v>0.6</v>
      </c>
      <c r="D11" s="289">
        <f>IF(ISERROR(VLOOKUP("Celkem",'Léky Recepty'!B:H,5,0)),0,VLOOKUP("Celkem",'Léky Recepty'!B:H,5,0))</f>
        <v>0.87032148771060525</v>
      </c>
      <c r="E11" s="285">
        <f t="shared" si="0"/>
        <v>1.4505358128510089</v>
      </c>
    </row>
    <row r="12" spans="1:5" ht="14.4" customHeight="1" x14ac:dyDescent="0.3">
      <c r="A12" s="458" t="str">
        <f>HYPERLINK("#'LRp PL'!A1","Plnění pozitivního listu (min. 80%)")</f>
        <v>Plnění pozitivního listu (min. 80%)</v>
      </c>
      <c r="B12" s="287" t="s">
        <v>187</v>
      </c>
      <c r="C12" s="289">
        <v>0.8</v>
      </c>
      <c r="D12" s="289">
        <f>IF(ISERROR(VLOOKUP("Celkem",'LRp PL'!A:F,5,0)),0,VLOOKUP("Celkem",'LRp PL'!A:F,5,0))</f>
        <v>0.99831249939554811</v>
      </c>
      <c r="E12" s="285">
        <f t="shared" si="0"/>
        <v>1.247890624244435</v>
      </c>
    </row>
    <row r="13" spans="1:5" ht="14.4" customHeight="1" x14ac:dyDescent="0.3">
      <c r="A13" s="290" t="s">
        <v>196</v>
      </c>
      <c r="B13" s="287"/>
      <c r="C13" s="288"/>
      <c r="D13" s="288"/>
      <c r="E13" s="285"/>
    </row>
    <row r="14" spans="1:5" ht="14.4" customHeight="1" x14ac:dyDescent="0.3">
      <c r="A14" s="291" t="s">
        <v>200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136</v>
      </c>
      <c r="C15" s="288">
        <f>IF(ISERROR(HI!F6),"",HI!F6)</f>
        <v>2673.6666666666665</v>
      </c>
      <c r="D15" s="288">
        <f>IF(ISERROR(HI!E6),"",HI!E6)</f>
        <v>2538.11805</v>
      </c>
      <c r="E15" s="285">
        <f t="shared" si="0"/>
        <v>0.94930235008103736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8185.8333333333339</v>
      </c>
      <c r="D16" s="284">
        <f ca="1">IF(ISERROR(VLOOKUP("Osobní náklady (Kč) *",INDIRECT("HI!$A:$G"),5,0)),0,VLOOKUP("Osobní náklady (Kč) *",INDIRECT("HI!$A:$G"),5,0))</f>
        <v>8072.2866400000003</v>
      </c>
      <c r="E16" s="285">
        <f ca="1">IF(C16=0,0,D16/C16)</f>
        <v>0.98612887793952964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11304.083009999998</v>
      </c>
      <c r="D18" s="303">
        <f ca="1">IF(ISERROR(VLOOKUP("Výnosy celkem",INDIRECT("HI!$A:$G"),5,0)),0,VLOOKUP("Výnosy celkem",INDIRECT("HI!$A:$G"),5,0))</f>
        <v>10510.62479</v>
      </c>
      <c r="E18" s="304">
        <f t="shared" ref="E18:E31" ca="1" si="1">IF(C18=0,0,D18/C18)</f>
        <v>0.92980782082915736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705.68300999999951</v>
      </c>
      <c r="D19" s="284">
        <f ca="1">IF(ISERROR(VLOOKUP("Ambulance *",INDIRECT("HI!$A:$G"),5,0)),0,VLOOKUP("Ambulance *",INDIRECT("HI!$A:$G"),5,0))</f>
        <v>705.57479000000035</v>
      </c>
      <c r="E19" s="285">
        <f t="shared" ca="1" si="1"/>
        <v>0.99984664502550635</v>
      </c>
    </row>
    <row r="20" spans="1:5" ht="14.4" customHeight="1" x14ac:dyDescent="0.3">
      <c r="A20" s="494" t="str">
        <f>HYPERLINK("#'ZV Vykáz.-A'!A1","Zdravotní výkony vykázané u ambulantních pacientů (min. 100 % 2016)")</f>
        <v>Zdravotní výkony vykázané u ambulantních pacientů (min. 100 % 2016)</v>
      </c>
      <c r="B20" s="495" t="s">
        <v>153</v>
      </c>
      <c r="C20" s="289">
        <v>1</v>
      </c>
      <c r="D20" s="289">
        <f>IF(ISERROR(VLOOKUP("Celkem:",'ZV Vykáz.-A'!$A:$AB,10,0)),"",VLOOKUP("Celkem:",'ZV Vykáz.-A'!$A:$AB,10,0))</f>
        <v>0.99984664502550635</v>
      </c>
      <c r="E20" s="285">
        <f t="shared" si="1"/>
        <v>0.99984664502550635</v>
      </c>
    </row>
    <row r="21" spans="1:5" ht="14.4" customHeight="1" x14ac:dyDescent="0.3">
      <c r="A21" s="492" t="str">
        <f>HYPERLINK("#'ZV Vykáz.-A'!A1","Specializovaná ambulantní péče")</f>
        <v>Specializovaná ambulantní péče</v>
      </c>
      <c r="B21" s="495" t="s">
        <v>153</v>
      </c>
      <c r="C21" s="289">
        <v>1</v>
      </c>
      <c r="D21" s="457">
        <f>IF(ISERROR(VLOOKUP("Specializovaná ambulantní péče",'ZV Vykáz.-A'!$A:$AB,10,0)),"",VLOOKUP("Specializovaná ambulantní péče",'ZV Vykáz.-A'!$A:$AB,10,0))</f>
        <v>0.99984664502550646</v>
      </c>
      <c r="E21" s="285">
        <f t="shared" si="1"/>
        <v>0.99984664502550646</v>
      </c>
    </row>
    <row r="22" spans="1:5" ht="14.4" customHeight="1" x14ac:dyDescent="0.3">
      <c r="A22" s="492" t="str">
        <f>HYPERLINK("#'ZV Vykáz.-A'!A1","Ambulantní péče ve vyjmenovaných odbornostech (§9)")</f>
        <v>Ambulantní péče ve vyjmenovaných odbornostech (§9)</v>
      </c>
      <c r="B22" s="495" t="s">
        <v>153</v>
      </c>
      <c r="C22" s="289">
        <v>1</v>
      </c>
      <c r="D22" s="457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95" t="s">
        <v>155</v>
      </c>
      <c r="C23" s="289">
        <v>0.85</v>
      </c>
      <c r="D23" s="289">
        <f>IF(ISERROR(VLOOKUP("Celkem:",'ZV Vykáz.-H'!$A:$S,7,0)),"",VLOOKUP("Celkem:",'ZV Vykáz.-H'!$A:$S,7,0))</f>
        <v>0.99021120184200362</v>
      </c>
      <c r="E23" s="285">
        <f t="shared" si="1"/>
        <v>1.1649543551082395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10598.4</v>
      </c>
      <c r="D24" s="284">
        <f ca="1">IF(ISERROR(VLOOKUP("Hospitalizace *",INDIRECT("HI!$A:$G"),5,0)),0,VLOOKUP("Hospitalizace *",INDIRECT("HI!$A:$G"),5,0))</f>
        <v>9805.0499999999993</v>
      </c>
      <c r="E24" s="285">
        <f ca="1">IF(C24=0,0,D24/C24)</f>
        <v>0.92514436141304346</v>
      </c>
    </row>
    <row r="25" spans="1:5" ht="14.4" customHeight="1" x14ac:dyDescent="0.3">
      <c r="A25" s="494" t="str">
        <f>HYPERLINK("#'CaseMix'!A1","Casemix (min. 100 % 2016)")</f>
        <v>Casemix (min. 100 % 2016)</v>
      </c>
      <c r="B25" s="287" t="s">
        <v>71</v>
      </c>
      <c r="C25" s="289">
        <v>1</v>
      </c>
      <c r="D25" s="289">
        <f>IF(ISERROR(VLOOKUP("Celkem",CaseMix!A:O,6,0)),0,VLOOKUP("Celkem",CaseMix!A:O,6,0))</f>
        <v>0.92514436141304346</v>
      </c>
      <c r="E25" s="285">
        <f t="shared" si="1"/>
        <v>0.92514436141304346</v>
      </c>
    </row>
    <row r="26" spans="1:5" ht="14.4" customHeight="1" x14ac:dyDescent="0.3">
      <c r="A26" s="493" t="str">
        <f>HYPERLINK("#'CaseMix'!A1","DRG - Úhrada formou případového paušálu")</f>
        <v>DRG - Úhrada formou případového paušálu</v>
      </c>
      <c r="B26" s="287" t="s">
        <v>71</v>
      </c>
      <c r="C26" s="289">
        <v>1</v>
      </c>
      <c r="D26" s="289">
        <f>IF(ISERROR(CaseMix!F26),"",CaseMix!F26)</f>
        <v>0.92514436141304346</v>
      </c>
      <c r="E26" s="285">
        <f t="shared" si="1"/>
        <v>0.92514436141304346</v>
      </c>
    </row>
    <row r="27" spans="1:5" ht="14.4" customHeight="1" x14ac:dyDescent="0.3">
      <c r="A27" s="493" t="str">
        <f>HYPERLINK("#'CaseMix'!A1","DRG - Individuálně smluvně sjednaná složka úhrady")</f>
        <v>DRG - Individuálně smluvně sjednaná složka úhrady</v>
      </c>
      <c r="B27" s="287" t="s">
        <v>71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92" t="str">
        <f>HYPERLINK("#'CaseMix'!A1","DRG - Úhrada vyčleněná z úhrady formou případového paušálu")</f>
        <v>DRG - Úhrada vyčleněná z úhrady formou případového paušálu</v>
      </c>
      <c r="B28" s="287" t="s">
        <v>71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71</v>
      </c>
      <c r="C29" s="289">
        <v>0.95</v>
      </c>
      <c r="D29" s="289">
        <f>IF(ISERROR(CaseMix!K13),"",CaseMix!K13)</f>
        <v>1.0545454545454545</v>
      </c>
      <c r="E29" s="285">
        <f t="shared" si="1"/>
        <v>1.1100478468899522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86</v>
      </c>
      <c r="C30" s="289">
        <v>1</v>
      </c>
      <c r="D30" s="308">
        <f>IF(ISERROR(INDEX(ALOS!$E:$E,COUNT(ALOS!$E:$E)+32)),0,INDEX(ALOS!$E:$E,COUNT(ALOS!$E:$E)+32))</f>
        <v>0.74900624645088021</v>
      </c>
      <c r="E30" s="285">
        <f t="shared" si="1"/>
        <v>0.74900624645088021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150</v>
      </c>
      <c r="C31" s="289">
        <f>IF(E25&gt;1,95%,95%-2*ABS(C25-D25))</f>
        <v>0.80028872282608687</v>
      </c>
      <c r="D31" s="289">
        <f>IF(ISERROR(VLOOKUP("Celkem:",'ZV Vyžád.'!$A:$M,7,0)),"",VLOOKUP("Celkem:",'ZV Vyžád.'!$A:$M,7,0))</f>
        <v>0.98031189796227358</v>
      </c>
      <c r="E31" s="285">
        <f t="shared" si="1"/>
        <v>1.2249477844701657</v>
      </c>
    </row>
    <row r="32" spans="1:5" ht="14.4" customHeight="1" thickBot="1" x14ac:dyDescent="0.35">
      <c r="A32" s="310" t="s">
        <v>197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198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5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3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2" priority="11" operator="lessThan">
      <formula>1</formula>
    </cfRule>
    <cfRule type="iconSet" priority="12">
      <iconSet iconSet="3Symbols2">
        <cfvo type="percent" val="0"/>
        <cfvo type="num" val="1"/>
        <cfvo type="num" val="1"/>
      </iconSet>
    </cfRule>
  </conditionalFormatting>
  <conditionalFormatting sqref="E24">
    <cfRule type="cellIs" dxfId="91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6">
    <cfRule type="cellIs" dxfId="90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9" priority="22" operator="lessThan">
      <formula>1</formula>
    </cfRule>
    <cfRule type="iconSet" priority="23">
      <iconSet iconSet="3Symbols2">
        <cfvo type="percent" val="0"/>
        <cfvo type="num" val="1"/>
        <cfvo type="num" val="1"/>
      </iconSet>
    </cfRule>
  </conditionalFormatting>
  <conditionalFormatting sqref="E9">
    <cfRule type="cellIs" dxfId="8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2">
      <iconSet iconSet="3Symbols2">
        <cfvo type="percent" val="0"/>
        <cfvo type="num" val="1"/>
        <cfvo type="num" val="1"/>
      </iconSet>
    </cfRule>
  </conditionalFormatting>
  <conditionalFormatting sqref="E28">
    <cfRule type="cellIs" dxfId="87" priority="1" operator="lessThan">
      <formula>1</formula>
    </cfRule>
  </conditionalFormatting>
  <conditionalFormatting sqref="E30:E31 E4 E7 E15 E22:E23">
    <cfRule type="cellIs" dxfId="86" priority="25" operator="greaterThan">
      <formula>1</formula>
    </cfRule>
    <cfRule type="iconSet" priority="2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1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19"/>
  <sheetViews>
    <sheetView showGridLines="0" showRowColHeaders="0" workbookViewId="0"/>
  </sheetViews>
  <sheetFormatPr defaultRowHeight="14.4" x14ac:dyDescent="0.3"/>
  <cols>
    <col min="1" max="16384" width="8.88671875" style="370"/>
  </cols>
  <sheetData>
    <row r="1" spans="1:49" x14ac:dyDescent="0.3">
      <c r="A1" s="370" t="s">
        <v>3353</v>
      </c>
    </row>
    <row r="2" spans="1:49" x14ac:dyDescent="0.3">
      <c r="A2" s="374" t="s">
        <v>353</v>
      </c>
    </row>
    <row r="3" spans="1:49" x14ac:dyDescent="0.3">
      <c r="A3" s="370" t="s">
        <v>212</v>
      </c>
      <c r="B3" s="395">
        <v>2017</v>
      </c>
      <c r="D3" s="371">
        <f>MAX(D5:D1048576)</f>
        <v>2</v>
      </c>
      <c r="F3" s="371">
        <f>SUMIF($E5:$E1048576,"&lt;10",F5:F1048576)</f>
        <v>5987133.5</v>
      </c>
      <c r="G3" s="371">
        <f t="shared" ref="G3:AW3" si="0">SUMIF($E5:$E1048576,"&lt;10",G5:G1048576)</f>
        <v>0</v>
      </c>
      <c r="H3" s="371">
        <f t="shared" si="0"/>
        <v>0</v>
      </c>
      <c r="I3" s="371">
        <f t="shared" si="0"/>
        <v>145312</v>
      </c>
      <c r="J3" s="371">
        <f t="shared" si="0"/>
        <v>266050</v>
      </c>
      <c r="K3" s="371">
        <f t="shared" si="0"/>
        <v>4936</v>
      </c>
      <c r="L3" s="371">
        <f t="shared" si="0"/>
        <v>3152965</v>
      </c>
      <c r="M3" s="371">
        <f t="shared" si="0"/>
        <v>0</v>
      </c>
      <c r="N3" s="371">
        <f t="shared" si="0"/>
        <v>0</v>
      </c>
      <c r="O3" s="371">
        <f t="shared" si="0"/>
        <v>0</v>
      </c>
      <c r="P3" s="371">
        <f t="shared" si="0"/>
        <v>0</v>
      </c>
      <c r="Q3" s="371">
        <f t="shared" si="0"/>
        <v>648384.5</v>
      </c>
      <c r="R3" s="371">
        <f t="shared" si="0"/>
        <v>775240</v>
      </c>
      <c r="S3" s="371">
        <f t="shared" si="0"/>
        <v>239569.5</v>
      </c>
      <c r="T3" s="371">
        <f t="shared" si="0"/>
        <v>0</v>
      </c>
      <c r="U3" s="371">
        <f t="shared" si="0"/>
        <v>0</v>
      </c>
      <c r="V3" s="371">
        <f t="shared" si="0"/>
        <v>0</v>
      </c>
      <c r="W3" s="371">
        <f t="shared" si="0"/>
        <v>0</v>
      </c>
      <c r="X3" s="371">
        <f t="shared" si="0"/>
        <v>0</v>
      </c>
      <c r="Y3" s="371">
        <f t="shared" si="0"/>
        <v>0</v>
      </c>
      <c r="Z3" s="371">
        <f t="shared" si="0"/>
        <v>0</v>
      </c>
      <c r="AA3" s="371">
        <f t="shared" si="0"/>
        <v>0</v>
      </c>
      <c r="AB3" s="371">
        <f t="shared" si="0"/>
        <v>0</v>
      </c>
      <c r="AC3" s="371">
        <f t="shared" si="0"/>
        <v>0</v>
      </c>
      <c r="AD3" s="371">
        <f t="shared" si="0"/>
        <v>0</v>
      </c>
      <c r="AE3" s="371">
        <f t="shared" si="0"/>
        <v>0</v>
      </c>
      <c r="AF3" s="371">
        <f t="shared" si="0"/>
        <v>0</v>
      </c>
      <c r="AG3" s="371">
        <f t="shared" si="0"/>
        <v>0</v>
      </c>
      <c r="AH3" s="371">
        <f t="shared" si="0"/>
        <v>0</v>
      </c>
      <c r="AI3" s="371">
        <f t="shared" si="0"/>
        <v>0</v>
      </c>
      <c r="AJ3" s="371">
        <f t="shared" si="0"/>
        <v>0</v>
      </c>
      <c r="AK3" s="371">
        <f t="shared" si="0"/>
        <v>0</v>
      </c>
      <c r="AL3" s="371">
        <f t="shared" si="0"/>
        <v>0</v>
      </c>
      <c r="AM3" s="371">
        <f t="shared" si="0"/>
        <v>0</v>
      </c>
      <c r="AN3" s="371">
        <f t="shared" si="0"/>
        <v>0</v>
      </c>
      <c r="AO3" s="371">
        <f t="shared" si="0"/>
        <v>0</v>
      </c>
      <c r="AP3" s="371">
        <f t="shared" si="0"/>
        <v>0</v>
      </c>
      <c r="AQ3" s="371">
        <f t="shared" si="0"/>
        <v>93708</v>
      </c>
      <c r="AR3" s="371">
        <f t="shared" si="0"/>
        <v>0</v>
      </c>
      <c r="AS3" s="371">
        <f t="shared" si="0"/>
        <v>0</v>
      </c>
      <c r="AT3" s="371">
        <f t="shared" si="0"/>
        <v>660968.5</v>
      </c>
      <c r="AU3" s="371">
        <f t="shared" si="0"/>
        <v>0</v>
      </c>
      <c r="AV3" s="371">
        <f t="shared" si="0"/>
        <v>0</v>
      </c>
      <c r="AW3" s="371">
        <f t="shared" si="0"/>
        <v>0</v>
      </c>
    </row>
    <row r="4" spans="1:49" x14ac:dyDescent="0.3">
      <c r="A4" s="370" t="s">
        <v>213</v>
      </c>
      <c r="B4" s="395">
        <v>1</v>
      </c>
      <c r="C4" s="372" t="s">
        <v>5</v>
      </c>
      <c r="D4" s="373" t="s">
        <v>68</v>
      </c>
      <c r="E4" s="373" t="s">
        <v>211</v>
      </c>
      <c r="F4" s="373" t="s">
        <v>3</v>
      </c>
      <c r="G4" s="373">
        <v>0</v>
      </c>
      <c r="H4" s="373">
        <v>25</v>
      </c>
      <c r="I4" s="373">
        <v>30</v>
      </c>
      <c r="J4" s="373">
        <v>99</v>
      </c>
      <c r="K4" s="373">
        <v>100</v>
      </c>
      <c r="L4" s="373">
        <v>101</v>
      </c>
      <c r="M4" s="373">
        <v>102</v>
      </c>
      <c r="N4" s="373">
        <v>103</v>
      </c>
      <c r="O4" s="373">
        <v>203</v>
      </c>
      <c r="P4" s="373">
        <v>302</v>
      </c>
      <c r="Q4" s="373">
        <v>303</v>
      </c>
      <c r="R4" s="373">
        <v>304</v>
      </c>
      <c r="S4" s="373">
        <v>305</v>
      </c>
      <c r="T4" s="373">
        <v>306</v>
      </c>
      <c r="U4" s="373">
        <v>407</v>
      </c>
      <c r="V4" s="373">
        <v>408</v>
      </c>
      <c r="W4" s="373">
        <v>409</v>
      </c>
      <c r="X4" s="373">
        <v>410</v>
      </c>
      <c r="Y4" s="373">
        <v>415</v>
      </c>
      <c r="Z4" s="373">
        <v>416</v>
      </c>
      <c r="AA4" s="373">
        <v>418</v>
      </c>
      <c r="AB4" s="373">
        <v>419</v>
      </c>
      <c r="AC4" s="373">
        <v>420</v>
      </c>
      <c r="AD4" s="373">
        <v>421</v>
      </c>
      <c r="AE4" s="373">
        <v>422</v>
      </c>
      <c r="AF4" s="373">
        <v>520</v>
      </c>
      <c r="AG4" s="373">
        <v>521</v>
      </c>
      <c r="AH4" s="373">
        <v>522</v>
      </c>
      <c r="AI4" s="373">
        <v>523</v>
      </c>
      <c r="AJ4" s="373">
        <v>524</v>
      </c>
      <c r="AK4" s="373">
        <v>525</v>
      </c>
      <c r="AL4" s="373">
        <v>526</v>
      </c>
      <c r="AM4" s="373">
        <v>527</v>
      </c>
      <c r="AN4" s="373">
        <v>528</v>
      </c>
      <c r="AO4" s="373">
        <v>629</v>
      </c>
      <c r="AP4" s="373">
        <v>630</v>
      </c>
      <c r="AQ4" s="373">
        <v>636</v>
      </c>
      <c r="AR4" s="373">
        <v>637</v>
      </c>
      <c r="AS4" s="373">
        <v>640</v>
      </c>
      <c r="AT4" s="373">
        <v>642</v>
      </c>
      <c r="AU4" s="373">
        <v>743</v>
      </c>
      <c r="AV4" s="373">
        <v>745</v>
      </c>
      <c r="AW4" s="373">
        <v>746</v>
      </c>
    </row>
    <row r="5" spans="1:49" x14ac:dyDescent="0.3">
      <c r="A5" s="370" t="s">
        <v>214</v>
      </c>
      <c r="B5" s="395">
        <v>2</v>
      </c>
      <c r="C5" s="370">
        <v>31</v>
      </c>
      <c r="D5" s="370">
        <v>1</v>
      </c>
      <c r="E5" s="370">
        <v>1</v>
      </c>
      <c r="F5" s="370">
        <v>59</v>
      </c>
      <c r="G5" s="370">
        <v>0</v>
      </c>
      <c r="H5" s="370">
        <v>0</v>
      </c>
      <c r="I5" s="370">
        <v>3</v>
      </c>
      <c r="J5" s="370">
        <v>2</v>
      </c>
      <c r="K5" s="370">
        <v>0</v>
      </c>
      <c r="L5" s="370">
        <v>14</v>
      </c>
      <c r="M5" s="370">
        <v>0</v>
      </c>
      <c r="N5" s="370">
        <v>0</v>
      </c>
      <c r="O5" s="370">
        <v>0</v>
      </c>
      <c r="P5" s="370">
        <v>0</v>
      </c>
      <c r="Q5" s="370">
        <v>11</v>
      </c>
      <c r="R5" s="370">
        <v>11</v>
      </c>
      <c r="S5" s="370">
        <v>3</v>
      </c>
      <c r="T5" s="370">
        <v>0</v>
      </c>
      <c r="U5" s="370">
        <v>0</v>
      </c>
      <c r="V5" s="370">
        <v>0</v>
      </c>
      <c r="W5" s="370">
        <v>0</v>
      </c>
      <c r="X5" s="370">
        <v>0</v>
      </c>
      <c r="Y5" s="370">
        <v>0</v>
      </c>
      <c r="Z5" s="370">
        <v>0</v>
      </c>
      <c r="AA5" s="370">
        <v>0</v>
      </c>
      <c r="AB5" s="370">
        <v>0</v>
      </c>
      <c r="AC5" s="370">
        <v>0</v>
      </c>
      <c r="AD5" s="370">
        <v>0</v>
      </c>
      <c r="AE5" s="370">
        <v>0</v>
      </c>
      <c r="AF5" s="370">
        <v>0</v>
      </c>
      <c r="AG5" s="370">
        <v>0</v>
      </c>
      <c r="AH5" s="370">
        <v>0</v>
      </c>
      <c r="AI5" s="370">
        <v>0</v>
      </c>
      <c r="AJ5" s="370">
        <v>0</v>
      </c>
      <c r="AK5" s="370">
        <v>0</v>
      </c>
      <c r="AL5" s="370">
        <v>0</v>
      </c>
      <c r="AM5" s="370">
        <v>0</v>
      </c>
      <c r="AN5" s="370">
        <v>0</v>
      </c>
      <c r="AO5" s="370">
        <v>0</v>
      </c>
      <c r="AP5" s="370">
        <v>0</v>
      </c>
      <c r="AQ5" s="370">
        <v>2</v>
      </c>
      <c r="AR5" s="370">
        <v>0</v>
      </c>
      <c r="AS5" s="370">
        <v>0</v>
      </c>
      <c r="AT5" s="370">
        <v>13</v>
      </c>
      <c r="AU5" s="370">
        <v>0</v>
      </c>
      <c r="AV5" s="370">
        <v>0</v>
      </c>
      <c r="AW5" s="370">
        <v>0</v>
      </c>
    </row>
    <row r="6" spans="1:49" x14ac:dyDescent="0.3">
      <c r="A6" s="370" t="s">
        <v>215</v>
      </c>
      <c r="B6" s="395">
        <v>3</v>
      </c>
      <c r="C6" s="370">
        <v>31</v>
      </c>
      <c r="D6" s="370">
        <v>1</v>
      </c>
      <c r="E6" s="370">
        <v>2</v>
      </c>
      <c r="F6" s="370">
        <v>9202.5</v>
      </c>
      <c r="G6" s="370">
        <v>0</v>
      </c>
      <c r="H6" s="370">
        <v>0</v>
      </c>
      <c r="I6" s="370">
        <v>528</v>
      </c>
      <c r="J6" s="370">
        <v>312</v>
      </c>
      <c r="K6" s="370">
        <v>0</v>
      </c>
      <c r="L6" s="370">
        <v>2264</v>
      </c>
      <c r="M6" s="370">
        <v>0</v>
      </c>
      <c r="N6" s="370">
        <v>0</v>
      </c>
      <c r="O6" s="370">
        <v>0</v>
      </c>
      <c r="P6" s="370">
        <v>0</v>
      </c>
      <c r="Q6" s="370">
        <v>1494</v>
      </c>
      <c r="R6" s="370">
        <v>1688</v>
      </c>
      <c r="S6" s="370">
        <v>516.5</v>
      </c>
      <c r="T6" s="370">
        <v>0</v>
      </c>
      <c r="U6" s="370">
        <v>0</v>
      </c>
      <c r="V6" s="370">
        <v>0</v>
      </c>
      <c r="W6" s="370">
        <v>0</v>
      </c>
      <c r="X6" s="370">
        <v>0</v>
      </c>
      <c r="Y6" s="370">
        <v>0</v>
      </c>
      <c r="Z6" s="370">
        <v>0</v>
      </c>
      <c r="AA6" s="370">
        <v>0</v>
      </c>
      <c r="AB6" s="370">
        <v>0</v>
      </c>
      <c r="AC6" s="370">
        <v>0</v>
      </c>
      <c r="AD6" s="370">
        <v>0</v>
      </c>
      <c r="AE6" s="370">
        <v>0</v>
      </c>
      <c r="AF6" s="370">
        <v>0</v>
      </c>
      <c r="AG6" s="370">
        <v>0</v>
      </c>
      <c r="AH6" s="370">
        <v>0</v>
      </c>
      <c r="AI6" s="370">
        <v>0</v>
      </c>
      <c r="AJ6" s="370">
        <v>0</v>
      </c>
      <c r="AK6" s="370">
        <v>0</v>
      </c>
      <c r="AL6" s="370">
        <v>0</v>
      </c>
      <c r="AM6" s="370">
        <v>0</v>
      </c>
      <c r="AN6" s="370">
        <v>0</v>
      </c>
      <c r="AO6" s="370">
        <v>0</v>
      </c>
      <c r="AP6" s="370">
        <v>0</v>
      </c>
      <c r="AQ6" s="370">
        <v>336</v>
      </c>
      <c r="AR6" s="370">
        <v>0</v>
      </c>
      <c r="AS6" s="370">
        <v>0</v>
      </c>
      <c r="AT6" s="370">
        <v>2064</v>
      </c>
      <c r="AU6" s="370">
        <v>0</v>
      </c>
      <c r="AV6" s="370">
        <v>0</v>
      </c>
      <c r="AW6" s="370">
        <v>0</v>
      </c>
    </row>
    <row r="7" spans="1:49" x14ac:dyDescent="0.3">
      <c r="A7" s="370" t="s">
        <v>216</v>
      </c>
      <c r="B7" s="395">
        <v>4</v>
      </c>
      <c r="C7" s="370">
        <v>31</v>
      </c>
      <c r="D7" s="370">
        <v>1</v>
      </c>
      <c r="E7" s="370">
        <v>3</v>
      </c>
      <c r="F7" s="370">
        <v>24</v>
      </c>
      <c r="G7" s="370">
        <v>0</v>
      </c>
      <c r="H7" s="370">
        <v>0</v>
      </c>
      <c r="I7" s="370">
        <v>0</v>
      </c>
      <c r="J7" s="370">
        <v>24</v>
      </c>
      <c r="K7" s="370">
        <v>0</v>
      </c>
      <c r="L7" s="370">
        <v>0</v>
      </c>
      <c r="M7" s="370">
        <v>0</v>
      </c>
      <c r="N7" s="370">
        <v>0</v>
      </c>
      <c r="O7" s="370">
        <v>0</v>
      </c>
      <c r="P7" s="370">
        <v>0</v>
      </c>
      <c r="Q7" s="370">
        <v>0</v>
      </c>
      <c r="R7" s="370">
        <v>0</v>
      </c>
      <c r="S7" s="370">
        <v>0</v>
      </c>
      <c r="T7" s="370">
        <v>0</v>
      </c>
      <c r="U7" s="370">
        <v>0</v>
      </c>
      <c r="V7" s="370">
        <v>0</v>
      </c>
      <c r="W7" s="370">
        <v>0</v>
      </c>
      <c r="X7" s="370">
        <v>0</v>
      </c>
      <c r="Y7" s="370">
        <v>0</v>
      </c>
      <c r="Z7" s="370">
        <v>0</v>
      </c>
      <c r="AA7" s="370">
        <v>0</v>
      </c>
      <c r="AB7" s="370">
        <v>0</v>
      </c>
      <c r="AC7" s="370">
        <v>0</v>
      </c>
      <c r="AD7" s="370">
        <v>0</v>
      </c>
      <c r="AE7" s="370">
        <v>0</v>
      </c>
      <c r="AF7" s="370">
        <v>0</v>
      </c>
      <c r="AG7" s="370">
        <v>0</v>
      </c>
      <c r="AH7" s="370">
        <v>0</v>
      </c>
      <c r="AI7" s="370">
        <v>0</v>
      </c>
      <c r="AJ7" s="370">
        <v>0</v>
      </c>
      <c r="AK7" s="370">
        <v>0</v>
      </c>
      <c r="AL7" s="370">
        <v>0</v>
      </c>
      <c r="AM7" s="370">
        <v>0</v>
      </c>
      <c r="AN7" s="370">
        <v>0</v>
      </c>
      <c r="AO7" s="370">
        <v>0</v>
      </c>
      <c r="AP7" s="370">
        <v>0</v>
      </c>
      <c r="AQ7" s="370">
        <v>0</v>
      </c>
      <c r="AR7" s="370">
        <v>0</v>
      </c>
      <c r="AS7" s="370">
        <v>0</v>
      </c>
      <c r="AT7" s="370">
        <v>0</v>
      </c>
      <c r="AU7" s="370">
        <v>0</v>
      </c>
      <c r="AV7" s="370">
        <v>0</v>
      </c>
      <c r="AW7" s="370">
        <v>0</v>
      </c>
    </row>
    <row r="8" spans="1:49" x14ac:dyDescent="0.3">
      <c r="A8" s="370" t="s">
        <v>217</v>
      </c>
      <c r="B8" s="395">
        <v>5</v>
      </c>
      <c r="C8" s="370">
        <v>31</v>
      </c>
      <c r="D8" s="370">
        <v>1</v>
      </c>
      <c r="E8" s="370">
        <v>4</v>
      </c>
      <c r="F8" s="370">
        <v>580</v>
      </c>
      <c r="G8" s="370">
        <v>0</v>
      </c>
      <c r="H8" s="370">
        <v>0</v>
      </c>
      <c r="I8" s="370">
        <v>0</v>
      </c>
      <c r="J8" s="370">
        <v>110</v>
      </c>
      <c r="K8" s="370">
        <v>0</v>
      </c>
      <c r="L8" s="370">
        <v>470</v>
      </c>
      <c r="M8" s="370">
        <v>0</v>
      </c>
      <c r="N8" s="370">
        <v>0</v>
      </c>
      <c r="O8" s="370">
        <v>0</v>
      </c>
      <c r="P8" s="370">
        <v>0</v>
      </c>
      <c r="Q8" s="370">
        <v>0</v>
      </c>
      <c r="R8" s="370">
        <v>0</v>
      </c>
      <c r="S8" s="370">
        <v>0</v>
      </c>
      <c r="T8" s="370">
        <v>0</v>
      </c>
      <c r="U8" s="370">
        <v>0</v>
      </c>
      <c r="V8" s="370">
        <v>0</v>
      </c>
      <c r="W8" s="370">
        <v>0</v>
      </c>
      <c r="X8" s="370">
        <v>0</v>
      </c>
      <c r="Y8" s="370">
        <v>0</v>
      </c>
      <c r="Z8" s="370">
        <v>0</v>
      </c>
      <c r="AA8" s="370">
        <v>0</v>
      </c>
      <c r="AB8" s="370">
        <v>0</v>
      </c>
      <c r="AC8" s="370">
        <v>0</v>
      </c>
      <c r="AD8" s="370">
        <v>0</v>
      </c>
      <c r="AE8" s="370">
        <v>0</v>
      </c>
      <c r="AF8" s="370">
        <v>0</v>
      </c>
      <c r="AG8" s="370">
        <v>0</v>
      </c>
      <c r="AH8" s="370">
        <v>0</v>
      </c>
      <c r="AI8" s="370">
        <v>0</v>
      </c>
      <c r="AJ8" s="370">
        <v>0</v>
      </c>
      <c r="AK8" s="370">
        <v>0</v>
      </c>
      <c r="AL8" s="370">
        <v>0</v>
      </c>
      <c r="AM8" s="370">
        <v>0</v>
      </c>
      <c r="AN8" s="370">
        <v>0</v>
      </c>
      <c r="AO8" s="370">
        <v>0</v>
      </c>
      <c r="AP8" s="370">
        <v>0</v>
      </c>
      <c r="AQ8" s="370">
        <v>0</v>
      </c>
      <c r="AR8" s="370">
        <v>0</v>
      </c>
      <c r="AS8" s="370">
        <v>0</v>
      </c>
      <c r="AT8" s="370">
        <v>0</v>
      </c>
      <c r="AU8" s="370">
        <v>0</v>
      </c>
      <c r="AV8" s="370">
        <v>0</v>
      </c>
      <c r="AW8" s="370">
        <v>0</v>
      </c>
    </row>
    <row r="9" spans="1:49" x14ac:dyDescent="0.3">
      <c r="A9" s="370" t="s">
        <v>218</v>
      </c>
      <c r="B9" s="395">
        <v>6</v>
      </c>
      <c r="C9" s="370">
        <v>31</v>
      </c>
      <c r="D9" s="370">
        <v>1</v>
      </c>
      <c r="E9" s="370">
        <v>6</v>
      </c>
      <c r="F9" s="370">
        <v>2998241</v>
      </c>
      <c r="G9" s="370">
        <v>0</v>
      </c>
      <c r="H9" s="370">
        <v>0</v>
      </c>
      <c r="I9" s="370">
        <v>72395</v>
      </c>
      <c r="J9" s="370">
        <v>177970</v>
      </c>
      <c r="K9" s="370">
        <v>0</v>
      </c>
      <c r="L9" s="370">
        <v>1544744</v>
      </c>
      <c r="M9" s="370">
        <v>0</v>
      </c>
      <c r="N9" s="370">
        <v>0</v>
      </c>
      <c r="O9" s="370">
        <v>0</v>
      </c>
      <c r="P9" s="370">
        <v>0</v>
      </c>
      <c r="Q9" s="370">
        <v>332550</v>
      </c>
      <c r="R9" s="370">
        <v>370426</v>
      </c>
      <c r="S9" s="370">
        <v>117458</v>
      </c>
      <c r="T9" s="370">
        <v>0</v>
      </c>
      <c r="U9" s="370">
        <v>0</v>
      </c>
      <c r="V9" s="370">
        <v>0</v>
      </c>
      <c r="W9" s="370">
        <v>0</v>
      </c>
      <c r="X9" s="370">
        <v>0</v>
      </c>
      <c r="Y9" s="370">
        <v>0</v>
      </c>
      <c r="Z9" s="370">
        <v>0</v>
      </c>
      <c r="AA9" s="370">
        <v>0</v>
      </c>
      <c r="AB9" s="370">
        <v>0</v>
      </c>
      <c r="AC9" s="370">
        <v>0</v>
      </c>
      <c r="AD9" s="370">
        <v>0</v>
      </c>
      <c r="AE9" s="370">
        <v>0</v>
      </c>
      <c r="AF9" s="370">
        <v>0</v>
      </c>
      <c r="AG9" s="370">
        <v>0</v>
      </c>
      <c r="AH9" s="370">
        <v>0</v>
      </c>
      <c r="AI9" s="370">
        <v>0</v>
      </c>
      <c r="AJ9" s="370">
        <v>0</v>
      </c>
      <c r="AK9" s="370">
        <v>0</v>
      </c>
      <c r="AL9" s="370">
        <v>0</v>
      </c>
      <c r="AM9" s="370">
        <v>0</v>
      </c>
      <c r="AN9" s="370">
        <v>0</v>
      </c>
      <c r="AO9" s="370">
        <v>0</v>
      </c>
      <c r="AP9" s="370">
        <v>0</v>
      </c>
      <c r="AQ9" s="370">
        <v>47342</v>
      </c>
      <c r="AR9" s="370">
        <v>0</v>
      </c>
      <c r="AS9" s="370">
        <v>0</v>
      </c>
      <c r="AT9" s="370">
        <v>335356</v>
      </c>
      <c r="AU9" s="370">
        <v>0</v>
      </c>
      <c r="AV9" s="370">
        <v>0</v>
      </c>
      <c r="AW9" s="370">
        <v>0</v>
      </c>
    </row>
    <row r="10" spans="1:49" x14ac:dyDescent="0.3">
      <c r="A10" s="370" t="s">
        <v>219</v>
      </c>
      <c r="B10" s="395">
        <v>7</v>
      </c>
      <c r="C10" s="370">
        <v>31</v>
      </c>
      <c r="D10" s="370">
        <v>1</v>
      </c>
      <c r="E10" s="370">
        <v>9</v>
      </c>
      <c r="F10" s="370">
        <v>9408</v>
      </c>
      <c r="G10" s="370">
        <v>0</v>
      </c>
      <c r="H10" s="370">
        <v>0</v>
      </c>
      <c r="I10" s="370">
        <v>0</v>
      </c>
      <c r="J10" s="370">
        <v>0</v>
      </c>
      <c r="K10" s="370">
        <v>0</v>
      </c>
      <c r="L10" s="370">
        <v>0</v>
      </c>
      <c r="M10" s="370">
        <v>0</v>
      </c>
      <c r="N10" s="370">
        <v>0</v>
      </c>
      <c r="O10" s="370">
        <v>0</v>
      </c>
      <c r="P10" s="370">
        <v>0</v>
      </c>
      <c r="Q10" s="370">
        <v>2352</v>
      </c>
      <c r="R10" s="370">
        <v>5880</v>
      </c>
      <c r="S10" s="370">
        <v>1176</v>
      </c>
      <c r="T10" s="370">
        <v>0</v>
      </c>
      <c r="U10" s="370">
        <v>0</v>
      </c>
      <c r="V10" s="370">
        <v>0</v>
      </c>
      <c r="W10" s="370">
        <v>0</v>
      </c>
      <c r="X10" s="370">
        <v>0</v>
      </c>
      <c r="Y10" s="370">
        <v>0</v>
      </c>
      <c r="Z10" s="370">
        <v>0</v>
      </c>
      <c r="AA10" s="370">
        <v>0</v>
      </c>
      <c r="AB10" s="370">
        <v>0</v>
      </c>
      <c r="AC10" s="370">
        <v>0</v>
      </c>
      <c r="AD10" s="370">
        <v>0</v>
      </c>
      <c r="AE10" s="370">
        <v>0</v>
      </c>
      <c r="AF10" s="370">
        <v>0</v>
      </c>
      <c r="AG10" s="370">
        <v>0</v>
      </c>
      <c r="AH10" s="370">
        <v>0</v>
      </c>
      <c r="AI10" s="370">
        <v>0</v>
      </c>
      <c r="AJ10" s="370">
        <v>0</v>
      </c>
      <c r="AK10" s="370">
        <v>0</v>
      </c>
      <c r="AL10" s="370">
        <v>0</v>
      </c>
      <c r="AM10" s="370">
        <v>0</v>
      </c>
      <c r="AN10" s="370">
        <v>0</v>
      </c>
      <c r="AO10" s="370">
        <v>0</v>
      </c>
      <c r="AP10" s="370">
        <v>0</v>
      </c>
      <c r="AQ10" s="370">
        <v>0</v>
      </c>
      <c r="AR10" s="370">
        <v>0</v>
      </c>
      <c r="AS10" s="370">
        <v>0</v>
      </c>
      <c r="AT10" s="370">
        <v>0</v>
      </c>
      <c r="AU10" s="370">
        <v>0</v>
      </c>
      <c r="AV10" s="370">
        <v>0</v>
      </c>
      <c r="AW10" s="370">
        <v>0</v>
      </c>
    </row>
    <row r="11" spans="1:49" x14ac:dyDescent="0.3">
      <c r="A11" s="370" t="s">
        <v>220</v>
      </c>
      <c r="B11" s="395">
        <v>8</v>
      </c>
      <c r="C11" s="370">
        <v>31</v>
      </c>
      <c r="D11" s="370">
        <v>1</v>
      </c>
      <c r="E11" s="370">
        <v>11</v>
      </c>
      <c r="F11" s="370">
        <v>4655.8370732829999</v>
      </c>
      <c r="G11" s="370">
        <v>0</v>
      </c>
      <c r="H11" s="370">
        <v>0</v>
      </c>
      <c r="I11" s="370">
        <v>0</v>
      </c>
      <c r="J11" s="370">
        <v>0</v>
      </c>
      <c r="K11" s="370">
        <v>3822.5037399496664</v>
      </c>
      <c r="L11" s="370">
        <v>0</v>
      </c>
      <c r="M11" s="370">
        <v>0</v>
      </c>
      <c r="N11" s="370">
        <v>0</v>
      </c>
      <c r="O11" s="370">
        <v>0</v>
      </c>
      <c r="P11" s="370">
        <v>833.33333333333337</v>
      </c>
      <c r="Q11" s="370">
        <v>0</v>
      </c>
      <c r="R11" s="370">
        <v>0</v>
      </c>
      <c r="S11" s="370">
        <v>0</v>
      </c>
      <c r="T11" s="370">
        <v>0</v>
      </c>
      <c r="U11" s="370">
        <v>0</v>
      </c>
      <c r="V11" s="370">
        <v>0</v>
      </c>
      <c r="W11" s="370">
        <v>0</v>
      </c>
      <c r="X11" s="370">
        <v>0</v>
      </c>
      <c r="Y11" s="370">
        <v>0</v>
      </c>
      <c r="Z11" s="370">
        <v>0</v>
      </c>
      <c r="AA11" s="370">
        <v>0</v>
      </c>
      <c r="AB11" s="370">
        <v>0</v>
      </c>
      <c r="AC11" s="370">
        <v>0</v>
      </c>
      <c r="AD11" s="370">
        <v>0</v>
      </c>
      <c r="AE11" s="370">
        <v>0</v>
      </c>
      <c r="AF11" s="370">
        <v>0</v>
      </c>
      <c r="AG11" s="370">
        <v>0</v>
      </c>
      <c r="AH11" s="370">
        <v>0</v>
      </c>
      <c r="AI11" s="370">
        <v>0</v>
      </c>
      <c r="AJ11" s="370">
        <v>0</v>
      </c>
      <c r="AK11" s="370">
        <v>0</v>
      </c>
      <c r="AL11" s="370">
        <v>0</v>
      </c>
      <c r="AM11" s="370">
        <v>0</v>
      </c>
      <c r="AN11" s="370">
        <v>0</v>
      </c>
      <c r="AO11" s="370">
        <v>0</v>
      </c>
      <c r="AP11" s="370">
        <v>0</v>
      </c>
      <c r="AQ11" s="370">
        <v>0</v>
      </c>
      <c r="AR11" s="370">
        <v>0</v>
      </c>
      <c r="AS11" s="370">
        <v>0</v>
      </c>
      <c r="AT11" s="370">
        <v>0</v>
      </c>
      <c r="AU11" s="370">
        <v>0</v>
      </c>
      <c r="AV11" s="370">
        <v>0</v>
      </c>
      <c r="AW11" s="370">
        <v>0</v>
      </c>
    </row>
    <row r="12" spans="1:49" x14ac:dyDescent="0.3">
      <c r="A12" s="370" t="s">
        <v>221</v>
      </c>
      <c r="B12" s="395">
        <v>9</v>
      </c>
      <c r="C12" s="370">
        <v>31</v>
      </c>
      <c r="D12" s="370">
        <v>2</v>
      </c>
      <c r="E12" s="370">
        <v>1</v>
      </c>
      <c r="F12" s="370">
        <v>60</v>
      </c>
      <c r="G12" s="370">
        <v>0</v>
      </c>
      <c r="H12" s="370">
        <v>0</v>
      </c>
      <c r="I12" s="370">
        <v>3</v>
      </c>
      <c r="J12" s="370">
        <v>1</v>
      </c>
      <c r="K12" s="370">
        <v>0</v>
      </c>
      <c r="L12" s="370">
        <v>15</v>
      </c>
      <c r="M12" s="370">
        <v>0</v>
      </c>
      <c r="N12" s="370">
        <v>0</v>
      </c>
      <c r="O12" s="370">
        <v>0</v>
      </c>
      <c r="P12" s="370">
        <v>0</v>
      </c>
      <c r="Q12" s="370">
        <v>11</v>
      </c>
      <c r="R12" s="370">
        <v>12</v>
      </c>
      <c r="S12" s="370">
        <v>3</v>
      </c>
      <c r="T12" s="370">
        <v>0</v>
      </c>
      <c r="U12" s="370">
        <v>0</v>
      </c>
      <c r="V12" s="370">
        <v>0</v>
      </c>
      <c r="W12" s="370">
        <v>0</v>
      </c>
      <c r="X12" s="370">
        <v>0</v>
      </c>
      <c r="Y12" s="370">
        <v>0</v>
      </c>
      <c r="Z12" s="370">
        <v>0</v>
      </c>
      <c r="AA12" s="370">
        <v>0</v>
      </c>
      <c r="AB12" s="370">
        <v>0</v>
      </c>
      <c r="AC12" s="370">
        <v>0</v>
      </c>
      <c r="AD12" s="370">
        <v>0</v>
      </c>
      <c r="AE12" s="370">
        <v>0</v>
      </c>
      <c r="AF12" s="370">
        <v>0</v>
      </c>
      <c r="AG12" s="370">
        <v>0</v>
      </c>
      <c r="AH12" s="370">
        <v>0</v>
      </c>
      <c r="AI12" s="370">
        <v>0</v>
      </c>
      <c r="AJ12" s="370">
        <v>0</v>
      </c>
      <c r="AK12" s="370">
        <v>0</v>
      </c>
      <c r="AL12" s="370">
        <v>0</v>
      </c>
      <c r="AM12" s="370">
        <v>0</v>
      </c>
      <c r="AN12" s="370">
        <v>0</v>
      </c>
      <c r="AO12" s="370">
        <v>0</v>
      </c>
      <c r="AP12" s="370">
        <v>0</v>
      </c>
      <c r="AQ12" s="370">
        <v>2</v>
      </c>
      <c r="AR12" s="370">
        <v>0</v>
      </c>
      <c r="AS12" s="370">
        <v>0</v>
      </c>
      <c r="AT12" s="370">
        <v>13</v>
      </c>
      <c r="AU12" s="370">
        <v>0</v>
      </c>
      <c r="AV12" s="370">
        <v>0</v>
      </c>
      <c r="AW12" s="370">
        <v>0</v>
      </c>
    </row>
    <row r="13" spans="1:49" x14ac:dyDescent="0.3">
      <c r="A13" s="370" t="s">
        <v>222</v>
      </c>
      <c r="B13" s="395">
        <v>10</v>
      </c>
      <c r="C13" s="370">
        <v>31</v>
      </c>
      <c r="D13" s="370">
        <v>2</v>
      </c>
      <c r="E13" s="370">
        <v>2</v>
      </c>
      <c r="F13" s="370">
        <v>8330</v>
      </c>
      <c r="G13" s="370">
        <v>0</v>
      </c>
      <c r="H13" s="370">
        <v>0</v>
      </c>
      <c r="I13" s="370">
        <v>408</v>
      </c>
      <c r="J13" s="370">
        <v>160</v>
      </c>
      <c r="K13" s="370">
        <v>0</v>
      </c>
      <c r="L13" s="370">
        <v>2168</v>
      </c>
      <c r="M13" s="370">
        <v>0</v>
      </c>
      <c r="N13" s="370">
        <v>0</v>
      </c>
      <c r="O13" s="370">
        <v>0</v>
      </c>
      <c r="P13" s="370">
        <v>0</v>
      </c>
      <c r="Q13" s="370">
        <v>1473.5</v>
      </c>
      <c r="R13" s="370">
        <v>1504</v>
      </c>
      <c r="S13" s="370">
        <v>452</v>
      </c>
      <c r="T13" s="370">
        <v>0</v>
      </c>
      <c r="U13" s="370">
        <v>0</v>
      </c>
      <c r="V13" s="370">
        <v>0</v>
      </c>
      <c r="W13" s="370">
        <v>0</v>
      </c>
      <c r="X13" s="370">
        <v>0</v>
      </c>
      <c r="Y13" s="370">
        <v>0</v>
      </c>
      <c r="Z13" s="370">
        <v>0</v>
      </c>
      <c r="AA13" s="370">
        <v>0</v>
      </c>
      <c r="AB13" s="370">
        <v>0</v>
      </c>
      <c r="AC13" s="370">
        <v>0</v>
      </c>
      <c r="AD13" s="370">
        <v>0</v>
      </c>
      <c r="AE13" s="370">
        <v>0</v>
      </c>
      <c r="AF13" s="370">
        <v>0</v>
      </c>
      <c r="AG13" s="370">
        <v>0</v>
      </c>
      <c r="AH13" s="370">
        <v>0</v>
      </c>
      <c r="AI13" s="370">
        <v>0</v>
      </c>
      <c r="AJ13" s="370">
        <v>0</v>
      </c>
      <c r="AK13" s="370">
        <v>0</v>
      </c>
      <c r="AL13" s="370">
        <v>0</v>
      </c>
      <c r="AM13" s="370">
        <v>0</v>
      </c>
      <c r="AN13" s="370">
        <v>0</v>
      </c>
      <c r="AO13" s="370">
        <v>0</v>
      </c>
      <c r="AP13" s="370">
        <v>0</v>
      </c>
      <c r="AQ13" s="370">
        <v>312</v>
      </c>
      <c r="AR13" s="370">
        <v>0</v>
      </c>
      <c r="AS13" s="370">
        <v>0</v>
      </c>
      <c r="AT13" s="370">
        <v>1852.5</v>
      </c>
      <c r="AU13" s="370">
        <v>0</v>
      </c>
      <c r="AV13" s="370">
        <v>0</v>
      </c>
      <c r="AW13" s="370">
        <v>0</v>
      </c>
    </row>
    <row r="14" spans="1:49" x14ac:dyDescent="0.3">
      <c r="A14" s="370" t="s">
        <v>223</v>
      </c>
      <c r="B14" s="395">
        <v>11</v>
      </c>
      <c r="C14" s="370">
        <v>31</v>
      </c>
      <c r="D14" s="370">
        <v>2</v>
      </c>
      <c r="E14" s="370">
        <v>3</v>
      </c>
      <c r="F14" s="370">
        <v>18</v>
      </c>
      <c r="G14" s="370">
        <v>0</v>
      </c>
      <c r="H14" s="370">
        <v>0</v>
      </c>
      <c r="I14" s="370">
        <v>0</v>
      </c>
      <c r="J14" s="370">
        <v>18</v>
      </c>
      <c r="K14" s="370">
        <v>0</v>
      </c>
      <c r="L14" s="370">
        <v>0</v>
      </c>
      <c r="M14" s="370">
        <v>0</v>
      </c>
      <c r="N14" s="370">
        <v>0</v>
      </c>
      <c r="O14" s="370">
        <v>0</v>
      </c>
      <c r="P14" s="370">
        <v>0</v>
      </c>
      <c r="Q14" s="370">
        <v>0</v>
      </c>
      <c r="R14" s="370">
        <v>0</v>
      </c>
      <c r="S14" s="370">
        <v>0</v>
      </c>
      <c r="T14" s="370">
        <v>0</v>
      </c>
      <c r="U14" s="370">
        <v>0</v>
      </c>
      <c r="V14" s="370">
        <v>0</v>
      </c>
      <c r="W14" s="370">
        <v>0</v>
      </c>
      <c r="X14" s="370">
        <v>0</v>
      </c>
      <c r="Y14" s="370">
        <v>0</v>
      </c>
      <c r="Z14" s="370">
        <v>0</v>
      </c>
      <c r="AA14" s="370">
        <v>0</v>
      </c>
      <c r="AB14" s="370">
        <v>0</v>
      </c>
      <c r="AC14" s="370">
        <v>0</v>
      </c>
      <c r="AD14" s="370">
        <v>0</v>
      </c>
      <c r="AE14" s="370">
        <v>0</v>
      </c>
      <c r="AF14" s="370">
        <v>0</v>
      </c>
      <c r="AG14" s="370">
        <v>0</v>
      </c>
      <c r="AH14" s="370">
        <v>0</v>
      </c>
      <c r="AI14" s="370">
        <v>0</v>
      </c>
      <c r="AJ14" s="370">
        <v>0</v>
      </c>
      <c r="AK14" s="370">
        <v>0</v>
      </c>
      <c r="AL14" s="370">
        <v>0</v>
      </c>
      <c r="AM14" s="370">
        <v>0</v>
      </c>
      <c r="AN14" s="370">
        <v>0</v>
      </c>
      <c r="AO14" s="370">
        <v>0</v>
      </c>
      <c r="AP14" s="370">
        <v>0</v>
      </c>
      <c r="AQ14" s="370">
        <v>0</v>
      </c>
      <c r="AR14" s="370">
        <v>0</v>
      </c>
      <c r="AS14" s="370">
        <v>0</v>
      </c>
      <c r="AT14" s="370">
        <v>0</v>
      </c>
      <c r="AU14" s="370">
        <v>0</v>
      </c>
      <c r="AV14" s="370">
        <v>0</v>
      </c>
      <c r="AW14" s="370">
        <v>0</v>
      </c>
    </row>
    <row r="15" spans="1:49" x14ac:dyDescent="0.3">
      <c r="A15" s="370" t="s">
        <v>224</v>
      </c>
      <c r="B15" s="395">
        <v>12</v>
      </c>
      <c r="C15" s="370">
        <v>31</v>
      </c>
      <c r="D15" s="370">
        <v>2</v>
      </c>
      <c r="E15" s="370">
        <v>4</v>
      </c>
      <c r="F15" s="370">
        <v>604</v>
      </c>
      <c r="G15" s="370">
        <v>0</v>
      </c>
      <c r="H15" s="370">
        <v>0</v>
      </c>
      <c r="I15" s="370">
        <v>0</v>
      </c>
      <c r="J15" s="370">
        <v>64</v>
      </c>
      <c r="K15" s="370">
        <v>12</v>
      </c>
      <c r="L15" s="370">
        <v>507</v>
      </c>
      <c r="M15" s="370">
        <v>0</v>
      </c>
      <c r="N15" s="370">
        <v>0</v>
      </c>
      <c r="O15" s="370">
        <v>0</v>
      </c>
      <c r="P15" s="370">
        <v>0</v>
      </c>
      <c r="Q15" s="370">
        <v>21</v>
      </c>
      <c r="R15" s="370">
        <v>0</v>
      </c>
      <c r="S15" s="370">
        <v>0</v>
      </c>
      <c r="T15" s="370">
        <v>0</v>
      </c>
      <c r="U15" s="370">
        <v>0</v>
      </c>
      <c r="V15" s="370">
        <v>0</v>
      </c>
      <c r="W15" s="370">
        <v>0</v>
      </c>
      <c r="X15" s="370">
        <v>0</v>
      </c>
      <c r="Y15" s="370">
        <v>0</v>
      </c>
      <c r="Z15" s="370">
        <v>0</v>
      </c>
      <c r="AA15" s="370">
        <v>0</v>
      </c>
      <c r="AB15" s="370">
        <v>0</v>
      </c>
      <c r="AC15" s="370">
        <v>0</v>
      </c>
      <c r="AD15" s="370">
        <v>0</v>
      </c>
      <c r="AE15" s="370">
        <v>0</v>
      </c>
      <c r="AF15" s="370">
        <v>0</v>
      </c>
      <c r="AG15" s="370">
        <v>0</v>
      </c>
      <c r="AH15" s="370">
        <v>0</v>
      </c>
      <c r="AI15" s="370">
        <v>0</v>
      </c>
      <c r="AJ15" s="370">
        <v>0</v>
      </c>
      <c r="AK15" s="370">
        <v>0</v>
      </c>
      <c r="AL15" s="370">
        <v>0</v>
      </c>
      <c r="AM15" s="370">
        <v>0</v>
      </c>
      <c r="AN15" s="370">
        <v>0</v>
      </c>
      <c r="AO15" s="370">
        <v>0</v>
      </c>
      <c r="AP15" s="370">
        <v>0</v>
      </c>
      <c r="AQ15" s="370">
        <v>0</v>
      </c>
      <c r="AR15" s="370">
        <v>0</v>
      </c>
      <c r="AS15" s="370">
        <v>0</v>
      </c>
      <c r="AT15" s="370">
        <v>0</v>
      </c>
      <c r="AU15" s="370">
        <v>0</v>
      </c>
      <c r="AV15" s="370">
        <v>0</v>
      </c>
      <c r="AW15" s="370">
        <v>0</v>
      </c>
    </row>
    <row r="16" spans="1:49" x14ac:dyDescent="0.3">
      <c r="A16" s="370" t="s">
        <v>212</v>
      </c>
      <c r="B16" s="395">
        <v>2017</v>
      </c>
      <c r="C16" s="370">
        <v>31</v>
      </c>
      <c r="D16" s="370">
        <v>2</v>
      </c>
      <c r="E16" s="370">
        <v>6</v>
      </c>
      <c r="F16" s="370">
        <v>2941879</v>
      </c>
      <c r="G16" s="370">
        <v>0</v>
      </c>
      <c r="H16" s="370">
        <v>0</v>
      </c>
      <c r="I16" s="370">
        <v>71975</v>
      </c>
      <c r="J16" s="370">
        <v>87389</v>
      </c>
      <c r="K16" s="370">
        <v>4924</v>
      </c>
      <c r="L16" s="370">
        <v>1602783</v>
      </c>
      <c r="M16" s="370">
        <v>0</v>
      </c>
      <c r="N16" s="370">
        <v>0</v>
      </c>
      <c r="O16" s="370">
        <v>0</v>
      </c>
      <c r="P16" s="370">
        <v>0</v>
      </c>
      <c r="Q16" s="370">
        <v>305790</v>
      </c>
      <c r="R16" s="370">
        <v>384014</v>
      </c>
      <c r="S16" s="370">
        <v>117620</v>
      </c>
      <c r="T16" s="370">
        <v>0</v>
      </c>
      <c r="U16" s="370">
        <v>0</v>
      </c>
      <c r="V16" s="370">
        <v>0</v>
      </c>
      <c r="W16" s="370">
        <v>0</v>
      </c>
      <c r="X16" s="370">
        <v>0</v>
      </c>
      <c r="Y16" s="370">
        <v>0</v>
      </c>
      <c r="Z16" s="370">
        <v>0</v>
      </c>
      <c r="AA16" s="370">
        <v>0</v>
      </c>
      <c r="AB16" s="370">
        <v>0</v>
      </c>
      <c r="AC16" s="370">
        <v>0</v>
      </c>
      <c r="AD16" s="370">
        <v>0</v>
      </c>
      <c r="AE16" s="370">
        <v>0</v>
      </c>
      <c r="AF16" s="370">
        <v>0</v>
      </c>
      <c r="AG16" s="370">
        <v>0</v>
      </c>
      <c r="AH16" s="370">
        <v>0</v>
      </c>
      <c r="AI16" s="370">
        <v>0</v>
      </c>
      <c r="AJ16" s="370">
        <v>0</v>
      </c>
      <c r="AK16" s="370">
        <v>0</v>
      </c>
      <c r="AL16" s="370">
        <v>0</v>
      </c>
      <c r="AM16" s="370">
        <v>0</v>
      </c>
      <c r="AN16" s="370">
        <v>0</v>
      </c>
      <c r="AO16" s="370">
        <v>0</v>
      </c>
      <c r="AP16" s="370">
        <v>0</v>
      </c>
      <c r="AQ16" s="370">
        <v>45714</v>
      </c>
      <c r="AR16" s="370">
        <v>0</v>
      </c>
      <c r="AS16" s="370">
        <v>0</v>
      </c>
      <c r="AT16" s="370">
        <v>321670</v>
      </c>
      <c r="AU16" s="370">
        <v>0</v>
      </c>
      <c r="AV16" s="370">
        <v>0</v>
      </c>
      <c r="AW16" s="370">
        <v>0</v>
      </c>
    </row>
    <row r="17" spans="3:49" x14ac:dyDescent="0.3">
      <c r="C17" s="370">
        <v>31</v>
      </c>
      <c r="D17" s="370">
        <v>2</v>
      </c>
      <c r="E17" s="370">
        <v>9</v>
      </c>
      <c r="F17" s="370">
        <v>18728</v>
      </c>
      <c r="G17" s="370">
        <v>0</v>
      </c>
      <c r="H17" s="370">
        <v>0</v>
      </c>
      <c r="I17" s="370">
        <v>0</v>
      </c>
      <c r="J17" s="370">
        <v>0</v>
      </c>
      <c r="K17" s="370">
        <v>0</v>
      </c>
      <c r="L17" s="370">
        <v>0</v>
      </c>
      <c r="M17" s="370">
        <v>0</v>
      </c>
      <c r="N17" s="370">
        <v>0</v>
      </c>
      <c r="O17" s="370">
        <v>0</v>
      </c>
      <c r="P17" s="370">
        <v>0</v>
      </c>
      <c r="Q17" s="370">
        <v>4682</v>
      </c>
      <c r="R17" s="370">
        <v>11705</v>
      </c>
      <c r="S17" s="370">
        <v>2341</v>
      </c>
      <c r="T17" s="370">
        <v>0</v>
      </c>
      <c r="U17" s="370">
        <v>0</v>
      </c>
      <c r="V17" s="370">
        <v>0</v>
      </c>
      <c r="W17" s="370">
        <v>0</v>
      </c>
      <c r="X17" s="370">
        <v>0</v>
      </c>
      <c r="Y17" s="370">
        <v>0</v>
      </c>
      <c r="Z17" s="370">
        <v>0</v>
      </c>
      <c r="AA17" s="370">
        <v>0</v>
      </c>
      <c r="AB17" s="370">
        <v>0</v>
      </c>
      <c r="AC17" s="370">
        <v>0</v>
      </c>
      <c r="AD17" s="370">
        <v>0</v>
      </c>
      <c r="AE17" s="370">
        <v>0</v>
      </c>
      <c r="AF17" s="370">
        <v>0</v>
      </c>
      <c r="AG17" s="370">
        <v>0</v>
      </c>
      <c r="AH17" s="370">
        <v>0</v>
      </c>
      <c r="AI17" s="370">
        <v>0</v>
      </c>
      <c r="AJ17" s="370">
        <v>0</v>
      </c>
      <c r="AK17" s="370">
        <v>0</v>
      </c>
      <c r="AL17" s="370">
        <v>0</v>
      </c>
      <c r="AM17" s="370">
        <v>0</v>
      </c>
      <c r="AN17" s="370">
        <v>0</v>
      </c>
      <c r="AO17" s="370">
        <v>0</v>
      </c>
      <c r="AP17" s="370">
        <v>0</v>
      </c>
      <c r="AQ17" s="370">
        <v>0</v>
      </c>
      <c r="AR17" s="370">
        <v>0</v>
      </c>
      <c r="AS17" s="370">
        <v>0</v>
      </c>
      <c r="AT17" s="370">
        <v>0</v>
      </c>
      <c r="AU17" s="370">
        <v>0</v>
      </c>
      <c r="AV17" s="370">
        <v>0</v>
      </c>
      <c r="AW17" s="370">
        <v>0</v>
      </c>
    </row>
    <row r="18" spans="3:49" x14ac:dyDescent="0.3">
      <c r="C18" s="370">
        <v>31</v>
      </c>
      <c r="D18" s="370">
        <v>2</v>
      </c>
      <c r="E18" s="370">
        <v>10</v>
      </c>
      <c r="F18" s="370">
        <v>8000</v>
      </c>
      <c r="G18" s="370">
        <v>0</v>
      </c>
      <c r="H18" s="370">
        <v>0</v>
      </c>
      <c r="I18" s="370">
        <v>0</v>
      </c>
      <c r="J18" s="370">
        <v>0</v>
      </c>
      <c r="K18" s="370">
        <v>8000</v>
      </c>
      <c r="L18" s="370">
        <v>0</v>
      </c>
      <c r="M18" s="370">
        <v>0</v>
      </c>
      <c r="N18" s="370">
        <v>0</v>
      </c>
      <c r="O18" s="370">
        <v>0</v>
      </c>
      <c r="P18" s="370">
        <v>0</v>
      </c>
      <c r="Q18" s="370">
        <v>0</v>
      </c>
      <c r="R18" s="370">
        <v>0</v>
      </c>
      <c r="S18" s="370">
        <v>0</v>
      </c>
      <c r="T18" s="370">
        <v>0</v>
      </c>
      <c r="U18" s="370">
        <v>0</v>
      </c>
      <c r="V18" s="370">
        <v>0</v>
      </c>
      <c r="W18" s="370">
        <v>0</v>
      </c>
      <c r="X18" s="370">
        <v>0</v>
      </c>
      <c r="Y18" s="370">
        <v>0</v>
      </c>
      <c r="Z18" s="370">
        <v>0</v>
      </c>
      <c r="AA18" s="370">
        <v>0</v>
      </c>
      <c r="AB18" s="370">
        <v>0</v>
      </c>
      <c r="AC18" s="370">
        <v>0</v>
      </c>
      <c r="AD18" s="370">
        <v>0</v>
      </c>
      <c r="AE18" s="370">
        <v>0</v>
      </c>
      <c r="AF18" s="370">
        <v>0</v>
      </c>
      <c r="AG18" s="370">
        <v>0</v>
      </c>
      <c r="AH18" s="370">
        <v>0</v>
      </c>
      <c r="AI18" s="370">
        <v>0</v>
      </c>
      <c r="AJ18" s="370">
        <v>0</v>
      </c>
      <c r="AK18" s="370">
        <v>0</v>
      </c>
      <c r="AL18" s="370">
        <v>0</v>
      </c>
      <c r="AM18" s="370">
        <v>0</v>
      </c>
      <c r="AN18" s="370">
        <v>0</v>
      </c>
      <c r="AO18" s="370">
        <v>0</v>
      </c>
      <c r="AP18" s="370">
        <v>0</v>
      </c>
      <c r="AQ18" s="370">
        <v>0</v>
      </c>
      <c r="AR18" s="370">
        <v>0</v>
      </c>
      <c r="AS18" s="370">
        <v>0</v>
      </c>
      <c r="AT18" s="370">
        <v>0</v>
      </c>
      <c r="AU18" s="370">
        <v>0</v>
      </c>
      <c r="AV18" s="370">
        <v>0</v>
      </c>
      <c r="AW18" s="370">
        <v>0</v>
      </c>
    </row>
    <row r="19" spans="3:49" x14ac:dyDescent="0.3">
      <c r="C19" s="370">
        <v>31</v>
      </c>
      <c r="D19" s="370">
        <v>2</v>
      </c>
      <c r="E19" s="370">
        <v>11</v>
      </c>
      <c r="F19" s="370">
        <v>4655.8370732829999</v>
      </c>
      <c r="G19" s="370">
        <v>0</v>
      </c>
      <c r="H19" s="370">
        <v>0</v>
      </c>
      <c r="I19" s="370">
        <v>0</v>
      </c>
      <c r="J19" s="370">
        <v>0</v>
      </c>
      <c r="K19" s="370">
        <v>3822.5037399496664</v>
      </c>
      <c r="L19" s="370">
        <v>0</v>
      </c>
      <c r="M19" s="370">
        <v>0</v>
      </c>
      <c r="N19" s="370">
        <v>0</v>
      </c>
      <c r="O19" s="370">
        <v>0</v>
      </c>
      <c r="P19" s="370">
        <v>833.33333333333337</v>
      </c>
      <c r="Q19" s="370">
        <v>0</v>
      </c>
      <c r="R19" s="370">
        <v>0</v>
      </c>
      <c r="S19" s="370">
        <v>0</v>
      </c>
      <c r="T19" s="370">
        <v>0</v>
      </c>
      <c r="U19" s="370">
        <v>0</v>
      </c>
      <c r="V19" s="370">
        <v>0</v>
      </c>
      <c r="W19" s="370">
        <v>0</v>
      </c>
      <c r="X19" s="370">
        <v>0</v>
      </c>
      <c r="Y19" s="370">
        <v>0</v>
      </c>
      <c r="Z19" s="370">
        <v>0</v>
      </c>
      <c r="AA19" s="370">
        <v>0</v>
      </c>
      <c r="AB19" s="370">
        <v>0</v>
      </c>
      <c r="AC19" s="370">
        <v>0</v>
      </c>
      <c r="AD19" s="370">
        <v>0</v>
      </c>
      <c r="AE19" s="370">
        <v>0</v>
      </c>
      <c r="AF19" s="370">
        <v>0</v>
      </c>
      <c r="AG19" s="370">
        <v>0</v>
      </c>
      <c r="AH19" s="370">
        <v>0</v>
      </c>
      <c r="AI19" s="370">
        <v>0</v>
      </c>
      <c r="AJ19" s="370">
        <v>0</v>
      </c>
      <c r="AK19" s="370">
        <v>0</v>
      </c>
      <c r="AL19" s="370">
        <v>0</v>
      </c>
      <c r="AM19" s="370">
        <v>0</v>
      </c>
      <c r="AN19" s="370">
        <v>0</v>
      </c>
      <c r="AO19" s="370">
        <v>0</v>
      </c>
      <c r="AP19" s="370">
        <v>0</v>
      </c>
      <c r="AQ19" s="370">
        <v>0</v>
      </c>
      <c r="AR19" s="370">
        <v>0</v>
      </c>
      <c r="AS19" s="370">
        <v>0</v>
      </c>
      <c r="AT19" s="370">
        <v>0</v>
      </c>
      <c r="AU19" s="370">
        <v>0</v>
      </c>
      <c r="AV19" s="370">
        <v>0</v>
      </c>
      <c r="AW19" s="3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592" t="s">
        <v>3356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8"/>
      <c r="U1" s="518"/>
      <c r="V1" s="518"/>
      <c r="W1" s="518"/>
      <c r="X1" s="518"/>
      <c r="Y1" s="518"/>
      <c r="Z1" s="518"/>
      <c r="AA1" s="518"/>
      <c r="AB1" s="518"/>
    </row>
    <row r="2" spans="1:28" ht="14.4" customHeight="1" thickBot="1" x14ac:dyDescent="0.35">
      <c r="A2" s="374" t="s">
        <v>353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159</v>
      </c>
      <c r="B3" s="343">
        <f>SUBTOTAL(9,B6:B1048576)/4</f>
        <v>532582</v>
      </c>
      <c r="C3" s="344">
        <f t="shared" ref="C3:Z3" si="0">SUBTOTAL(9,C6:C1048576)</f>
        <v>5</v>
      </c>
      <c r="D3" s="344"/>
      <c r="E3" s="344">
        <f>SUBTOTAL(9,E6:E1048576)/4</f>
        <v>705683.00999999954</v>
      </c>
      <c r="F3" s="344"/>
      <c r="G3" s="344">
        <f t="shared" si="0"/>
        <v>5</v>
      </c>
      <c r="H3" s="344">
        <f>SUBTOTAL(9,H6:H1048576)/4</f>
        <v>705574.79000000039</v>
      </c>
      <c r="I3" s="347">
        <f>IF(B3&lt;&gt;0,H3/B3,"")</f>
        <v>1.3248190701150253</v>
      </c>
      <c r="J3" s="345">
        <f>IF(E3&lt;&gt;0,H3/E3,"")</f>
        <v>0.99984664502550635</v>
      </c>
      <c r="K3" s="346">
        <f t="shared" si="0"/>
        <v>4560.3599999999997</v>
      </c>
      <c r="L3" s="346"/>
      <c r="M3" s="344">
        <f t="shared" si="0"/>
        <v>2.1676260189652305</v>
      </c>
      <c r="N3" s="344">
        <f t="shared" si="0"/>
        <v>4207.7</v>
      </c>
      <c r="O3" s="344"/>
      <c r="P3" s="344">
        <f t="shared" si="0"/>
        <v>2</v>
      </c>
      <c r="Q3" s="344">
        <f t="shared" si="0"/>
        <v>4816.62</v>
      </c>
      <c r="R3" s="347">
        <f>IF(K3&lt;&gt;0,Q3/K3,"")</f>
        <v>1.0561929321369365</v>
      </c>
      <c r="S3" s="347">
        <f>IF(N3&lt;&gt;0,Q3/N3,"")</f>
        <v>1.1447156403736007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593" t="s">
        <v>296</v>
      </c>
      <c r="B4" s="594" t="s">
        <v>123</v>
      </c>
      <c r="C4" s="595"/>
      <c r="D4" s="596"/>
      <c r="E4" s="595"/>
      <c r="F4" s="596"/>
      <c r="G4" s="595"/>
      <c r="H4" s="595"/>
      <c r="I4" s="596"/>
      <c r="J4" s="597"/>
      <c r="K4" s="594" t="s">
        <v>124</v>
      </c>
      <c r="L4" s="596"/>
      <c r="M4" s="595"/>
      <c r="N4" s="595"/>
      <c r="O4" s="596"/>
      <c r="P4" s="595"/>
      <c r="Q4" s="595"/>
      <c r="R4" s="596"/>
      <c r="S4" s="597"/>
      <c r="T4" s="594" t="s">
        <v>125</v>
      </c>
      <c r="U4" s="596"/>
      <c r="V4" s="595"/>
      <c r="W4" s="595"/>
      <c r="X4" s="596"/>
      <c r="Y4" s="595"/>
      <c r="Z4" s="595"/>
      <c r="AA4" s="596"/>
      <c r="AB4" s="597"/>
    </row>
    <row r="5" spans="1:28" ht="14.4" customHeight="1" thickBot="1" x14ac:dyDescent="0.35">
      <c r="A5" s="861"/>
      <c r="B5" s="862">
        <v>2015</v>
      </c>
      <c r="C5" s="863"/>
      <c r="D5" s="863"/>
      <c r="E5" s="863">
        <v>2016</v>
      </c>
      <c r="F5" s="863"/>
      <c r="G5" s="863"/>
      <c r="H5" s="863">
        <v>2017</v>
      </c>
      <c r="I5" s="864" t="s">
        <v>332</v>
      </c>
      <c r="J5" s="865" t="s">
        <v>2</v>
      </c>
      <c r="K5" s="862">
        <v>2015</v>
      </c>
      <c r="L5" s="863"/>
      <c r="M5" s="863"/>
      <c r="N5" s="863">
        <v>2016</v>
      </c>
      <c r="O5" s="863"/>
      <c r="P5" s="863"/>
      <c r="Q5" s="863">
        <v>2017</v>
      </c>
      <c r="R5" s="864" t="s">
        <v>332</v>
      </c>
      <c r="S5" s="865" t="s">
        <v>2</v>
      </c>
      <c r="T5" s="862">
        <v>2015</v>
      </c>
      <c r="U5" s="863"/>
      <c r="V5" s="863"/>
      <c r="W5" s="863">
        <v>2016</v>
      </c>
      <c r="X5" s="863"/>
      <c r="Y5" s="863"/>
      <c r="Z5" s="863">
        <v>2017</v>
      </c>
      <c r="AA5" s="864" t="s">
        <v>332</v>
      </c>
      <c r="AB5" s="865" t="s">
        <v>2</v>
      </c>
    </row>
    <row r="6" spans="1:28" ht="14.4" customHeight="1" x14ac:dyDescent="0.3">
      <c r="A6" s="866" t="s">
        <v>3354</v>
      </c>
      <c r="B6" s="867">
        <v>532582</v>
      </c>
      <c r="C6" s="868">
        <v>1</v>
      </c>
      <c r="D6" s="868">
        <v>0.75470429704691422</v>
      </c>
      <c r="E6" s="867">
        <v>705683.00999999931</v>
      </c>
      <c r="F6" s="868">
        <v>1.3250222688712712</v>
      </c>
      <c r="G6" s="868">
        <v>1</v>
      </c>
      <c r="H6" s="867">
        <v>705574.79000000027</v>
      </c>
      <c r="I6" s="868">
        <v>1.3248190701150251</v>
      </c>
      <c r="J6" s="868">
        <v>0.99984664502550646</v>
      </c>
      <c r="K6" s="867">
        <v>2280.1799999999998</v>
      </c>
      <c r="L6" s="868">
        <v>1</v>
      </c>
      <c r="M6" s="868">
        <v>1.0838130094826153</v>
      </c>
      <c r="N6" s="867">
        <v>2103.85</v>
      </c>
      <c r="O6" s="868">
        <v>0.92266838582918898</v>
      </c>
      <c r="P6" s="868">
        <v>1</v>
      </c>
      <c r="Q6" s="867">
        <v>2408.31</v>
      </c>
      <c r="R6" s="868">
        <v>1.0561929321369365</v>
      </c>
      <c r="S6" s="868">
        <v>1.1447156403736007</v>
      </c>
      <c r="T6" s="867"/>
      <c r="U6" s="868"/>
      <c r="V6" s="868"/>
      <c r="W6" s="867"/>
      <c r="X6" s="868"/>
      <c r="Y6" s="868"/>
      <c r="Z6" s="867"/>
      <c r="AA6" s="868"/>
      <c r="AB6" s="869"/>
    </row>
    <row r="7" spans="1:28" ht="14.4" customHeight="1" thickBot="1" x14ac:dyDescent="0.35">
      <c r="A7" s="873" t="s">
        <v>3355</v>
      </c>
      <c r="B7" s="870">
        <v>532582</v>
      </c>
      <c r="C7" s="871">
        <v>1</v>
      </c>
      <c r="D7" s="871">
        <v>0.75470429704691422</v>
      </c>
      <c r="E7" s="870">
        <v>705683.00999999931</v>
      </c>
      <c r="F7" s="871">
        <v>1.3250222688712712</v>
      </c>
      <c r="G7" s="871">
        <v>1</v>
      </c>
      <c r="H7" s="870">
        <v>705574.79000000027</v>
      </c>
      <c r="I7" s="871">
        <v>1.3248190701150251</v>
      </c>
      <c r="J7" s="871">
        <v>0.99984664502550646</v>
      </c>
      <c r="K7" s="870">
        <v>2280.1799999999998</v>
      </c>
      <c r="L7" s="871">
        <v>1</v>
      </c>
      <c r="M7" s="871">
        <v>1.0838130094826153</v>
      </c>
      <c r="N7" s="870">
        <v>2103.85</v>
      </c>
      <c r="O7" s="871">
        <v>0.92266838582918898</v>
      </c>
      <c r="P7" s="871">
        <v>1</v>
      </c>
      <c r="Q7" s="870">
        <v>2408.31</v>
      </c>
      <c r="R7" s="871">
        <v>1.0561929321369365</v>
      </c>
      <c r="S7" s="871">
        <v>1.1447156403736007</v>
      </c>
      <c r="T7" s="870"/>
      <c r="U7" s="871"/>
      <c r="V7" s="871"/>
      <c r="W7" s="870"/>
      <c r="X7" s="871"/>
      <c r="Y7" s="871"/>
      <c r="Z7" s="870"/>
      <c r="AA7" s="871"/>
      <c r="AB7" s="872"/>
    </row>
    <row r="8" spans="1:28" ht="14.4" customHeight="1" thickBot="1" x14ac:dyDescent="0.35"/>
    <row r="9" spans="1:28" ht="14.4" customHeight="1" x14ac:dyDescent="0.3">
      <c r="A9" s="866" t="s">
        <v>601</v>
      </c>
      <c r="B9" s="867">
        <v>532582</v>
      </c>
      <c r="C9" s="868">
        <v>1</v>
      </c>
      <c r="D9" s="868">
        <v>0.75470429704691377</v>
      </c>
      <c r="E9" s="867">
        <v>705683.00999999966</v>
      </c>
      <c r="F9" s="868">
        <v>1.3250222688712718</v>
      </c>
      <c r="G9" s="868">
        <v>1</v>
      </c>
      <c r="H9" s="867">
        <v>705574.79000000027</v>
      </c>
      <c r="I9" s="868">
        <v>1.3248190701150251</v>
      </c>
      <c r="J9" s="869">
        <v>0.99984664502550602</v>
      </c>
    </row>
    <row r="10" spans="1:28" ht="14.4" customHeight="1" x14ac:dyDescent="0.3">
      <c r="A10" s="877" t="s">
        <v>3357</v>
      </c>
      <c r="B10" s="874">
        <v>3668</v>
      </c>
      <c r="C10" s="875">
        <v>1</v>
      </c>
      <c r="D10" s="875">
        <v>0.53573567257611743</v>
      </c>
      <c r="E10" s="874">
        <v>6846.66</v>
      </c>
      <c r="F10" s="875">
        <v>1.8665921483097054</v>
      </c>
      <c r="G10" s="875">
        <v>1</v>
      </c>
      <c r="H10" s="874">
        <v>4186.33</v>
      </c>
      <c r="I10" s="875">
        <v>1.1413113413304252</v>
      </c>
      <c r="J10" s="876">
        <v>0.61144119906640615</v>
      </c>
    </row>
    <row r="11" spans="1:28" ht="14.4" customHeight="1" thickBot="1" x14ac:dyDescent="0.35">
      <c r="A11" s="873" t="s">
        <v>3358</v>
      </c>
      <c r="B11" s="870">
        <v>528914</v>
      </c>
      <c r="C11" s="871">
        <v>1</v>
      </c>
      <c r="D11" s="871">
        <v>0.75684958288160065</v>
      </c>
      <c r="E11" s="870">
        <v>698836.34999999963</v>
      </c>
      <c r="F11" s="871">
        <v>1.3212665007921887</v>
      </c>
      <c r="G11" s="871">
        <v>1</v>
      </c>
      <c r="H11" s="870">
        <v>701388.46000000031</v>
      </c>
      <c r="I11" s="871">
        <v>1.32609168976431</v>
      </c>
      <c r="J11" s="872">
        <v>1.0036519422608752</v>
      </c>
    </row>
    <row r="12" spans="1:28" ht="14.4" customHeight="1" x14ac:dyDescent="0.3">
      <c r="A12" s="767" t="s">
        <v>1517</v>
      </c>
    </row>
    <row r="13" spans="1:28" ht="14.4" customHeight="1" x14ac:dyDescent="0.3">
      <c r="A13" s="768" t="s">
        <v>1518</v>
      </c>
    </row>
    <row r="14" spans="1:28" ht="14.4" customHeight="1" x14ac:dyDescent="0.3">
      <c r="A14" s="767" t="s">
        <v>3359</v>
      </c>
    </row>
    <row r="15" spans="1:28" ht="14.4" customHeight="1" x14ac:dyDescent="0.3">
      <c r="A15" s="767" t="s">
        <v>3360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19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592" t="s">
        <v>3362</v>
      </c>
      <c r="B1" s="518"/>
      <c r="C1" s="518"/>
      <c r="D1" s="518"/>
      <c r="E1" s="518"/>
      <c r="F1" s="518"/>
      <c r="G1" s="518"/>
    </row>
    <row r="2" spans="1:7" ht="14.4" customHeight="1" thickBot="1" x14ac:dyDescent="0.35">
      <c r="A2" s="374" t="s">
        <v>353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507" t="s">
        <v>159</v>
      </c>
      <c r="B3" s="460">
        <f t="shared" ref="B3:G3" si="0">SUBTOTAL(9,B6:B1048576)</f>
        <v>3591</v>
      </c>
      <c r="C3" s="461">
        <f t="shared" si="0"/>
        <v>6707</v>
      </c>
      <c r="D3" s="506">
        <f t="shared" si="0"/>
        <v>6452</v>
      </c>
      <c r="E3" s="346">
        <f t="shared" si="0"/>
        <v>532582</v>
      </c>
      <c r="F3" s="344">
        <f t="shared" si="0"/>
        <v>705683.01000000024</v>
      </c>
      <c r="G3" s="462">
        <f t="shared" si="0"/>
        <v>705574.79</v>
      </c>
    </row>
    <row r="4" spans="1:7" ht="14.4" customHeight="1" x14ac:dyDescent="0.3">
      <c r="A4" s="593" t="s">
        <v>167</v>
      </c>
      <c r="B4" s="598" t="s">
        <v>293</v>
      </c>
      <c r="C4" s="596"/>
      <c r="D4" s="599"/>
      <c r="E4" s="598" t="s">
        <v>123</v>
      </c>
      <c r="F4" s="596"/>
      <c r="G4" s="599"/>
    </row>
    <row r="5" spans="1:7" ht="14.4" customHeight="1" thickBot="1" x14ac:dyDescent="0.35">
      <c r="A5" s="861"/>
      <c r="B5" s="862">
        <v>2015</v>
      </c>
      <c r="C5" s="863">
        <v>2016</v>
      </c>
      <c r="D5" s="878">
        <v>2017</v>
      </c>
      <c r="E5" s="862">
        <v>2015</v>
      </c>
      <c r="F5" s="863">
        <v>2016</v>
      </c>
      <c r="G5" s="878">
        <v>2017</v>
      </c>
    </row>
    <row r="6" spans="1:7" ht="14.4" customHeight="1" x14ac:dyDescent="0.3">
      <c r="A6" s="819" t="s">
        <v>3357</v>
      </c>
      <c r="B6" s="225">
        <v>31</v>
      </c>
      <c r="C6" s="225">
        <v>46</v>
      </c>
      <c r="D6" s="225">
        <v>37</v>
      </c>
      <c r="E6" s="879">
        <v>3668</v>
      </c>
      <c r="F6" s="879">
        <v>6846.66</v>
      </c>
      <c r="G6" s="880">
        <v>4186.33</v>
      </c>
    </row>
    <row r="7" spans="1:7" ht="14.4" customHeight="1" x14ac:dyDescent="0.3">
      <c r="A7" s="820" t="s">
        <v>1520</v>
      </c>
      <c r="B7" s="812">
        <v>106</v>
      </c>
      <c r="C7" s="812">
        <v>153</v>
      </c>
      <c r="D7" s="812">
        <v>100</v>
      </c>
      <c r="E7" s="881">
        <v>14133</v>
      </c>
      <c r="F7" s="881">
        <v>15720.98</v>
      </c>
      <c r="G7" s="882">
        <v>8733.99</v>
      </c>
    </row>
    <row r="8" spans="1:7" ht="14.4" customHeight="1" x14ac:dyDescent="0.3">
      <c r="A8" s="820" t="s">
        <v>1521</v>
      </c>
      <c r="B8" s="812">
        <v>204</v>
      </c>
      <c r="C8" s="812">
        <v>494</v>
      </c>
      <c r="D8" s="812">
        <v>477</v>
      </c>
      <c r="E8" s="881">
        <v>23904</v>
      </c>
      <c r="F8" s="881">
        <v>44539.310000000012</v>
      </c>
      <c r="G8" s="882">
        <v>51372.650000000009</v>
      </c>
    </row>
    <row r="9" spans="1:7" ht="14.4" customHeight="1" x14ac:dyDescent="0.3">
      <c r="A9" s="820" t="s">
        <v>3361</v>
      </c>
      <c r="B9" s="812"/>
      <c r="C9" s="812">
        <v>2</v>
      </c>
      <c r="D9" s="812"/>
      <c r="E9" s="881"/>
      <c r="F9" s="881">
        <v>159.32999999999998</v>
      </c>
      <c r="G9" s="882"/>
    </row>
    <row r="10" spans="1:7" ht="14.4" customHeight="1" x14ac:dyDescent="0.3">
      <c r="A10" s="820" t="s">
        <v>1522</v>
      </c>
      <c r="B10" s="812">
        <v>300</v>
      </c>
      <c r="C10" s="812">
        <v>455</v>
      </c>
      <c r="D10" s="812">
        <v>490</v>
      </c>
      <c r="E10" s="881">
        <v>47187</v>
      </c>
      <c r="F10" s="881">
        <v>43421.65</v>
      </c>
      <c r="G10" s="882">
        <v>51762.66</v>
      </c>
    </row>
    <row r="11" spans="1:7" ht="14.4" customHeight="1" x14ac:dyDescent="0.3">
      <c r="A11" s="820" t="s">
        <v>1523</v>
      </c>
      <c r="B11" s="812">
        <v>155</v>
      </c>
      <c r="C11" s="812">
        <v>315</v>
      </c>
      <c r="D11" s="812">
        <v>338</v>
      </c>
      <c r="E11" s="881">
        <v>32827</v>
      </c>
      <c r="F11" s="881">
        <v>35222.260000000024</v>
      </c>
      <c r="G11" s="882">
        <v>40974.270000000026</v>
      </c>
    </row>
    <row r="12" spans="1:7" ht="14.4" customHeight="1" x14ac:dyDescent="0.3">
      <c r="A12" s="820" t="s">
        <v>1524</v>
      </c>
      <c r="B12" s="812">
        <v>333</v>
      </c>
      <c r="C12" s="812">
        <v>650</v>
      </c>
      <c r="D12" s="812">
        <v>427</v>
      </c>
      <c r="E12" s="881">
        <v>38781</v>
      </c>
      <c r="F12" s="881">
        <v>58488.98000000001</v>
      </c>
      <c r="G12" s="882">
        <v>50068.990000000005</v>
      </c>
    </row>
    <row r="13" spans="1:7" ht="14.4" customHeight="1" x14ac:dyDescent="0.3">
      <c r="A13" s="820" t="s">
        <v>1525</v>
      </c>
      <c r="B13" s="812"/>
      <c r="C13" s="812"/>
      <c r="D13" s="812">
        <v>2</v>
      </c>
      <c r="E13" s="881"/>
      <c r="F13" s="881"/>
      <c r="G13" s="882">
        <v>159.32999999999998</v>
      </c>
    </row>
    <row r="14" spans="1:7" ht="14.4" customHeight="1" x14ac:dyDescent="0.3">
      <c r="A14" s="820" t="s">
        <v>1526</v>
      </c>
      <c r="B14" s="812">
        <v>299</v>
      </c>
      <c r="C14" s="812">
        <v>404</v>
      </c>
      <c r="D14" s="812">
        <v>387</v>
      </c>
      <c r="E14" s="881">
        <v>43184</v>
      </c>
      <c r="F14" s="881">
        <v>39198.670000000006</v>
      </c>
      <c r="G14" s="882">
        <v>40038.990000000005</v>
      </c>
    </row>
    <row r="15" spans="1:7" ht="14.4" customHeight="1" x14ac:dyDescent="0.3">
      <c r="A15" s="820" t="s">
        <v>1527</v>
      </c>
      <c r="B15" s="812">
        <v>228</v>
      </c>
      <c r="C15" s="812">
        <v>562</v>
      </c>
      <c r="D15" s="812">
        <v>338</v>
      </c>
      <c r="E15" s="881">
        <v>32845</v>
      </c>
      <c r="F15" s="881">
        <v>59354.98000000001</v>
      </c>
      <c r="G15" s="882">
        <v>33266.32</v>
      </c>
    </row>
    <row r="16" spans="1:7" ht="14.4" customHeight="1" x14ac:dyDescent="0.3">
      <c r="A16" s="820" t="s">
        <v>1528</v>
      </c>
      <c r="B16" s="812">
        <v>158</v>
      </c>
      <c r="C16" s="812">
        <v>227</v>
      </c>
      <c r="D16" s="812">
        <v>347</v>
      </c>
      <c r="E16" s="881">
        <v>20530</v>
      </c>
      <c r="F16" s="881">
        <v>18779.310000000005</v>
      </c>
      <c r="G16" s="882">
        <v>29358.660000000003</v>
      </c>
    </row>
    <row r="17" spans="1:7" ht="14.4" customHeight="1" x14ac:dyDescent="0.3">
      <c r="A17" s="820" t="s">
        <v>1529</v>
      </c>
      <c r="B17" s="812">
        <v>217</v>
      </c>
      <c r="C17" s="812">
        <v>550</v>
      </c>
      <c r="D17" s="812">
        <v>528</v>
      </c>
      <c r="E17" s="881">
        <v>40943</v>
      </c>
      <c r="F17" s="881">
        <v>52138.67</v>
      </c>
      <c r="G17" s="882">
        <v>60658.640000000007</v>
      </c>
    </row>
    <row r="18" spans="1:7" ht="14.4" customHeight="1" x14ac:dyDescent="0.3">
      <c r="A18" s="820" t="s">
        <v>1530</v>
      </c>
      <c r="B18" s="812">
        <v>195</v>
      </c>
      <c r="C18" s="812">
        <v>432</v>
      </c>
      <c r="D18" s="812">
        <v>338</v>
      </c>
      <c r="E18" s="881">
        <v>27051</v>
      </c>
      <c r="F18" s="881">
        <v>56811.640000000007</v>
      </c>
      <c r="G18" s="882">
        <v>37086.99</v>
      </c>
    </row>
    <row r="19" spans="1:7" ht="14.4" customHeight="1" x14ac:dyDescent="0.3">
      <c r="A19" s="820" t="s">
        <v>1531</v>
      </c>
      <c r="B19" s="812">
        <v>182</v>
      </c>
      <c r="C19" s="812">
        <v>415</v>
      </c>
      <c r="D19" s="812">
        <v>435</v>
      </c>
      <c r="E19" s="881">
        <v>27083</v>
      </c>
      <c r="F19" s="881">
        <v>41939.640000000007</v>
      </c>
      <c r="G19" s="882">
        <v>42135.320000000007</v>
      </c>
    </row>
    <row r="20" spans="1:7" ht="14.4" customHeight="1" x14ac:dyDescent="0.3">
      <c r="A20" s="820" t="s">
        <v>1532</v>
      </c>
      <c r="B20" s="812">
        <v>217</v>
      </c>
      <c r="C20" s="812">
        <v>385</v>
      </c>
      <c r="D20" s="812">
        <v>441</v>
      </c>
      <c r="E20" s="881">
        <v>27701</v>
      </c>
      <c r="F20" s="881">
        <v>35837.33</v>
      </c>
      <c r="G20" s="882">
        <v>38679.990000000005</v>
      </c>
    </row>
    <row r="21" spans="1:7" ht="14.4" customHeight="1" x14ac:dyDescent="0.3">
      <c r="A21" s="820" t="s">
        <v>1533</v>
      </c>
      <c r="B21" s="812">
        <v>219</v>
      </c>
      <c r="C21" s="812">
        <v>420</v>
      </c>
      <c r="D21" s="812">
        <v>343</v>
      </c>
      <c r="E21" s="881">
        <v>26633</v>
      </c>
      <c r="F21" s="881">
        <v>39915.65</v>
      </c>
      <c r="G21" s="882">
        <v>30703.999999999996</v>
      </c>
    </row>
    <row r="22" spans="1:7" ht="14.4" customHeight="1" x14ac:dyDescent="0.3">
      <c r="A22" s="820" t="s">
        <v>1534</v>
      </c>
      <c r="B22" s="812">
        <v>248</v>
      </c>
      <c r="C22" s="812">
        <v>443</v>
      </c>
      <c r="D22" s="812">
        <v>410</v>
      </c>
      <c r="E22" s="881">
        <v>36477</v>
      </c>
      <c r="F22" s="881">
        <v>47562.320000000007</v>
      </c>
      <c r="G22" s="882">
        <v>43573.33</v>
      </c>
    </row>
    <row r="23" spans="1:7" ht="14.4" customHeight="1" x14ac:dyDescent="0.3">
      <c r="A23" s="820" t="s">
        <v>1535</v>
      </c>
      <c r="B23" s="812">
        <v>237</v>
      </c>
      <c r="C23" s="812">
        <v>328</v>
      </c>
      <c r="D23" s="812">
        <v>481</v>
      </c>
      <c r="E23" s="881">
        <v>51931</v>
      </c>
      <c r="F23" s="881">
        <v>48577.310000000005</v>
      </c>
      <c r="G23" s="882">
        <v>78676.990000000005</v>
      </c>
    </row>
    <row r="24" spans="1:7" ht="14.4" customHeight="1" thickBot="1" x14ac:dyDescent="0.35">
      <c r="A24" s="885" t="s">
        <v>1536</v>
      </c>
      <c r="B24" s="814">
        <v>262</v>
      </c>
      <c r="C24" s="814">
        <v>426</v>
      </c>
      <c r="D24" s="814">
        <v>533</v>
      </c>
      <c r="E24" s="883">
        <v>37704</v>
      </c>
      <c r="F24" s="883">
        <v>61168.320000000007</v>
      </c>
      <c r="G24" s="884">
        <v>64137.34</v>
      </c>
    </row>
    <row r="25" spans="1:7" ht="14.4" customHeight="1" x14ac:dyDescent="0.3">
      <c r="A25" s="767" t="s">
        <v>1517</v>
      </c>
    </row>
    <row r="26" spans="1:7" ht="14.4" customHeight="1" x14ac:dyDescent="0.3">
      <c r="A26" s="768" t="s">
        <v>1518</v>
      </c>
    </row>
    <row r="27" spans="1:7" ht="14.4" customHeight="1" x14ac:dyDescent="0.3">
      <c r="A27" s="767" t="s">
        <v>3359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6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8" t="s">
        <v>3478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</row>
    <row r="2" spans="1:18" ht="14.4" customHeight="1" thickBot="1" x14ac:dyDescent="0.35">
      <c r="A2" s="374" t="s">
        <v>353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159</v>
      </c>
      <c r="G3" s="207">
        <f t="shared" ref="G3:P3" si="0">SUBTOTAL(9,G6:G1048576)</f>
        <v>3605.6</v>
      </c>
      <c r="H3" s="208">
        <f t="shared" si="0"/>
        <v>534862.17999999993</v>
      </c>
      <c r="I3" s="78"/>
      <c r="J3" s="78"/>
      <c r="K3" s="208">
        <f t="shared" si="0"/>
        <v>6720.5</v>
      </c>
      <c r="L3" s="208">
        <f t="shared" si="0"/>
        <v>707786.8600000001</v>
      </c>
      <c r="M3" s="78"/>
      <c r="N3" s="78"/>
      <c r="O3" s="208">
        <f t="shared" si="0"/>
        <v>6467.28</v>
      </c>
      <c r="P3" s="208">
        <f t="shared" si="0"/>
        <v>707983.10000000009</v>
      </c>
      <c r="Q3" s="79">
        <f>IF(L3=0,0,P3/L3)</f>
        <v>1.0002772586086155</v>
      </c>
      <c r="R3" s="209">
        <f>IF(O3=0,0,P3/O3)</f>
        <v>109.47153981271882</v>
      </c>
    </row>
    <row r="4" spans="1:18" ht="14.4" customHeight="1" x14ac:dyDescent="0.3">
      <c r="A4" s="600" t="s">
        <v>336</v>
      </c>
      <c r="B4" s="600" t="s">
        <v>119</v>
      </c>
      <c r="C4" s="608" t="s">
        <v>0</v>
      </c>
      <c r="D4" s="602" t="s">
        <v>120</v>
      </c>
      <c r="E4" s="607" t="s">
        <v>90</v>
      </c>
      <c r="F4" s="603" t="s">
        <v>81</v>
      </c>
      <c r="G4" s="604">
        <v>2015</v>
      </c>
      <c r="H4" s="605"/>
      <c r="I4" s="206"/>
      <c r="J4" s="206"/>
      <c r="K4" s="604">
        <v>2016</v>
      </c>
      <c r="L4" s="605"/>
      <c r="M4" s="206"/>
      <c r="N4" s="206"/>
      <c r="O4" s="604">
        <v>2017</v>
      </c>
      <c r="P4" s="605"/>
      <c r="Q4" s="606" t="s">
        <v>2</v>
      </c>
      <c r="R4" s="601" t="s">
        <v>122</v>
      </c>
    </row>
    <row r="5" spans="1:18" ht="14.4" customHeight="1" thickBot="1" x14ac:dyDescent="0.35">
      <c r="A5" s="886"/>
      <c r="B5" s="886"/>
      <c r="C5" s="887"/>
      <c r="D5" s="888"/>
      <c r="E5" s="889"/>
      <c r="F5" s="890"/>
      <c r="G5" s="891" t="s">
        <v>91</v>
      </c>
      <c r="H5" s="892" t="s">
        <v>14</v>
      </c>
      <c r="I5" s="893"/>
      <c r="J5" s="893"/>
      <c r="K5" s="891" t="s">
        <v>91</v>
      </c>
      <c r="L5" s="892" t="s">
        <v>14</v>
      </c>
      <c r="M5" s="893"/>
      <c r="N5" s="893"/>
      <c r="O5" s="891" t="s">
        <v>91</v>
      </c>
      <c r="P5" s="892" t="s">
        <v>14</v>
      </c>
      <c r="Q5" s="894"/>
      <c r="R5" s="895"/>
    </row>
    <row r="6" spans="1:18" ht="14.4" customHeight="1" x14ac:dyDescent="0.3">
      <c r="A6" s="787" t="s">
        <v>3363</v>
      </c>
      <c r="B6" s="788" t="s">
        <v>3364</v>
      </c>
      <c r="C6" s="788" t="s">
        <v>601</v>
      </c>
      <c r="D6" s="788" t="s">
        <v>3365</v>
      </c>
      <c r="E6" s="788" t="s">
        <v>3366</v>
      </c>
      <c r="F6" s="788" t="s">
        <v>3367</v>
      </c>
      <c r="G6" s="225">
        <v>13.599999999999996</v>
      </c>
      <c r="H6" s="225">
        <v>2054.1899999999991</v>
      </c>
      <c r="I6" s="788">
        <v>1.2831229347941502</v>
      </c>
      <c r="J6" s="788">
        <v>151.04338235294117</v>
      </c>
      <c r="K6" s="225">
        <v>10.599999999999996</v>
      </c>
      <c r="L6" s="225">
        <v>1600.9300000000003</v>
      </c>
      <c r="M6" s="788">
        <v>1</v>
      </c>
      <c r="N6" s="788">
        <v>151.03113207547179</v>
      </c>
      <c r="O6" s="225">
        <v>13.599999999999996</v>
      </c>
      <c r="P6" s="225">
        <v>2054.16</v>
      </c>
      <c r="Q6" s="793">
        <v>1.283104195686257</v>
      </c>
      <c r="R6" s="811">
        <v>151.04117647058825</v>
      </c>
    </row>
    <row r="7" spans="1:18" ht="14.4" customHeight="1" x14ac:dyDescent="0.3">
      <c r="A7" s="794" t="s">
        <v>3363</v>
      </c>
      <c r="B7" s="795" t="s">
        <v>3364</v>
      </c>
      <c r="C7" s="795" t="s">
        <v>601</v>
      </c>
      <c r="D7" s="795" t="s">
        <v>3365</v>
      </c>
      <c r="E7" s="795" t="s">
        <v>3368</v>
      </c>
      <c r="F7" s="795" t="s">
        <v>1455</v>
      </c>
      <c r="G7" s="812">
        <v>0.2</v>
      </c>
      <c r="H7" s="812">
        <v>14.75</v>
      </c>
      <c r="I7" s="795">
        <v>0.959661678594665</v>
      </c>
      <c r="J7" s="795">
        <v>73.75</v>
      </c>
      <c r="K7" s="812">
        <v>0.2</v>
      </c>
      <c r="L7" s="812">
        <v>15.37</v>
      </c>
      <c r="M7" s="795">
        <v>1</v>
      </c>
      <c r="N7" s="795">
        <v>76.849999999999994</v>
      </c>
      <c r="O7" s="812"/>
      <c r="P7" s="812"/>
      <c r="Q7" s="800"/>
      <c r="R7" s="813"/>
    </row>
    <row r="8" spans="1:18" ht="14.4" customHeight="1" x14ac:dyDescent="0.3">
      <c r="A8" s="794" t="s">
        <v>3363</v>
      </c>
      <c r="B8" s="795" t="s">
        <v>3364</v>
      </c>
      <c r="C8" s="795" t="s">
        <v>601</v>
      </c>
      <c r="D8" s="795" t="s">
        <v>3365</v>
      </c>
      <c r="E8" s="795" t="s">
        <v>3369</v>
      </c>
      <c r="F8" s="795" t="s">
        <v>820</v>
      </c>
      <c r="G8" s="812"/>
      <c r="H8" s="812"/>
      <c r="I8" s="795"/>
      <c r="J8" s="795"/>
      <c r="K8" s="812">
        <v>0.1</v>
      </c>
      <c r="L8" s="812">
        <v>7.8</v>
      </c>
      <c r="M8" s="795">
        <v>1</v>
      </c>
      <c r="N8" s="795">
        <v>78</v>
      </c>
      <c r="O8" s="812"/>
      <c r="P8" s="812"/>
      <c r="Q8" s="800"/>
      <c r="R8" s="813"/>
    </row>
    <row r="9" spans="1:18" ht="14.4" customHeight="1" x14ac:dyDescent="0.3">
      <c r="A9" s="794" t="s">
        <v>3363</v>
      </c>
      <c r="B9" s="795" t="s">
        <v>3364</v>
      </c>
      <c r="C9" s="795" t="s">
        <v>601</v>
      </c>
      <c r="D9" s="795" t="s">
        <v>3365</v>
      </c>
      <c r="E9" s="795" t="s">
        <v>3370</v>
      </c>
      <c r="F9" s="795" t="s">
        <v>1107</v>
      </c>
      <c r="G9" s="812">
        <v>0.4</v>
      </c>
      <c r="H9" s="812">
        <v>105.62</v>
      </c>
      <c r="I9" s="795"/>
      <c r="J9" s="795">
        <v>264.05</v>
      </c>
      <c r="K9" s="812"/>
      <c r="L9" s="812"/>
      <c r="M9" s="795"/>
      <c r="N9" s="795"/>
      <c r="O9" s="812"/>
      <c r="P9" s="812"/>
      <c r="Q9" s="800"/>
      <c r="R9" s="813"/>
    </row>
    <row r="10" spans="1:18" ht="14.4" customHeight="1" x14ac:dyDescent="0.3">
      <c r="A10" s="794" t="s">
        <v>3363</v>
      </c>
      <c r="B10" s="795" t="s">
        <v>3364</v>
      </c>
      <c r="C10" s="795" t="s">
        <v>601</v>
      </c>
      <c r="D10" s="795" t="s">
        <v>3365</v>
      </c>
      <c r="E10" s="795" t="s">
        <v>3371</v>
      </c>
      <c r="F10" s="795" t="s">
        <v>1107</v>
      </c>
      <c r="G10" s="812">
        <v>0.4</v>
      </c>
      <c r="H10" s="812">
        <v>105.62</v>
      </c>
      <c r="I10" s="795">
        <v>0.25</v>
      </c>
      <c r="J10" s="795">
        <v>264.05</v>
      </c>
      <c r="K10" s="812">
        <v>1.5999999999999999</v>
      </c>
      <c r="L10" s="812">
        <v>422.48</v>
      </c>
      <c r="M10" s="795">
        <v>1</v>
      </c>
      <c r="N10" s="795">
        <v>264.05</v>
      </c>
      <c r="O10" s="812">
        <v>1.68</v>
      </c>
      <c r="P10" s="812">
        <v>354.15</v>
      </c>
      <c r="Q10" s="800">
        <v>0.83826453323234229</v>
      </c>
      <c r="R10" s="813">
        <v>210.80357142857142</v>
      </c>
    </row>
    <row r="11" spans="1:18" ht="14.4" customHeight="1" x14ac:dyDescent="0.3">
      <c r="A11" s="794" t="s">
        <v>3363</v>
      </c>
      <c r="B11" s="795" t="s">
        <v>3364</v>
      </c>
      <c r="C11" s="795" t="s">
        <v>601</v>
      </c>
      <c r="D11" s="795" t="s">
        <v>3365</v>
      </c>
      <c r="E11" s="795" t="s">
        <v>3372</v>
      </c>
      <c r="F11" s="795" t="s">
        <v>3373</v>
      </c>
      <c r="G11" s="812"/>
      <c r="H11" s="812"/>
      <c r="I11" s="795"/>
      <c r="J11" s="795"/>
      <c r="K11" s="812">
        <v>1</v>
      </c>
      <c r="L11" s="812">
        <v>57.27</v>
      </c>
      <c r="M11" s="795">
        <v>1</v>
      </c>
      <c r="N11" s="795">
        <v>57.27</v>
      </c>
      <c r="O11" s="812"/>
      <c r="P11" s="812"/>
      <c r="Q11" s="800"/>
      <c r="R11" s="813"/>
    </row>
    <row r="12" spans="1:18" ht="14.4" customHeight="1" x14ac:dyDescent="0.3">
      <c r="A12" s="794" t="s">
        <v>3363</v>
      </c>
      <c r="B12" s="795" t="s">
        <v>3364</v>
      </c>
      <c r="C12" s="795" t="s">
        <v>601</v>
      </c>
      <c r="D12" s="795" t="s">
        <v>3374</v>
      </c>
      <c r="E12" s="795" t="s">
        <v>3375</v>
      </c>
      <c r="F12" s="795" t="s">
        <v>3376</v>
      </c>
      <c r="G12" s="812">
        <v>147</v>
      </c>
      <c r="H12" s="812">
        <v>11907</v>
      </c>
      <c r="I12" s="795">
        <v>0.80594287261405173</v>
      </c>
      <c r="J12" s="795">
        <v>81</v>
      </c>
      <c r="K12" s="812">
        <v>178</v>
      </c>
      <c r="L12" s="812">
        <v>14774</v>
      </c>
      <c r="M12" s="795">
        <v>1</v>
      </c>
      <c r="N12" s="795">
        <v>83</v>
      </c>
      <c r="O12" s="812">
        <v>146</v>
      </c>
      <c r="P12" s="812">
        <v>12118</v>
      </c>
      <c r="Q12" s="800">
        <v>0.8202247191011236</v>
      </c>
      <c r="R12" s="813">
        <v>83</v>
      </c>
    </row>
    <row r="13" spans="1:18" ht="14.4" customHeight="1" x14ac:dyDescent="0.3">
      <c r="A13" s="794" t="s">
        <v>3363</v>
      </c>
      <c r="B13" s="795" t="s">
        <v>3364</v>
      </c>
      <c r="C13" s="795" t="s">
        <v>601</v>
      </c>
      <c r="D13" s="795" t="s">
        <v>3374</v>
      </c>
      <c r="E13" s="795" t="s">
        <v>3377</v>
      </c>
      <c r="F13" s="795" t="s">
        <v>3378</v>
      </c>
      <c r="G13" s="812">
        <v>157</v>
      </c>
      <c r="H13" s="812">
        <v>16328</v>
      </c>
      <c r="I13" s="795">
        <v>0.66972928630024608</v>
      </c>
      <c r="J13" s="795">
        <v>104</v>
      </c>
      <c r="K13" s="812">
        <v>230</v>
      </c>
      <c r="L13" s="812">
        <v>24380</v>
      </c>
      <c r="M13" s="795">
        <v>1</v>
      </c>
      <c r="N13" s="795">
        <v>106</v>
      </c>
      <c r="O13" s="812">
        <v>51</v>
      </c>
      <c r="P13" s="812">
        <v>5406</v>
      </c>
      <c r="Q13" s="800">
        <v>0.22173913043478261</v>
      </c>
      <c r="R13" s="813">
        <v>106</v>
      </c>
    </row>
    <row r="14" spans="1:18" ht="14.4" customHeight="1" x14ac:dyDescent="0.3">
      <c r="A14" s="794" t="s">
        <v>3363</v>
      </c>
      <c r="B14" s="795" t="s">
        <v>3364</v>
      </c>
      <c r="C14" s="795" t="s">
        <v>601</v>
      </c>
      <c r="D14" s="795" t="s">
        <v>3374</v>
      </c>
      <c r="E14" s="795" t="s">
        <v>3379</v>
      </c>
      <c r="F14" s="795" t="s">
        <v>3380</v>
      </c>
      <c r="G14" s="812">
        <v>17</v>
      </c>
      <c r="H14" s="812">
        <v>595</v>
      </c>
      <c r="I14" s="795">
        <v>0.89339339339339341</v>
      </c>
      <c r="J14" s="795">
        <v>35</v>
      </c>
      <c r="K14" s="812">
        <v>18</v>
      </c>
      <c r="L14" s="812">
        <v>666</v>
      </c>
      <c r="M14" s="795">
        <v>1</v>
      </c>
      <c r="N14" s="795">
        <v>37</v>
      </c>
      <c r="O14" s="812">
        <v>17</v>
      </c>
      <c r="P14" s="812">
        <v>629</v>
      </c>
      <c r="Q14" s="800">
        <v>0.94444444444444442</v>
      </c>
      <c r="R14" s="813">
        <v>37</v>
      </c>
    </row>
    <row r="15" spans="1:18" ht="14.4" customHeight="1" x14ac:dyDescent="0.3">
      <c r="A15" s="794" t="s">
        <v>3363</v>
      </c>
      <c r="B15" s="795" t="s">
        <v>3364</v>
      </c>
      <c r="C15" s="795" t="s">
        <v>601</v>
      </c>
      <c r="D15" s="795" t="s">
        <v>3374</v>
      </c>
      <c r="E15" s="795" t="s">
        <v>3381</v>
      </c>
      <c r="F15" s="795" t="s">
        <v>3382</v>
      </c>
      <c r="G15" s="812">
        <v>1</v>
      </c>
      <c r="H15" s="812">
        <v>5</v>
      </c>
      <c r="I15" s="795">
        <v>0.33333333333333331</v>
      </c>
      <c r="J15" s="795">
        <v>5</v>
      </c>
      <c r="K15" s="812">
        <v>3</v>
      </c>
      <c r="L15" s="812">
        <v>15</v>
      </c>
      <c r="M15" s="795">
        <v>1</v>
      </c>
      <c r="N15" s="795">
        <v>5</v>
      </c>
      <c r="O15" s="812">
        <v>1</v>
      </c>
      <c r="P15" s="812">
        <v>5</v>
      </c>
      <c r="Q15" s="800">
        <v>0.33333333333333331</v>
      </c>
      <c r="R15" s="813">
        <v>5</v>
      </c>
    </row>
    <row r="16" spans="1:18" ht="14.4" customHeight="1" x14ac:dyDescent="0.3">
      <c r="A16" s="794" t="s">
        <v>3363</v>
      </c>
      <c r="B16" s="795" t="s">
        <v>3364</v>
      </c>
      <c r="C16" s="795" t="s">
        <v>601</v>
      </c>
      <c r="D16" s="795" t="s">
        <v>3374</v>
      </c>
      <c r="E16" s="795" t="s">
        <v>3383</v>
      </c>
      <c r="F16" s="795" t="s">
        <v>3384</v>
      </c>
      <c r="G16" s="812"/>
      <c r="H16" s="812"/>
      <c r="I16" s="795"/>
      <c r="J16" s="795"/>
      <c r="K16" s="812">
        <v>2</v>
      </c>
      <c r="L16" s="812">
        <v>10</v>
      </c>
      <c r="M16" s="795">
        <v>1</v>
      </c>
      <c r="N16" s="795">
        <v>5</v>
      </c>
      <c r="O16" s="812"/>
      <c r="P16" s="812"/>
      <c r="Q16" s="800"/>
      <c r="R16" s="813"/>
    </row>
    <row r="17" spans="1:18" ht="14.4" customHeight="1" x14ac:dyDescent="0.3">
      <c r="A17" s="794" t="s">
        <v>3363</v>
      </c>
      <c r="B17" s="795" t="s">
        <v>3364</v>
      </c>
      <c r="C17" s="795" t="s">
        <v>601</v>
      </c>
      <c r="D17" s="795" t="s">
        <v>3374</v>
      </c>
      <c r="E17" s="795" t="s">
        <v>3385</v>
      </c>
      <c r="F17" s="795" t="s">
        <v>3386</v>
      </c>
      <c r="G17" s="812">
        <v>1</v>
      </c>
      <c r="H17" s="812">
        <v>118</v>
      </c>
      <c r="I17" s="795"/>
      <c r="J17" s="795">
        <v>118</v>
      </c>
      <c r="K17" s="812"/>
      <c r="L17" s="812"/>
      <c r="M17" s="795"/>
      <c r="N17" s="795"/>
      <c r="O17" s="812"/>
      <c r="P17" s="812"/>
      <c r="Q17" s="800"/>
      <c r="R17" s="813"/>
    </row>
    <row r="18" spans="1:18" ht="14.4" customHeight="1" x14ac:dyDescent="0.3">
      <c r="A18" s="794" t="s">
        <v>3363</v>
      </c>
      <c r="B18" s="795" t="s">
        <v>3364</v>
      </c>
      <c r="C18" s="795" t="s">
        <v>601</v>
      </c>
      <c r="D18" s="795" t="s">
        <v>3374</v>
      </c>
      <c r="E18" s="795" t="s">
        <v>3387</v>
      </c>
      <c r="F18" s="795" t="s">
        <v>3388</v>
      </c>
      <c r="G18" s="812">
        <v>21</v>
      </c>
      <c r="H18" s="812">
        <v>4221</v>
      </c>
      <c r="I18" s="795">
        <v>0.97101449275362317</v>
      </c>
      <c r="J18" s="795">
        <v>201</v>
      </c>
      <c r="K18" s="812">
        <v>21</v>
      </c>
      <c r="L18" s="812">
        <v>4347</v>
      </c>
      <c r="M18" s="795">
        <v>1</v>
      </c>
      <c r="N18" s="795">
        <v>207</v>
      </c>
      <c r="O18" s="812">
        <v>12</v>
      </c>
      <c r="P18" s="812">
        <v>2484</v>
      </c>
      <c r="Q18" s="800">
        <v>0.5714285714285714</v>
      </c>
      <c r="R18" s="813">
        <v>207</v>
      </c>
    </row>
    <row r="19" spans="1:18" ht="14.4" customHeight="1" x14ac:dyDescent="0.3">
      <c r="A19" s="794" t="s">
        <v>3363</v>
      </c>
      <c r="B19" s="795" t="s">
        <v>3364</v>
      </c>
      <c r="C19" s="795" t="s">
        <v>601</v>
      </c>
      <c r="D19" s="795" t="s">
        <v>3374</v>
      </c>
      <c r="E19" s="795" t="s">
        <v>3389</v>
      </c>
      <c r="F19" s="795" t="s">
        <v>3390</v>
      </c>
      <c r="G19" s="812">
        <v>6</v>
      </c>
      <c r="H19" s="812">
        <v>1806</v>
      </c>
      <c r="I19" s="795">
        <v>1.1689320388349516</v>
      </c>
      <c r="J19" s="795">
        <v>301</v>
      </c>
      <c r="K19" s="812">
        <v>5</v>
      </c>
      <c r="L19" s="812">
        <v>1545</v>
      </c>
      <c r="M19" s="795">
        <v>1</v>
      </c>
      <c r="N19" s="795">
        <v>309</v>
      </c>
      <c r="O19" s="812">
        <v>11</v>
      </c>
      <c r="P19" s="812">
        <v>3399</v>
      </c>
      <c r="Q19" s="800">
        <v>2.2000000000000002</v>
      </c>
      <c r="R19" s="813">
        <v>309</v>
      </c>
    </row>
    <row r="20" spans="1:18" ht="14.4" customHeight="1" x14ac:dyDescent="0.3">
      <c r="A20" s="794" t="s">
        <v>3363</v>
      </c>
      <c r="B20" s="795" t="s">
        <v>3364</v>
      </c>
      <c r="C20" s="795" t="s">
        <v>601</v>
      </c>
      <c r="D20" s="795" t="s">
        <v>3374</v>
      </c>
      <c r="E20" s="795" t="s">
        <v>3391</v>
      </c>
      <c r="F20" s="795" t="s">
        <v>3392</v>
      </c>
      <c r="G20" s="812"/>
      <c r="H20" s="812"/>
      <c r="I20" s="795"/>
      <c r="J20" s="795"/>
      <c r="K20" s="812">
        <v>3</v>
      </c>
      <c r="L20" s="812">
        <v>1464</v>
      </c>
      <c r="M20" s="795">
        <v>1</v>
      </c>
      <c r="N20" s="795">
        <v>488</v>
      </c>
      <c r="O20" s="812">
        <v>1</v>
      </c>
      <c r="P20" s="812">
        <v>489</v>
      </c>
      <c r="Q20" s="800">
        <v>0.33401639344262296</v>
      </c>
      <c r="R20" s="813">
        <v>489</v>
      </c>
    </row>
    <row r="21" spans="1:18" ht="14.4" customHeight="1" x14ac:dyDescent="0.3">
      <c r="A21" s="794" t="s">
        <v>3363</v>
      </c>
      <c r="B21" s="795" t="s">
        <v>3364</v>
      </c>
      <c r="C21" s="795" t="s">
        <v>601</v>
      </c>
      <c r="D21" s="795" t="s">
        <v>3374</v>
      </c>
      <c r="E21" s="795" t="s">
        <v>3393</v>
      </c>
      <c r="F21" s="795" t="s">
        <v>3394</v>
      </c>
      <c r="G21" s="812">
        <v>180</v>
      </c>
      <c r="H21" s="812">
        <v>17100</v>
      </c>
      <c r="I21" s="795">
        <v>0.75098814229249011</v>
      </c>
      <c r="J21" s="795">
        <v>95</v>
      </c>
      <c r="K21" s="812">
        <v>230</v>
      </c>
      <c r="L21" s="812">
        <v>22770</v>
      </c>
      <c r="M21" s="795">
        <v>1</v>
      </c>
      <c r="N21" s="795">
        <v>99</v>
      </c>
      <c r="O21" s="812">
        <v>169</v>
      </c>
      <c r="P21" s="812">
        <v>16731</v>
      </c>
      <c r="Q21" s="800">
        <v>0.73478260869565215</v>
      </c>
      <c r="R21" s="813">
        <v>99</v>
      </c>
    </row>
    <row r="22" spans="1:18" ht="14.4" customHeight="1" x14ac:dyDescent="0.3">
      <c r="A22" s="794" t="s">
        <v>3363</v>
      </c>
      <c r="B22" s="795" t="s">
        <v>3364</v>
      </c>
      <c r="C22" s="795" t="s">
        <v>601</v>
      </c>
      <c r="D22" s="795" t="s">
        <v>3374</v>
      </c>
      <c r="E22" s="795" t="s">
        <v>3395</v>
      </c>
      <c r="F22" s="795" t="s">
        <v>3396</v>
      </c>
      <c r="G22" s="812">
        <v>38</v>
      </c>
      <c r="H22" s="812">
        <v>3534</v>
      </c>
      <c r="I22" s="795">
        <v>0.70063441712926244</v>
      </c>
      <c r="J22" s="795">
        <v>93</v>
      </c>
      <c r="K22" s="812">
        <v>52</v>
      </c>
      <c r="L22" s="812">
        <v>5044</v>
      </c>
      <c r="M22" s="795">
        <v>1</v>
      </c>
      <c r="N22" s="795">
        <v>97</v>
      </c>
      <c r="O22" s="812">
        <v>55</v>
      </c>
      <c r="P22" s="812">
        <v>5335</v>
      </c>
      <c r="Q22" s="800">
        <v>1.0576923076923077</v>
      </c>
      <c r="R22" s="813">
        <v>97</v>
      </c>
    </row>
    <row r="23" spans="1:18" ht="14.4" customHeight="1" x14ac:dyDescent="0.3">
      <c r="A23" s="794" t="s">
        <v>3363</v>
      </c>
      <c r="B23" s="795" t="s">
        <v>3364</v>
      </c>
      <c r="C23" s="795" t="s">
        <v>601</v>
      </c>
      <c r="D23" s="795" t="s">
        <v>3374</v>
      </c>
      <c r="E23" s="795" t="s">
        <v>3397</v>
      </c>
      <c r="F23" s="795" t="s">
        <v>3398</v>
      </c>
      <c r="G23" s="812">
        <v>2353</v>
      </c>
      <c r="H23" s="812">
        <v>277654</v>
      </c>
      <c r="I23" s="795">
        <v>0.82040326679194886</v>
      </c>
      <c r="J23" s="795">
        <v>118</v>
      </c>
      <c r="K23" s="812">
        <v>2686</v>
      </c>
      <c r="L23" s="812">
        <v>338436</v>
      </c>
      <c r="M23" s="795">
        <v>1</v>
      </c>
      <c r="N23" s="795">
        <v>126</v>
      </c>
      <c r="O23" s="812">
        <v>2631</v>
      </c>
      <c r="P23" s="812">
        <v>331506</v>
      </c>
      <c r="Q23" s="800">
        <v>0.97952345495160087</v>
      </c>
      <c r="R23" s="813">
        <v>126</v>
      </c>
    </row>
    <row r="24" spans="1:18" ht="14.4" customHeight="1" x14ac:dyDescent="0.3">
      <c r="A24" s="794" t="s">
        <v>3363</v>
      </c>
      <c r="B24" s="795" t="s">
        <v>3364</v>
      </c>
      <c r="C24" s="795" t="s">
        <v>601</v>
      </c>
      <c r="D24" s="795" t="s">
        <v>3374</v>
      </c>
      <c r="E24" s="795" t="s">
        <v>3399</v>
      </c>
      <c r="F24" s="795" t="s">
        <v>3400</v>
      </c>
      <c r="G24" s="812"/>
      <c r="H24" s="812"/>
      <c r="I24" s="795"/>
      <c r="J24" s="795"/>
      <c r="K24" s="812">
        <v>1</v>
      </c>
      <c r="L24" s="812">
        <v>679</v>
      </c>
      <c r="M24" s="795">
        <v>1</v>
      </c>
      <c r="N24" s="795">
        <v>679</v>
      </c>
      <c r="O24" s="812"/>
      <c r="P24" s="812"/>
      <c r="Q24" s="800"/>
      <c r="R24" s="813"/>
    </row>
    <row r="25" spans="1:18" ht="14.4" customHeight="1" x14ac:dyDescent="0.3">
      <c r="A25" s="794" t="s">
        <v>3363</v>
      </c>
      <c r="B25" s="795" t="s">
        <v>3364</v>
      </c>
      <c r="C25" s="795" t="s">
        <v>601</v>
      </c>
      <c r="D25" s="795" t="s">
        <v>3374</v>
      </c>
      <c r="E25" s="795" t="s">
        <v>3401</v>
      </c>
      <c r="F25" s="795" t="s">
        <v>3402</v>
      </c>
      <c r="G25" s="812"/>
      <c r="H25" s="812"/>
      <c r="I25" s="795"/>
      <c r="J25" s="795"/>
      <c r="K25" s="812">
        <v>1</v>
      </c>
      <c r="L25" s="812">
        <v>1273</v>
      </c>
      <c r="M25" s="795">
        <v>1</v>
      </c>
      <c r="N25" s="795">
        <v>1273</v>
      </c>
      <c r="O25" s="812"/>
      <c r="P25" s="812"/>
      <c r="Q25" s="800"/>
      <c r="R25" s="813"/>
    </row>
    <row r="26" spans="1:18" ht="14.4" customHeight="1" x14ac:dyDescent="0.3">
      <c r="A26" s="794" t="s">
        <v>3363</v>
      </c>
      <c r="B26" s="795" t="s">
        <v>3364</v>
      </c>
      <c r="C26" s="795" t="s">
        <v>601</v>
      </c>
      <c r="D26" s="795" t="s">
        <v>3374</v>
      </c>
      <c r="E26" s="795" t="s">
        <v>3403</v>
      </c>
      <c r="F26" s="795" t="s">
        <v>3404</v>
      </c>
      <c r="G26" s="812">
        <v>1</v>
      </c>
      <c r="H26" s="812">
        <v>946</v>
      </c>
      <c r="I26" s="795"/>
      <c r="J26" s="795">
        <v>946</v>
      </c>
      <c r="K26" s="812"/>
      <c r="L26" s="812"/>
      <c r="M26" s="795"/>
      <c r="N26" s="795"/>
      <c r="O26" s="812"/>
      <c r="P26" s="812"/>
      <c r="Q26" s="800"/>
      <c r="R26" s="813"/>
    </row>
    <row r="27" spans="1:18" ht="14.4" customHeight="1" x14ac:dyDescent="0.3">
      <c r="A27" s="794" t="s">
        <v>3363</v>
      </c>
      <c r="B27" s="795" t="s">
        <v>3364</v>
      </c>
      <c r="C27" s="795" t="s">
        <v>601</v>
      </c>
      <c r="D27" s="795" t="s">
        <v>3374</v>
      </c>
      <c r="E27" s="795" t="s">
        <v>3405</v>
      </c>
      <c r="F27" s="795" t="s">
        <v>3406</v>
      </c>
      <c r="G27" s="812">
        <v>25</v>
      </c>
      <c r="H27" s="812">
        <v>40925</v>
      </c>
      <c r="I27" s="795">
        <v>0.76261553369111512</v>
      </c>
      <c r="J27" s="795">
        <v>1637</v>
      </c>
      <c r="K27" s="812">
        <v>32</v>
      </c>
      <c r="L27" s="812">
        <v>53664</v>
      </c>
      <c r="M27" s="795">
        <v>1</v>
      </c>
      <c r="N27" s="795">
        <v>1677</v>
      </c>
      <c r="O27" s="812">
        <v>29</v>
      </c>
      <c r="P27" s="812">
        <v>48662</v>
      </c>
      <c r="Q27" s="800">
        <v>0.9067903995229577</v>
      </c>
      <c r="R27" s="813">
        <v>1678</v>
      </c>
    </row>
    <row r="28" spans="1:18" ht="14.4" customHeight="1" x14ac:dyDescent="0.3">
      <c r="A28" s="794" t="s">
        <v>3363</v>
      </c>
      <c r="B28" s="795" t="s">
        <v>3364</v>
      </c>
      <c r="C28" s="795" t="s">
        <v>601</v>
      </c>
      <c r="D28" s="795" t="s">
        <v>3374</v>
      </c>
      <c r="E28" s="795" t="s">
        <v>3407</v>
      </c>
      <c r="F28" s="795" t="s">
        <v>3408</v>
      </c>
      <c r="G28" s="812">
        <v>36</v>
      </c>
      <c r="H28" s="812">
        <v>46224</v>
      </c>
      <c r="I28" s="795">
        <v>1.6051114660740329</v>
      </c>
      <c r="J28" s="795">
        <v>1284</v>
      </c>
      <c r="K28" s="812">
        <v>22</v>
      </c>
      <c r="L28" s="812">
        <v>28798</v>
      </c>
      <c r="M28" s="795">
        <v>1</v>
      </c>
      <c r="N28" s="795">
        <v>1309</v>
      </c>
      <c r="O28" s="812">
        <v>36</v>
      </c>
      <c r="P28" s="812">
        <v>47160</v>
      </c>
      <c r="Q28" s="800">
        <v>1.6376137231752206</v>
      </c>
      <c r="R28" s="813">
        <v>1310</v>
      </c>
    </row>
    <row r="29" spans="1:18" ht="14.4" customHeight="1" x14ac:dyDescent="0.3">
      <c r="A29" s="794" t="s">
        <v>3363</v>
      </c>
      <c r="B29" s="795" t="s">
        <v>3364</v>
      </c>
      <c r="C29" s="795" t="s">
        <v>601</v>
      </c>
      <c r="D29" s="795" t="s">
        <v>3374</v>
      </c>
      <c r="E29" s="795" t="s">
        <v>3409</v>
      </c>
      <c r="F29" s="795" t="s">
        <v>3410</v>
      </c>
      <c r="G29" s="812"/>
      <c r="H29" s="812"/>
      <c r="I29" s="795"/>
      <c r="J29" s="795"/>
      <c r="K29" s="812">
        <v>3</v>
      </c>
      <c r="L29" s="812">
        <v>2913</v>
      </c>
      <c r="M29" s="795">
        <v>1</v>
      </c>
      <c r="N29" s="795">
        <v>971</v>
      </c>
      <c r="O29" s="812">
        <v>4</v>
      </c>
      <c r="P29" s="812">
        <v>3888</v>
      </c>
      <c r="Q29" s="800">
        <v>1.3347064881565396</v>
      </c>
      <c r="R29" s="813">
        <v>972</v>
      </c>
    </row>
    <row r="30" spans="1:18" ht="14.4" customHeight="1" x14ac:dyDescent="0.3">
      <c r="A30" s="794" t="s">
        <v>3363</v>
      </c>
      <c r="B30" s="795" t="s">
        <v>3364</v>
      </c>
      <c r="C30" s="795" t="s">
        <v>601</v>
      </c>
      <c r="D30" s="795" t="s">
        <v>3374</v>
      </c>
      <c r="E30" s="795" t="s">
        <v>3411</v>
      </c>
      <c r="F30" s="795" t="s">
        <v>3412</v>
      </c>
      <c r="G30" s="812">
        <v>3</v>
      </c>
      <c r="H30" s="812">
        <v>2880</v>
      </c>
      <c r="I30" s="795">
        <v>2.9238578680203045</v>
      </c>
      <c r="J30" s="795">
        <v>960</v>
      </c>
      <c r="K30" s="812">
        <v>1</v>
      </c>
      <c r="L30" s="812">
        <v>985</v>
      </c>
      <c r="M30" s="795">
        <v>1</v>
      </c>
      <c r="N30" s="795">
        <v>985</v>
      </c>
      <c r="O30" s="812">
        <v>2</v>
      </c>
      <c r="P30" s="812">
        <v>1972</v>
      </c>
      <c r="Q30" s="800">
        <v>2.002030456852792</v>
      </c>
      <c r="R30" s="813">
        <v>986</v>
      </c>
    </row>
    <row r="31" spans="1:18" ht="14.4" customHeight="1" x14ac:dyDescent="0.3">
      <c r="A31" s="794" t="s">
        <v>3363</v>
      </c>
      <c r="B31" s="795" t="s">
        <v>3364</v>
      </c>
      <c r="C31" s="795" t="s">
        <v>601</v>
      </c>
      <c r="D31" s="795" t="s">
        <v>3374</v>
      </c>
      <c r="E31" s="795" t="s">
        <v>3413</v>
      </c>
      <c r="F31" s="795" t="s">
        <v>3414</v>
      </c>
      <c r="G31" s="812">
        <v>21</v>
      </c>
      <c r="H31" s="812">
        <v>3297</v>
      </c>
      <c r="I31" s="795">
        <v>0.84279141104294475</v>
      </c>
      <c r="J31" s="795">
        <v>157</v>
      </c>
      <c r="K31" s="812">
        <v>24</v>
      </c>
      <c r="L31" s="812">
        <v>3912</v>
      </c>
      <c r="M31" s="795">
        <v>1</v>
      </c>
      <c r="N31" s="795">
        <v>163</v>
      </c>
      <c r="O31" s="812">
        <v>25</v>
      </c>
      <c r="P31" s="812">
        <v>4075</v>
      </c>
      <c r="Q31" s="800">
        <v>1.0416666666666667</v>
      </c>
      <c r="R31" s="813">
        <v>163</v>
      </c>
    </row>
    <row r="32" spans="1:18" ht="14.4" customHeight="1" x14ac:dyDescent="0.3">
      <c r="A32" s="794" t="s">
        <v>3363</v>
      </c>
      <c r="B32" s="795" t="s">
        <v>3364</v>
      </c>
      <c r="C32" s="795" t="s">
        <v>601</v>
      </c>
      <c r="D32" s="795" t="s">
        <v>3374</v>
      </c>
      <c r="E32" s="795" t="s">
        <v>3415</v>
      </c>
      <c r="F32" s="795" t="s">
        <v>3416</v>
      </c>
      <c r="G32" s="812">
        <v>1</v>
      </c>
      <c r="H32" s="812">
        <v>318</v>
      </c>
      <c r="I32" s="795"/>
      <c r="J32" s="795">
        <v>318</v>
      </c>
      <c r="K32" s="812"/>
      <c r="L32" s="812"/>
      <c r="M32" s="795"/>
      <c r="N32" s="795"/>
      <c r="O32" s="812"/>
      <c r="P32" s="812"/>
      <c r="Q32" s="800"/>
      <c r="R32" s="813"/>
    </row>
    <row r="33" spans="1:18" ht="14.4" customHeight="1" x14ac:dyDescent="0.3">
      <c r="A33" s="794" t="s">
        <v>3363</v>
      </c>
      <c r="B33" s="795" t="s">
        <v>3364</v>
      </c>
      <c r="C33" s="795" t="s">
        <v>601</v>
      </c>
      <c r="D33" s="795" t="s">
        <v>3374</v>
      </c>
      <c r="E33" s="795" t="s">
        <v>3417</v>
      </c>
      <c r="F33" s="795" t="s">
        <v>3418</v>
      </c>
      <c r="G33" s="812">
        <v>1</v>
      </c>
      <c r="H33" s="812">
        <v>0</v>
      </c>
      <c r="I33" s="795">
        <v>0</v>
      </c>
      <c r="J33" s="795">
        <v>0</v>
      </c>
      <c r="K33" s="812">
        <v>2578</v>
      </c>
      <c r="L33" s="812">
        <v>85933.010000000126</v>
      </c>
      <c r="M33" s="795">
        <v>1</v>
      </c>
      <c r="N33" s="795">
        <v>33.333207913110989</v>
      </c>
      <c r="O33" s="812">
        <v>2571</v>
      </c>
      <c r="P33" s="812">
        <v>85699.790000000066</v>
      </c>
      <c r="Q33" s="800">
        <v>0.99728602547495937</v>
      </c>
      <c r="R33" s="813">
        <v>33.33325165305331</v>
      </c>
    </row>
    <row r="34" spans="1:18" ht="14.4" customHeight="1" x14ac:dyDescent="0.3">
      <c r="A34" s="794" t="s">
        <v>3363</v>
      </c>
      <c r="B34" s="795" t="s">
        <v>3364</v>
      </c>
      <c r="C34" s="795" t="s">
        <v>601</v>
      </c>
      <c r="D34" s="795" t="s">
        <v>3374</v>
      </c>
      <c r="E34" s="795" t="s">
        <v>3419</v>
      </c>
      <c r="F34" s="795" t="s">
        <v>3420</v>
      </c>
      <c r="G34" s="812">
        <v>32</v>
      </c>
      <c r="H34" s="812">
        <v>3456</v>
      </c>
      <c r="I34" s="795">
        <v>0.57294429708222816</v>
      </c>
      <c r="J34" s="795">
        <v>108</v>
      </c>
      <c r="K34" s="812">
        <v>52</v>
      </c>
      <c r="L34" s="812">
        <v>6032</v>
      </c>
      <c r="M34" s="795">
        <v>1</v>
      </c>
      <c r="N34" s="795">
        <v>116</v>
      </c>
      <c r="O34" s="812">
        <v>40</v>
      </c>
      <c r="P34" s="812">
        <v>4640</v>
      </c>
      <c r="Q34" s="800">
        <v>0.76923076923076927</v>
      </c>
      <c r="R34" s="813">
        <v>116</v>
      </c>
    </row>
    <row r="35" spans="1:18" ht="14.4" customHeight="1" x14ac:dyDescent="0.3">
      <c r="A35" s="794" t="s">
        <v>3363</v>
      </c>
      <c r="B35" s="795" t="s">
        <v>3364</v>
      </c>
      <c r="C35" s="795" t="s">
        <v>601</v>
      </c>
      <c r="D35" s="795" t="s">
        <v>3374</v>
      </c>
      <c r="E35" s="795" t="s">
        <v>3421</v>
      </c>
      <c r="F35" s="795" t="s">
        <v>3422</v>
      </c>
      <c r="G35" s="812">
        <v>1</v>
      </c>
      <c r="H35" s="812">
        <v>36</v>
      </c>
      <c r="I35" s="795">
        <v>0.97297297297297303</v>
      </c>
      <c r="J35" s="795">
        <v>36</v>
      </c>
      <c r="K35" s="812">
        <v>1</v>
      </c>
      <c r="L35" s="812">
        <v>37</v>
      </c>
      <c r="M35" s="795">
        <v>1</v>
      </c>
      <c r="N35" s="795">
        <v>37</v>
      </c>
      <c r="O35" s="812"/>
      <c r="P35" s="812"/>
      <c r="Q35" s="800"/>
      <c r="R35" s="813"/>
    </row>
    <row r="36" spans="1:18" ht="14.4" customHeight="1" x14ac:dyDescent="0.3">
      <c r="A36" s="794" t="s">
        <v>3363</v>
      </c>
      <c r="B36" s="795" t="s">
        <v>3364</v>
      </c>
      <c r="C36" s="795" t="s">
        <v>601</v>
      </c>
      <c r="D36" s="795" t="s">
        <v>3374</v>
      </c>
      <c r="E36" s="795" t="s">
        <v>3423</v>
      </c>
      <c r="F36" s="795" t="s">
        <v>3424</v>
      </c>
      <c r="G36" s="812">
        <v>72</v>
      </c>
      <c r="H36" s="812">
        <v>5904</v>
      </c>
      <c r="I36" s="795">
        <v>1.0561717352415028</v>
      </c>
      <c r="J36" s="795">
        <v>82</v>
      </c>
      <c r="K36" s="812">
        <v>65</v>
      </c>
      <c r="L36" s="812">
        <v>5590</v>
      </c>
      <c r="M36" s="795">
        <v>1</v>
      </c>
      <c r="N36" s="795">
        <v>86</v>
      </c>
      <c r="O36" s="812">
        <v>73</v>
      </c>
      <c r="P36" s="812">
        <v>6278</v>
      </c>
      <c r="Q36" s="800">
        <v>1.1230769230769231</v>
      </c>
      <c r="R36" s="813">
        <v>86</v>
      </c>
    </row>
    <row r="37" spans="1:18" ht="14.4" customHeight="1" x14ac:dyDescent="0.3">
      <c r="A37" s="794" t="s">
        <v>3363</v>
      </c>
      <c r="B37" s="795" t="s">
        <v>3364</v>
      </c>
      <c r="C37" s="795" t="s">
        <v>601</v>
      </c>
      <c r="D37" s="795" t="s">
        <v>3374</v>
      </c>
      <c r="E37" s="795" t="s">
        <v>3425</v>
      </c>
      <c r="F37" s="795" t="s">
        <v>3426</v>
      </c>
      <c r="G37" s="812">
        <v>41</v>
      </c>
      <c r="H37" s="812">
        <v>1271</v>
      </c>
      <c r="I37" s="795">
        <v>1.6549479166666667</v>
      </c>
      <c r="J37" s="795">
        <v>31</v>
      </c>
      <c r="K37" s="812">
        <v>24</v>
      </c>
      <c r="L37" s="812">
        <v>768</v>
      </c>
      <c r="M37" s="795">
        <v>1</v>
      </c>
      <c r="N37" s="795">
        <v>32</v>
      </c>
      <c r="O37" s="812">
        <v>36</v>
      </c>
      <c r="P37" s="812">
        <v>1152</v>
      </c>
      <c r="Q37" s="800">
        <v>1.5</v>
      </c>
      <c r="R37" s="813">
        <v>32</v>
      </c>
    </row>
    <row r="38" spans="1:18" ht="14.4" customHeight="1" x14ac:dyDescent="0.3">
      <c r="A38" s="794" t="s">
        <v>3363</v>
      </c>
      <c r="B38" s="795" t="s">
        <v>3364</v>
      </c>
      <c r="C38" s="795" t="s">
        <v>601</v>
      </c>
      <c r="D38" s="795" t="s">
        <v>3374</v>
      </c>
      <c r="E38" s="795" t="s">
        <v>3427</v>
      </c>
      <c r="F38" s="795" t="s">
        <v>3428</v>
      </c>
      <c r="G38" s="812">
        <v>8</v>
      </c>
      <c r="H38" s="812">
        <v>3072</v>
      </c>
      <c r="I38" s="795">
        <v>0.55692530819434372</v>
      </c>
      <c r="J38" s="795">
        <v>384</v>
      </c>
      <c r="K38" s="812">
        <v>14</v>
      </c>
      <c r="L38" s="812">
        <v>5516</v>
      </c>
      <c r="M38" s="795">
        <v>1</v>
      </c>
      <c r="N38" s="795">
        <v>394</v>
      </c>
      <c r="O38" s="812">
        <v>20</v>
      </c>
      <c r="P38" s="812">
        <v>7900</v>
      </c>
      <c r="Q38" s="800">
        <v>1.4321972443799855</v>
      </c>
      <c r="R38" s="813">
        <v>395</v>
      </c>
    </row>
    <row r="39" spans="1:18" ht="14.4" customHeight="1" x14ac:dyDescent="0.3">
      <c r="A39" s="794" t="s">
        <v>3363</v>
      </c>
      <c r="B39" s="795" t="s">
        <v>3364</v>
      </c>
      <c r="C39" s="795" t="s">
        <v>601</v>
      </c>
      <c r="D39" s="795" t="s">
        <v>3374</v>
      </c>
      <c r="E39" s="795" t="s">
        <v>3429</v>
      </c>
      <c r="F39" s="795" t="s">
        <v>3430</v>
      </c>
      <c r="G39" s="812">
        <v>1</v>
      </c>
      <c r="H39" s="812">
        <v>675</v>
      </c>
      <c r="I39" s="795"/>
      <c r="J39" s="795">
        <v>675</v>
      </c>
      <c r="K39" s="812"/>
      <c r="L39" s="812"/>
      <c r="M39" s="795"/>
      <c r="N39" s="795"/>
      <c r="O39" s="812"/>
      <c r="P39" s="812"/>
      <c r="Q39" s="800"/>
      <c r="R39" s="813"/>
    </row>
    <row r="40" spans="1:18" ht="14.4" customHeight="1" x14ac:dyDescent="0.3">
      <c r="A40" s="794" t="s">
        <v>3363</v>
      </c>
      <c r="B40" s="795" t="s">
        <v>3364</v>
      </c>
      <c r="C40" s="795" t="s">
        <v>601</v>
      </c>
      <c r="D40" s="795" t="s">
        <v>3374</v>
      </c>
      <c r="E40" s="795" t="s">
        <v>3431</v>
      </c>
      <c r="F40" s="795" t="s">
        <v>3432</v>
      </c>
      <c r="G40" s="812">
        <v>14</v>
      </c>
      <c r="H40" s="812">
        <v>2212</v>
      </c>
      <c r="I40" s="795">
        <v>0.97530864197530864</v>
      </c>
      <c r="J40" s="795">
        <v>158</v>
      </c>
      <c r="K40" s="812">
        <v>14</v>
      </c>
      <c r="L40" s="812">
        <v>2268</v>
      </c>
      <c r="M40" s="795">
        <v>1</v>
      </c>
      <c r="N40" s="795">
        <v>162</v>
      </c>
      <c r="O40" s="812">
        <v>19</v>
      </c>
      <c r="P40" s="812">
        <v>3078</v>
      </c>
      <c r="Q40" s="800">
        <v>1.3571428571428572</v>
      </c>
      <c r="R40" s="813">
        <v>162</v>
      </c>
    </row>
    <row r="41" spans="1:18" ht="14.4" customHeight="1" x14ac:dyDescent="0.3">
      <c r="A41" s="794" t="s">
        <v>3363</v>
      </c>
      <c r="B41" s="795" t="s">
        <v>3364</v>
      </c>
      <c r="C41" s="795" t="s">
        <v>601</v>
      </c>
      <c r="D41" s="795" t="s">
        <v>3374</v>
      </c>
      <c r="E41" s="795" t="s">
        <v>3433</v>
      </c>
      <c r="F41" s="795" t="s">
        <v>3434</v>
      </c>
      <c r="G41" s="812"/>
      <c r="H41" s="812"/>
      <c r="I41" s="795"/>
      <c r="J41" s="795"/>
      <c r="K41" s="812">
        <v>2</v>
      </c>
      <c r="L41" s="812">
        <v>118</v>
      </c>
      <c r="M41" s="795">
        <v>1</v>
      </c>
      <c r="N41" s="795">
        <v>59</v>
      </c>
      <c r="O41" s="812"/>
      <c r="P41" s="812"/>
      <c r="Q41" s="800"/>
      <c r="R41" s="813"/>
    </row>
    <row r="42" spans="1:18" ht="14.4" customHeight="1" x14ac:dyDescent="0.3">
      <c r="A42" s="794" t="s">
        <v>3363</v>
      </c>
      <c r="B42" s="795" t="s">
        <v>3364</v>
      </c>
      <c r="C42" s="795" t="s">
        <v>601</v>
      </c>
      <c r="D42" s="795" t="s">
        <v>3374</v>
      </c>
      <c r="E42" s="795" t="s">
        <v>3435</v>
      </c>
      <c r="F42" s="795" t="s">
        <v>3436</v>
      </c>
      <c r="G42" s="812">
        <v>269</v>
      </c>
      <c r="H42" s="812">
        <v>63215</v>
      </c>
      <c r="I42" s="795">
        <v>0.99154562850958372</v>
      </c>
      <c r="J42" s="795">
        <v>235</v>
      </c>
      <c r="K42" s="812">
        <v>254</v>
      </c>
      <c r="L42" s="812">
        <v>63754</v>
      </c>
      <c r="M42" s="795">
        <v>1</v>
      </c>
      <c r="N42" s="795">
        <v>251</v>
      </c>
      <c r="O42" s="812">
        <v>344</v>
      </c>
      <c r="P42" s="812">
        <v>86344</v>
      </c>
      <c r="Q42" s="800">
        <v>1.3543307086614174</v>
      </c>
      <c r="R42" s="813">
        <v>251</v>
      </c>
    </row>
    <row r="43" spans="1:18" ht="14.4" customHeight="1" x14ac:dyDescent="0.3">
      <c r="A43" s="794" t="s">
        <v>3363</v>
      </c>
      <c r="B43" s="795" t="s">
        <v>3364</v>
      </c>
      <c r="C43" s="795" t="s">
        <v>601</v>
      </c>
      <c r="D43" s="795" t="s">
        <v>3374</v>
      </c>
      <c r="E43" s="795" t="s">
        <v>3437</v>
      </c>
      <c r="F43" s="795" t="s">
        <v>3438</v>
      </c>
      <c r="G43" s="812">
        <v>1</v>
      </c>
      <c r="H43" s="812">
        <v>114</v>
      </c>
      <c r="I43" s="795">
        <v>0.95</v>
      </c>
      <c r="J43" s="795">
        <v>114</v>
      </c>
      <c r="K43" s="812">
        <v>1</v>
      </c>
      <c r="L43" s="812">
        <v>120</v>
      </c>
      <c r="M43" s="795">
        <v>1</v>
      </c>
      <c r="N43" s="795">
        <v>120</v>
      </c>
      <c r="O43" s="812">
        <v>2</v>
      </c>
      <c r="P43" s="812">
        <v>240</v>
      </c>
      <c r="Q43" s="800">
        <v>2</v>
      </c>
      <c r="R43" s="813">
        <v>120</v>
      </c>
    </row>
    <row r="44" spans="1:18" ht="14.4" customHeight="1" x14ac:dyDescent="0.3">
      <c r="A44" s="794" t="s">
        <v>3363</v>
      </c>
      <c r="B44" s="795" t="s">
        <v>3364</v>
      </c>
      <c r="C44" s="795" t="s">
        <v>601</v>
      </c>
      <c r="D44" s="795" t="s">
        <v>3374</v>
      </c>
      <c r="E44" s="795" t="s">
        <v>3439</v>
      </c>
      <c r="F44" s="795" t="s">
        <v>3440</v>
      </c>
      <c r="G44" s="812"/>
      <c r="H44" s="812"/>
      <c r="I44" s="795"/>
      <c r="J44" s="795"/>
      <c r="K44" s="812">
        <v>1</v>
      </c>
      <c r="L44" s="812">
        <v>721</v>
      </c>
      <c r="M44" s="795">
        <v>1</v>
      </c>
      <c r="N44" s="795">
        <v>721</v>
      </c>
      <c r="O44" s="812"/>
      <c r="P44" s="812"/>
      <c r="Q44" s="800"/>
      <c r="R44" s="813"/>
    </row>
    <row r="45" spans="1:18" ht="14.4" customHeight="1" x14ac:dyDescent="0.3">
      <c r="A45" s="794" t="s">
        <v>3363</v>
      </c>
      <c r="B45" s="795" t="s">
        <v>3364</v>
      </c>
      <c r="C45" s="795" t="s">
        <v>601</v>
      </c>
      <c r="D45" s="795" t="s">
        <v>3374</v>
      </c>
      <c r="E45" s="795" t="s">
        <v>3441</v>
      </c>
      <c r="F45" s="795" t="s">
        <v>3442</v>
      </c>
      <c r="G45" s="812">
        <v>1</v>
      </c>
      <c r="H45" s="812">
        <v>120</v>
      </c>
      <c r="I45" s="795">
        <v>0.24390243902439024</v>
      </c>
      <c r="J45" s="795">
        <v>120</v>
      </c>
      <c r="K45" s="812">
        <v>4</v>
      </c>
      <c r="L45" s="812">
        <v>492</v>
      </c>
      <c r="M45" s="795">
        <v>1</v>
      </c>
      <c r="N45" s="795">
        <v>123</v>
      </c>
      <c r="O45" s="812">
        <v>4</v>
      </c>
      <c r="P45" s="812">
        <v>492</v>
      </c>
      <c r="Q45" s="800">
        <v>1</v>
      </c>
      <c r="R45" s="813">
        <v>123</v>
      </c>
    </row>
    <row r="46" spans="1:18" ht="14.4" customHeight="1" x14ac:dyDescent="0.3">
      <c r="A46" s="794" t="s">
        <v>3363</v>
      </c>
      <c r="B46" s="795" t="s">
        <v>3364</v>
      </c>
      <c r="C46" s="795" t="s">
        <v>601</v>
      </c>
      <c r="D46" s="795" t="s">
        <v>3374</v>
      </c>
      <c r="E46" s="795" t="s">
        <v>3443</v>
      </c>
      <c r="F46" s="795" t="s">
        <v>3444</v>
      </c>
      <c r="G46" s="812">
        <v>1</v>
      </c>
      <c r="H46" s="812">
        <v>57</v>
      </c>
      <c r="I46" s="795">
        <v>0.96610169491525422</v>
      </c>
      <c r="J46" s="795">
        <v>57</v>
      </c>
      <c r="K46" s="812">
        <v>1</v>
      </c>
      <c r="L46" s="812">
        <v>59</v>
      </c>
      <c r="M46" s="795">
        <v>1</v>
      </c>
      <c r="N46" s="795">
        <v>59</v>
      </c>
      <c r="O46" s="812"/>
      <c r="P46" s="812"/>
      <c r="Q46" s="800"/>
      <c r="R46" s="813"/>
    </row>
    <row r="47" spans="1:18" ht="14.4" customHeight="1" x14ac:dyDescent="0.3">
      <c r="A47" s="794" t="s">
        <v>3363</v>
      </c>
      <c r="B47" s="795" t="s">
        <v>3364</v>
      </c>
      <c r="C47" s="795" t="s">
        <v>601</v>
      </c>
      <c r="D47" s="795" t="s">
        <v>3374</v>
      </c>
      <c r="E47" s="795" t="s">
        <v>3445</v>
      </c>
      <c r="F47" s="795" t="s">
        <v>3446</v>
      </c>
      <c r="G47" s="812">
        <v>3</v>
      </c>
      <c r="H47" s="812">
        <v>537</v>
      </c>
      <c r="I47" s="795">
        <v>0.97814207650273222</v>
      </c>
      <c r="J47" s="795">
        <v>179</v>
      </c>
      <c r="K47" s="812">
        <v>3</v>
      </c>
      <c r="L47" s="812">
        <v>549</v>
      </c>
      <c r="M47" s="795">
        <v>1</v>
      </c>
      <c r="N47" s="795">
        <v>183</v>
      </c>
      <c r="O47" s="812">
        <v>4</v>
      </c>
      <c r="P47" s="812">
        <v>732</v>
      </c>
      <c r="Q47" s="800">
        <v>1.3333333333333333</v>
      </c>
      <c r="R47" s="813">
        <v>183</v>
      </c>
    </row>
    <row r="48" spans="1:18" ht="14.4" customHeight="1" x14ac:dyDescent="0.3">
      <c r="A48" s="794" t="s">
        <v>3363</v>
      </c>
      <c r="B48" s="795" t="s">
        <v>3364</v>
      </c>
      <c r="C48" s="795" t="s">
        <v>601</v>
      </c>
      <c r="D48" s="795" t="s">
        <v>3374</v>
      </c>
      <c r="E48" s="795" t="s">
        <v>3447</v>
      </c>
      <c r="F48" s="795" t="s">
        <v>3448</v>
      </c>
      <c r="G48" s="812">
        <v>2</v>
      </c>
      <c r="H48" s="812">
        <v>622</v>
      </c>
      <c r="I48" s="795">
        <v>0.97492163009404387</v>
      </c>
      <c r="J48" s="795">
        <v>311</v>
      </c>
      <c r="K48" s="812">
        <v>2</v>
      </c>
      <c r="L48" s="812">
        <v>638</v>
      </c>
      <c r="M48" s="795">
        <v>1</v>
      </c>
      <c r="N48" s="795">
        <v>319</v>
      </c>
      <c r="O48" s="812"/>
      <c r="P48" s="812"/>
      <c r="Q48" s="800"/>
      <c r="R48" s="813"/>
    </row>
    <row r="49" spans="1:18" ht="14.4" customHeight="1" x14ac:dyDescent="0.3">
      <c r="A49" s="794" t="s">
        <v>3363</v>
      </c>
      <c r="B49" s="795" t="s">
        <v>3364</v>
      </c>
      <c r="C49" s="795" t="s">
        <v>601</v>
      </c>
      <c r="D49" s="795" t="s">
        <v>3374</v>
      </c>
      <c r="E49" s="795" t="s">
        <v>3449</v>
      </c>
      <c r="F49" s="795" t="s">
        <v>3450</v>
      </c>
      <c r="G49" s="812">
        <v>3</v>
      </c>
      <c r="H49" s="812">
        <v>1461</v>
      </c>
      <c r="I49" s="795">
        <v>1.4610000000000001</v>
      </c>
      <c r="J49" s="795">
        <v>487</v>
      </c>
      <c r="K49" s="812">
        <v>2</v>
      </c>
      <c r="L49" s="812">
        <v>1000</v>
      </c>
      <c r="M49" s="795">
        <v>1</v>
      </c>
      <c r="N49" s="795">
        <v>500</v>
      </c>
      <c r="O49" s="812">
        <v>3</v>
      </c>
      <c r="P49" s="812">
        <v>1500</v>
      </c>
      <c r="Q49" s="800">
        <v>1.5</v>
      </c>
      <c r="R49" s="813">
        <v>500</v>
      </c>
    </row>
    <row r="50" spans="1:18" ht="14.4" customHeight="1" x14ac:dyDescent="0.3">
      <c r="A50" s="794" t="s">
        <v>3363</v>
      </c>
      <c r="B50" s="795" t="s">
        <v>3364</v>
      </c>
      <c r="C50" s="795" t="s">
        <v>601</v>
      </c>
      <c r="D50" s="795" t="s">
        <v>3374</v>
      </c>
      <c r="E50" s="795" t="s">
        <v>3451</v>
      </c>
      <c r="F50" s="795" t="s">
        <v>3452</v>
      </c>
      <c r="G50" s="812">
        <v>1</v>
      </c>
      <c r="H50" s="812">
        <v>126</v>
      </c>
      <c r="I50" s="795"/>
      <c r="J50" s="795">
        <v>126</v>
      </c>
      <c r="K50" s="812"/>
      <c r="L50" s="812"/>
      <c r="M50" s="795"/>
      <c r="N50" s="795"/>
      <c r="O50" s="812">
        <v>1</v>
      </c>
      <c r="P50" s="812">
        <v>132</v>
      </c>
      <c r="Q50" s="800"/>
      <c r="R50" s="813">
        <v>132</v>
      </c>
    </row>
    <row r="51" spans="1:18" ht="14.4" customHeight="1" x14ac:dyDescent="0.3">
      <c r="A51" s="794" t="s">
        <v>3363</v>
      </c>
      <c r="B51" s="795" t="s">
        <v>3364</v>
      </c>
      <c r="C51" s="795" t="s">
        <v>601</v>
      </c>
      <c r="D51" s="795" t="s">
        <v>3374</v>
      </c>
      <c r="E51" s="795" t="s">
        <v>3453</v>
      </c>
      <c r="F51" s="795" t="s">
        <v>3454</v>
      </c>
      <c r="G51" s="812">
        <v>88</v>
      </c>
      <c r="H51" s="812">
        <v>9768</v>
      </c>
      <c r="I51" s="795">
        <v>0.66358695652173916</v>
      </c>
      <c r="J51" s="795">
        <v>111</v>
      </c>
      <c r="K51" s="812">
        <v>128</v>
      </c>
      <c r="L51" s="812">
        <v>14720</v>
      </c>
      <c r="M51" s="795">
        <v>1</v>
      </c>
      <c r="N51" s="795">
        <v>115</v>
      </c>
      <c r="O51" s="812">
        <v>99</v>
      </c>
      <c r="P51" s="812">
        <v>11385</v>
      </c>
      <c r="Q51" s="800">
        <v>0.7734375</v>
      </c>
      <c r="R51" s="813">
        <v>115</v>
      </c>
    </row>
    <row r="52" spans="1:18" ht="14.4" customHeight="1" x14ac:dyDescent="0.3">
      <c r="A52" s="794" t="s">
        <v>3363</v>
      </c>
      <c r="B52" s="795" t="s">
        <v>3364</v>
      </c>
      <c r="C52" s="795" t="s">
        <v>601</v>
      </c>
      <c r="D52" s="795" t="s">
        <v>3374</v>
      </c>
      <c r="E52" s="795" t="s">
        <v>3455</v>
      </c>
      <c r="F52" s="795" t="s">
        <v>3456</v>
      </c>
      <c r="G52" s="812"/>
      <c r="H52" s="812"/>
      <c r="I52" s="795"/>
      <c r="J52" s="795"/>
      <c r="K52" s="812">
        <v>1</v>
      </c>
      <c r="L52" s="812">
        <v>120</v>
      </c>
      <c r="M52" s="795">
        <v>1</v>
      </c>
      <c r="N52" s="795">
        <v>120</v>
      </c>
      <c r="O52" s="812"/>
      <c r="P52" s="812"/>
      <c r="Q52" s="800"/>
      <c r="R52" s="813"/>
    </row>
    <row r="53" spans="1:18" ht="14.4" customHeight="1" x14ac:dyDescent="0.3">
      <c r="A53" s="794" t="s">
        <v>3363</v>
      </c>
      <c r="B53" s="795" t="s">
        <v>3364</v>
      </c>
      <c r="C53" s="795" t="s">
        <v>601</v>
      </c>
      <c r="D53" s="795" t="s">
        <v>3374</v>
      </c>
      <c r="E53" s="795" t="s">
        <v>3457</v>
      </c>
      <c r="F53" s="795" t="s">
        <v>3458</v>
      </c>
      <c r="G53" s="812"/>
      <c r="H53" s="812"/>
      <c r="I53" s="795"/>
      <c r="J53" s="795"/>
      <c r="K53" s="812">
        <v>1</v>
      </c>
      <c r="L53" s="812">
        <v>120</v>
      </c>
      <c r="M53" s="795">
        <v>1</v>
      </c>
      <c r="N53" s="795">
        <v>120</v>
      </c>
      <c r="O53" s="812"/>
      <c r="P53" s="812"/>
      <c r="Q53" s="800"/>
      <c r="R53" s="813"/>
    </row>
    <row r="54" spans="1:18" ht="14.4" customHeight="1" x14ac:dyDescent="0.3">
      <c r="A54" s="794" t="s">
        <v>3363</v>
      </c>
      <c r="B54" s="795" t="s">
        <v>3364</v>
      </c>
      <c r="C54" s="795" t="s">
        <v>601</v>
      </c>
      <c r="D54" s="795" t="s">
        <v>3374</v>
      </c>
      <c r="E54" s="795" t="s">
        <v>3459</v>
      </c>
      <c r="F54" s="795" t="s">
        <v>3460</v>
      </c>
      <c r="G54" s="812">
        <v>1</v>
      </c>
      <c r="H54" s="812">
        <v>594</v>
      </c>
      <c r="I54" s="795"/>
      <c r="J54" s="795">
        <v>594</v>
      </c>
      <c r="K54" s="812"/>
      <c r="L54" s="812"/>
      <c r="M54" s="795"/>
      <c r="N54" s="795"/>
      <c r="O54" s="812"/>
      <c r="P54" s="812"/>
      <c r="Q54" s="800"/>
      <c r="R54" s="813"/>
    </row>
    <row r="55" spans="1:18" ht="14.4" customHeight="1" x14ac:dyDescent="0.3">
      <c r="A55" s="794" t="s">
        <v>3363</v>
      </c>
      <c r="B55" s="795" t="s">
        <v>3364</v>
      </c>
      <c r="C55" s="795" t="s">
        <v>601</v>
      </c>
      <c r="D55" s="795" t="s">
        <v>3374</v>
      </c>
      <c r="E55" s="795" t="s">
        <v>3461</v>
      </c>
      <c r="F55" s="795" t="s">
        <v>3462</v>
      </c>
      <c r="G55" s="812">
        <v>2</v>
      </c>
      <c r="H55" s="812">
        <v>1870</v>
      </c>
      <c r="I55" s="795"/>
      <c r="J55" s="795">
        <v>935</v>
      </c>
      <c r="K55" s="812"/>
      <c r="L55" s="812"/>
      <c r="M55" s="795"/>
      <c r="N55" s="795"/>
      <c r="O55" s="812">
        <v>1</v>
      </c>
      <c r="P55" s="812">
        <v>948</v>
      </c>
      <c r="Q55" s="800"/>
      <c r="R55" s="813">
        <v>948</v>
      </c>
    </row>
    <row r="56" spans="1:18" ht="14.4" customHeight="1" x14ac:dyDescent="0.3">
      <c r="A56" s="794" t="s">
        <v>3363</v>
      </c>
      <c r="B56" s="795" t="s">
        <v>3364</v>
      </c>
      <c r="C56" s="795" t="s">
        <v>601</v>
      </c>
      <c r="D56" s="795" t="s">
        <v>3374</v>
      </c>
      <c r="E56" s="795" t="s">
        <v>3463</v>
      </c>
      <c r="F56" s="795" t="s">
        <v>3464</v>
      </c>
      <c r="G56" s="812">
        <v>35</v>
      </c>
      <c r="H56" s="812">
        <v>7805</v>
      </c>
      <c r="I56" s="795">
        <v>0.8386160954120554</v>
      </c>
      <c r="J56" s="795">
        <v>223</v>
      </c>
      <c r="K56" s="812">
        <v>41</v>
      </c>
      <c r="L56" s="812">
        <v>9307</v>
      </c>
      <c r="M56" s="795">
        <v>1</v>
      </c>
      <c r="N56" s="795">
        <v>227</v>
      </c>
      <c r="O56" s="812">
        <v>38</v>
      </c>
      <c r="P56" s="812">
        <v>8626</v>
      </c>
      <c r="Q56" s="800">
        <v>0.92682926829268297</v>
      </c>
      <c r="R56" s="813">
        <v>227</v>
      </c>
    </row>
    <row r="57" spans="1:18" ht="14.4" customHeight="1" x14ac:dyDescent="0.3">
      <c r="A57" s="794" t="s">
        <v>3363</v>
      </c>
      <c r="B57" s="795" t="s">
        <v>3364</v>
      </c>
      <c r="C57" s="795" t="s">
        <v>601</v>
      </c>
      <c r="D57" s="795" t="s">
        <v>3374</v>
      </c>
      <c r="E57" s="795" t="s">
        <v>3465</v>
      </c>
      <c r="F57" s="795" t="s">
        <v>3466</v>
      </c>
      <c r="G57" s="812">
        <v>1</v>
      </c>
      <c r="H57" s="812">
        <v>82</v>
      </c>
      <c r="I57" s="795">
        <v>0.31782945736434109</v>
      </c>
      <c r="J57" s="795">
        <v>82</v>
      </c>
      <c r="K57" s="812">
        <v>3</v>
      </c>
      <c r="L57" s="812">
        <v>258</v>
      </c>
      <c r="M57" s="795">
        <v>1</v>
      </c>
      <c r="N57" s="795">
        <v>86</v>
      </c>
      <c r="O57" s="812">
        <v>2</v>
      </c>
      <c r="P57" s="812">
        <v>172</v>
      </c>
      <c r="Q57" s="800">
        <v>0.66666666666666663</v>
      </c>
      <c r="R57" s="813">
        <v>86</v>
      </c>
    </row>
    <row r="58" spans="1:18" ht="14.4" customHeight="1" x14ac:dyDescent="0.3">
      <c r="A58" s="794" t="s">
        <v>3363</v>
      </c>
      <c r="B58" s="795" t="s">
        <v>3364</v>
      </c>
      <c r="C58" s="795" t="s">
        <v>601</v>
      </c>
      <c r="D58" s="795" t="s">
        <v>3374</v>
      </c>
      <c r="E58" s="795" t="s">
        <v>3467</v>
      </c>
      <c r="F58" s="795" t="s">
        <v>3468</v>
      </c>
      <c r="G58" s="812">
        <v>4</v>
      </c>
      <c r="H58" s="812">
        <v>1556</v>
      </c>
      <c r="I58" s="795">
        <v>3.899749373433584</v>
      </c>
      <c r="J58" s="795">
        <v>389</v>
      </c>
      <c r="K58" s="812">
        <v>1</v>
      </c>
      <c r="L58" s="812">
        <v>399</v>
      </c>
      <c r="M58" s="795">
        <v>1</v>
      </c>
      <c r="N58" s="795">
        <v>399</v>
      </c>
      <c r="O58" s="812">
        <v>3</v>
      </c>
      <c r="P58" s="812">
        <v>1200</v>
      </c>
      <c r="Q58" s="800">
        <v>3.007518796992481</v>
      </c>
      <c r="R58" s="813">
        <v>400</v>
      </c>
    </row>
    <row r="59" spans="1:18" ht="14.4" customHeight="1" x14ac:dyDescent="0.3">
      <c r="A59" s="794" t="s">
        <v>3363</v>
      </c>
      <c r="B59" s="795" t="s">
        <v>3364</v>
      </c>
      <c r="C59" s="795" t="s">
        <v>601</v>
      </c>
      <c r="D59" s="795" t="s">
        <v>3374</v>
      </c>
      <c r="E59" s="795" t="s">
        <v>3469</v>
      </c>
      <c r="F59" s="795" t="s">
        <v>3470</v>
      </c>
      <c r="G59" s="812"/>
      <c r="H59" s="812"/>
      <c r="I59" s="795"/>
      <c r="J59" s="795"/>
      <c r="K59" s="812">
        <v>1</v>
      </c>
      <c r="L59" s="812">
        <v>120</v>
      </c>
      <c r="M59" s="795">
        <v>1</v>
      </c>
      <c r="N59" s="795">
        <v>120</v>
      </c>
      <c r="O59" s="812"/>
      <c r="P59" s="812"/>
      <c r="Q59" s="800"/>
      <c r="R59" s="813"/>
    </row>
    <row r="60" spans="1:18" ht="14.4" customHeight="1" x14ac:dyDescent="0.3">
      <c r="A60" s="794" t="s">
        <v>3363</v>
      </c>
      <c r="B60" s="795" t="s">
        <v>3364</v>
      </c>
      <c r="C60" s="795" t="s">
        <v>601</v>
      </c>
      <c r="D60" s="795" t="s">
        <v>3374</v>
      </c>
      <c r="E60" s="795" t="s">
        <v>3471</v>
      </c>
      <c r="F60" s="795" t="s">
        <v>3472</v>
      </c>
      <c r="G60" s="812"/>
      <c r="H60" s="812"/>
      <c r="I60" s="795"/>
      <c r="J60" s="795"/>
      <c r="K60" s="812"/>
      <c r="L60" s="812"/>
      <c r="M60" s="795"/>
      <c r="N60" s="795"/>
      <c r="O60" s="812">
        <v>1</v>
      </c>
      <c r="P60" s="812">
        <v>1111</v>
      </c>
      <c r="Q60" s="800"/>
      <c r="R60" s="813">
        <v>1111</v>
      </c>
    </row>
    <row r="61" spans="1:18" ht="14.4" customHeight="1" x14ac:dyDescent="0.3">
      <c r="A61" s="794" t="s">
        <v>3363</v>
      </c>
      <c r="B61" s="795" t="s">
        <v>3364</v>
      </c>
      <c r="C61" s="795" t="s">
        <v>601</v>
      </c>
      <c r="D61" s="795" t="s">
        <v>3374</v>
      </c>
      <c r="E61" s="795" t="s">
        <v>3473</v>
      </c>
      <c r="F61" s="795" t="s">
        <v>3474</v>
      </c>
      <c r="G61" s="812"/>
      <c r="H61" s="812"/>
      <c r="I61" s="795"/>
      <c r="J61" s="795"/>
      <c r="K61" s="812">
        <v>1</v>
      </c>
      <c r="L61" s="812">
        <v>1369</v>
      </c>
      <c r="M61" s="795">
        <v>1</v>
      </c>
      <c r="N61" s="795">
        <v>1369</v>
      </c>
      <c r="O61" s="812"/>
      <c r="P61" s="812"/>
      <c r="Q61" s="800"/>
      <c r="R61" s="813"/>
    </row>
    <row r="62" spans="1:18" ht="14.4" customHeight="1" x14ac:dyDescent="0.3">
      <c r="A62" s="794" t="s">
        <v>3363</v>
      </c>
      <c r="B62" s="795" t="s">
        <v>3364</v>
      </c>
      <c r="C62" s="795" t="s">
        <v>601</v>
      </c>
      <c r="D62" s="795" t="s">
        <v>3374</v>
      </c>
      <c r="E62" s="795" t="s">
        <v>3475</v>
      </c>
      <c r="F62" s="795" t="s">
        <v>3476</v>
      </c>
      <c r="G62" s="812">
        <v>1</v>
      </c>
      <c r="H62" s="812">
        <v>171</v>
      </c>
      <c r="I62" s="795"/>
      <c r="J62" s="795">
        <v>171</v>
      </c>
      <c r="K62" s="812"/>
      <c r="L62" s="812"/>
      <c r="M62" s="795"/>
      <c r="N62" s="795"/>
      <c r="O62" s="812"/>
      <c r="P62" s="812"/>
      <c r="Q62" s="800"/>
      <c r="R62" s="813"/>
    </row>
    <row r="63" spans="1:18" ht="14.4" customHeight="1" thickBot="1" x14ac:dyDescent="0.35">
      <c r="A63" s="802" t="s">
        <v>3363</v>
      </c>
      <c r="B63" s="803" t="s">
        <v>3364</v>
      </c>
      <c r="C63" s="803" t="s">
        <v>601</v>
      </c>
      <c r="D63" s="803" t="s">
        <v>3374</v>
      </c>
      <c r="E63" s="803" t="s">
        <v>3477</v>
      </c>
      <c r="F63" s="803"/>
      <c r="G63" s="814"/>
      <c r="H63" s="814"/>
      <c r="I63" s="803"/>
      <c r="J63" s="803"/>
      <c r="K63" s="814"/>
      <c r="L63" s="814"/>
      <c r="M63" s="803"/>
      <c r="N63" s="803"/>
      <c r="O63" s="814">
        <v>1</v>
      </c>
      <c r="P63" s="814">
        <v>86</v>
      </c>
      <c r="Q63" s="808"/>
      <c r="R63" s="815">
        <v>86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32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8" t="s">
        <v>3479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</row>
    <row r="2" spans="1:19" ht="14.4" customHeight="1" thickBot="1" x14ac:dyDescent="0.35">
      <c r="A2" s="374" t="s">
        <v>353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159</v>
      </c>
      <c r="H3" s="207">
        <f t="shared" ref="H3:Q3" si="0">SUBTOTAL(9,H6:H1048576)</f>
        <v>3605.5999999999995</v>
      </c>
      <c r="I3" s="208">
        <f t="shared" si="0"/>
        <v>534862.17999999993</v>
      </c>
      <c r="J3" s="78"/>
      <c r="K3" s="78"/>
      <c r="L3" s="208">
        <f t="shared" si="0"/>
        <v>6720.5</v>
      </c>
      <c r="M3" s="208">
        <f t="shared" si="0"/>
        <v>707786.86</v>
      </c>
      <c r="N3" s="78"/>
      <c r="O3" s="78"/>
      <c r="P3" s="208">
        <f t="shared" si="0"/>
        <v>6467.28</v>
      </c>
      <c r="Q3" s="208">
        <f t="shared" si="0"/>
        <v>707983.1</v>
      </c>
      <c r="R3" s="79">
        <f>IF(M3=0,0,Q3/M3)</f>
        <v>1.0002772586086155</v>
      </c>
      <c r="S3" s="209">
        <f>IF(P3=0,0,Q3/P3)</f>
        <v>109.47153981271879</v>
      </c>
    </row>
    <row r="4" spans="1:19" ht="14.4" customHeight="1" x14ac:dyDescent="0.3">
      <c r="A4" s="600" t="s">
        <v>336</v>
      </c>
      <c r="B4" s="600" t="s">
        <v>119</v>
      </c>
      <c r="C4" s="608" t="s">
        <v>0</v>
      </c>
      <c r="D4" s="496" t="s">
        <v>167</v>
      </c>
      <c r="E4" s="602" t="s">
        <v>120</v>
      </c>
      <c r="F4" s="607" t="s">
        <v>90</v>
      </c>
      <c r="G4" s="603" t="s">
        <v>81</v>
      </c>
      <c r="H4" s="604">
        <v>2015</v>
      </c>
      <c r="I4" s="605"/>
      <c r="J4" s="206"/>
      <c r="K4" s="206"/>
      <c r="L4" s="604">
        <v>2016</v>
      </c>
      <c r="M4" s="605"/>
      <c r="N4" s="206"/>
      <c r="O4" s="206"/>
      <c r="P4" s="604">
        <v>2017</v>
      </c>
      <c r="Q4" s="605"/>
      <c r="R4" s="606" t="s">
        <v>2</v>
      </c>
      <c r="S4" s="601" t="s">
        <v>122</v>
      </c>
    </row>
    <row r="5" spans="1:19" ht="14.4" customHeight="1" thickBot="1" x14ac:dyDescent="0.35">
      <c r="A5" s="886"/>
      <c r="B5" s="886"/>
      <c r="C5" s="887"/>
      <c r="D5" s="896"/>
      <c r="E5" s="888"/>
      <c r="F5" s="889"/>
      <c r="G5" s="890"/>
      <c r="H5" s="891" t="s">
        <v>91</v>
      </c>
      <c r="I5" s="892" t="s">
        <v>14</v>
      </c>
      <c r="J5" s="893"/>
      <c r="K5" s="893"/>
      <c r="L5" s="891" t="s">
        <v>91</v>
      </c>
      <c r="M5" s="892" t="s">
        <v>14</v>
      </c>
      <c r="N5" s="893"/>
      <c r="O5" s="893"/>
      <c r="P5" s="891" t="s">
        <v>91</v>
      </c>
      <c r="Q5" s="892" t="s">
        <v>14</v>
      </c>
      <c r="R5" s="894"/>
      <c r="S5" s="895"/>
    </row>
    <row r="6" spans="1:19" ht="14.4" customHeight="1" x14ac:dyDescent="0.3">
      <c r="A6" s="787" t="s">
        <v>3363</v>
      </c>
      <c r="B6" s="788" t="s">
        <v>3364</v>
      </c>
      <c r="C6" s="788" t="s">
        <v>601</v>
      </c>
      <c r="D6" s="788" t="s">
        <v>3357</v>
      </c>
      <c r="E6" s="788" t="s">
        <v>3374</v>
      </c>
      <c r="F6" s="788" t="s">
        <v>3375</v>
      </c>
      <c r="G6" s="788" t="s">
        <v>3376</v>
      </c>
      <c r="H6" s="225"/>
      <c r="I6" s="225"/>
      <c r="J6" s="788"/>
      <c r="K6" s="788"/>
      <c r="L6" s="225"/>
      <c r="M6" s="225"/>
      <c r="N6" s="788"/>
      <c r="O6" s="788"/>
      <c r="P6" s="225">
        <v>1</v>
      </c>
      <c r="Q6" s="225">
        <v>83</v>
      </c>
      <c r="R6" s="793"/>
      <c r="S6" s="811">
        <v>83</v>
      </c>
    </row>
    <row r="7" spans="1:19" ht="14.4" customHeight="1" x14ac:dyDescent="0.3">
      <c r="A7" s="794" t="s">
        <v>3363</v>
      </c>
      <c r="B7" s="795" t="s">
        <v>3364</v>
      </c>
      <c r="C7" s="795" t="s">
        <v>601</v>
      </c>
      <c r="D7" s="795" t="s">
        <v>3357</v>
      </c>
      <c r="E7" s="795" t="s">
        <v>3374</v>
      </c>
      <c r="F7" s="795" t="s">
        <v>3385</v>
      </c>
      <c r="G7" s="795" t="s">
        <v>3386</v>
      </c>
      <c r="H7" s="812">
        <v>1</v>
      </c>
      <c r="I7" s="812">
        <v>118</v>
      </c>
      <c r="J7" s="795"/>
      <c r="K7" s="795">
        <v>118</v>
      </c>
      <c r="L7" s="812"/>
      <c r="M7" s="812"/>
      <c r="N7" s="795"/>
      <c r="O7" s="795"/>
      <c r="P7" s="812"/>
      <c r="Q7" s="812"/>
      <c r="R7" s="800"/>
      <c r="S7" s="813"/>
    </row>
    <row r="8" spans="1:19" ht="14.4" customHeight="1" x14ac:dyDescent="0.3">
      <c r="A8" s="794" t="s">
        <v>3363</v>
      </c>
      <c r="B8" s="795" t="s">
        <v>3364</v>
      </c>
      <c r="C8" s="795" t="s">
        <v>601</v>
      </c>
      <c r="D8" s="795" t="s">
        <v>3357</v>
      </c>
      <c r="E8" s="795" t="s">
        <v>3374</v>
      </c>
      <c r="F8" s="795" t="s">
        <v>3397</v>
      </c>
      <c r="G8" s="795" t="s">
        <v>3398</v>
      </c>
      <c r="H8" s="812">
        <v>1</v>
      </c>
      <c r="I8" s="812">
        <v>118</v>
      </c>
      <c r="J8" s="795">
        <v>0.93650793650793651</v>
      </c>
      <c r="K8" s="795">
        <v>118</v>
      </c>
      <c r="L8" s="812">
        <v>1</v>
      </c>
      <c r="M8" s="812">
        <v>126</v>
      </c>
      <c r="N8" s="795">
        <v>1</v>
      </c>
      <c r="O8" s="795">
        <v>126</v>
      </c>
      <c r="P8" s="812">
        <v>1</v>
      </c>
      <c r="Q8" s="812">
        <v>126</v>
      </c>
      <c r="R8" s="800">
        <v>1</v>
      </c>
      <c r="S8" s="813">
        <v>126</v>
      </c>
    </row>
    <row r="9" spans="1:19" ht="14.4" customHeight="1" x14ac:dyDescent="0.3">
      <c r="A9" s="794" t="s">
        <v>3363</v>
      </c>
      <c r="B9" s="795" t="s">
        <v>3364</v>
      </c>
      <c r="C9" s="795" t="s">
        <v>601</v>
      </c>
      <c r="D9" s="795" t="s">
        <v>3357</v>
      </c>
      <c r="E9" s="795" t="s">
        <v>3374</v>
      </c>
      <c r="F9" s="795" t="s">
        <v>3405</v>
      </c>
      <c r="G9" s="795" t="s">
        <v>3406</v>
      </c>
      <c r="H9" s="812"/>
      <c r="I9" s="812"/>
      <c r="J9" s="795"/>
      <c r="K9" s="795"/>
      <c r="L9" s="812">
        <v>1</v>
      </c>
      <c r="M9" s="812">
        <v>1677</v>
      </c>
      <c r="N9" s="795">
        <v>1</v>
      </c>
      <c r="O9" s="795">
        <v>1677</v>
      </c>
      <c r="P9" s="812"/>
      <c r="Q9" s="812"/>
      <c r="R9" s="800"/>
      <c r="S9" s="813"/>
    </row>
    <row r="10" spans="1:19" ht="14.4" customHeight="1" x14ac:dyDescent="0.3">
      <c r="A10" s="794" t="s">
        <v>3363</v>
      </c>
      <c r="B10" s="795" t="s">
        <v>3364</v>
      </c>
      <c r="C10" s="795" t="s">
        <v>601</v>
      </c>
      <c r="D10" s="795" t="s">
        <v>3357</v>
      </c>
      <c r="E10" s="795" t="s">
        <v>3374</v>
      </c>
      <c r="F10" s="795" t="s">
        <v>3417</v>
      </c>
      <c r="G10" s="795" t="s">
        <v>3418</v>
      </c>
      <c r="H10" s="812">
        <v>1</v>
      </c>
      <c r="I10" s="812">
        <v>0</v>
      </c>
      <c r="J10" s="795">
        <v>0</v>
      </c>
      <c r="K10" s="795">
        <v>0</v>
      </c>
      <c r="L10" s="812">
        <v>2</v>
      </c>
      <c r="M10" s="812">
        <v>66.66</v>
      </c>
      <c r="N10" s="795">
        <v>1</v>
      </c>
      <c r="O10" s="795">
        <v>33.33</v>
      </c>
      <c r="P10" s="812">
        <v>1</v>
      </c>
      <c r="Q10" s="812">
        <v>33.33</v>
      </c>
      <c r="R10" s="800">
        <v>0.5</v>
      </c>
      <c r="S10" s="813">
        <v>33.33</v>
      </c>
    </row>
    <row r="11" spans="1:19" ht="14.4" customHeight="1" x14ac:dyDescent="0.3">
      <c r="A11" s="794" t="s">
        <v>3363</v>
      </c>
      <c r="B11" s="795" t="s">
        <v>3364</v>
      </c>
      <c r="C11" s="795" t="s">
        <v>601</v>
      </c>
      <c r="D11" s="795" t="s">
        <v>3357</v>
      </c>
      <c r="E11" s="795" t="s">
        <v>3374</v>
      </c>
      <c r="F11" s="795" t="s">
        <v>3419</v>
      </c>
      <c r="G11" s="795" t="s">
        <v>3420</v>
      </c>
      <c r="H11" s="812">
        <v>26</v>
      </c>
      <c r="I11" s="812">
        <v>2808</v>
      </c>
      <c r="J11" s="795">
        <v>0.60517241379310349</v>
      </c>
      <c r="K11" s="795">
        <v>108</v>
      </c>
      <c r="L11" s="812">
        <v>40</v>
      </c>
      <c r="M11" s="812">
        <v>4640</v>
      </c>
      <c r="N11" s="795">
        <v>1</v>
      </c>
      <c r="O11" s="795">
        <v>116</v>
      </c>
      <c r="P11" s="812">
        <v>34</v>
      </c>
      <c r="Q11" s="812">
        <v>3944</v>
      </c>
      <c r="R11" s="800">
        <v>0.85</v>
      </c>
      <c r="S11" s="813">
        <v>116</v>
      </c>
    </row>
    <row r="12" spans="1:19" ht="14.4" customHeight="1" x14ac:dyDescent="0.3">
      <c r="A12" s="794" t="s">
        <v>3363</v>
      </c>
      <c r="B12" s="795" t="s">
        <v>3364</v>
      </c>
      <c r="C12" s="795" t="s">
        <v>601</v>
      </c>
      <c r="D12" s="795" t="s">
        <v>3357</v>
      </c>
      <c r="E12" s="795" t="s">
        <v>3374</v>
      </c>
      <c r="F12" s="795" t="s">
        <v>3423</v>
      </c>
      <c r="G12" s="795" t="s">
        <v>3424</v>
      </c>
      <c r="H12" s="812"/>
      <c r="I12" s="812"/>
      <c r="J12" s="795"/>
      <c r="K12" s="795"/>
      <c r="L12" s="812">
        <v>1</v>
      </c>
      <c r="M12" s="812">
        <v>86</v>
      </c>
      <c r="N12" s="795">
        <v>1</v>
      </c>
      <c r="O12" s="795">
        <v>86</v>
      </c>
      <c r="P12" s="812"/>
      <c r="Q12" s="812"/>
      <c r="R12" s="800"/>
      <c r="S12" s="813"/>
    </row>
    <row r="13" spans="1:19" ht="14.4" customHeight="1" x14ac:dyDescent="0.3">
      <c r="A13" s="794" t="s">
        <v>3363</v>
      </c>
      <c r="B13" s="795" t="s">
        <v>3364</v>
      </c>
      <c r="C13" s="795" t="s">
        <v>601</v>
      </c>
      <c r="D13" s="795" t="s">
        <v>3357</v>
      </c>
      <c r="E13" s="795" t="s">
        <v>3374</v>
      </c>
      <c r="F13" s="795" t="s">
        <v>3435</v>
      </c>
      <c r="G13" s="795" t="s">
        <v>3436</v>
      </c>
      <c r="H13" s="812">
        <v>1</v>
      </c>
      <c r="I13" s="812">
        <v>235</v>
      </c>
      <c r="J13" s="795">
        <v>0.93625498007968122</v>
      </c>
      <c r="K13" s="795">
        <v>235</v>
      </c>
      <c r="L13" s="812">
        <v>1</v>
      </c>
      <c r="M13" s="812">
        <v>251</v>
      </c>
      <c r="N13" s="795">
        <v>1</v>
      </c>
      <c r="O13" s="795">
        <v>251</v>
      </c>
      <c r="P13" s="812"/>
      <c r="Q13" s="812"/>
      <c r="R13" s="800"/>
      <c r="S13" s="813"/>
    </row>
    <row r="14" spans="1:19" ht="14.4" customHeight="1" x14ac:dyDescent="0.3">
      <c r="A14" s="794" t="s">
        <v>3363</v>
      </c>
      <c r="B14" s="795" t="s">
        <v>3364</v>
      </c>
      <c r="C14" s="795" t="s">
        <v>601</v>
      </c>
      <c r="D14" s="795" t="s">
        <v>3357</v>
      </c>
      <c r="E14" s="795" t="s">
        <v>3374</v>
      </c>
      <c r="F14" s="795" t="s">
        <v>3467</v>
      </c>
      <c r="G14" s="795" t="s">
        <v>3468</v>
      </c>
      <c r="H14" s="812">
        <v>1</v>
      </c>
      <c r="I14" s="812">
        <v>389</v>
      </c>
      <c r="J14" s="795"/>
      <c r="K14" s="795">
        <v>389</v>
      </c>
      <c r="L14" s="812"/>
      <c r="M14" s="812"/>
      <c r="N14" s="795"/>
      <c r="O14" s="795"/>
      <c r="P14" s="812"/>
      <c r="Q14" s="812"/>
      <c r="R14" s="800"/>
      <c r="S14" s="813"/>
    </row>
    <row r="15" spans="1:19" ht="14.4" customHeight="1" x14ac:dyDescent="0.3">
      <c r="A15" s="794" t="s">
        <v>3363</v>
      </c>
      <c r="B15" s="795" t="s">
        <v>3364</v>
      </c>
      <c r="C15" s="795" t="s">
        <v>601</v>
      </c>
      <c r="D15" s="795" t="s">
        <v>1520</v>
      </c>
      <c r="E15" s="795" t="s">
        <v>3365</v>
      </c>
      <c r="F15" s="795" t="s">
        <v>3366</v>
      </c>
      <c r="G15" s="795" t="s">
        <v>3367</v>
      </c>
      <c r="H15" s="812">
        <v>0.1</v>
      </c>
      <c r="I15" s="812">
        <v>15.1</v>
      </c>
      <c r="J15" s="795">
        <v>0.49983449189010259</v>
      </c>
      <c r="K15" s="795">
        <v>151</v>
      </c>
      <c r="L15" s="812">
        <v>0.2</v>
      </c>
      <c r="M15" s="812">
        <v>30.21</v>
      </c>
      <c r="N15" s="795">
        <v>1</v>
      </c>
      <c r="O15" s="795">
        <v>151.04999999999998</v>
      </c>
      <c r="P15" s="812"/>
      <c r="Q15" s="812"/>
      <c r="R15" s="800"/>
      <c r="S15" s="813"/>
    </row>
    <row r="16" spans="1:19" ht="14.4" customHeight="1" x14ac:dyDescent="0.3">
      <c r="A16" s="794" t="s">
        <v>3363</v>
      </c>
      <c r="B16" s="795" t="s">
        <v>3364</v>
      </c>
      <c r="C16" s="795" t="s">
        <v>601</v>
      </c>
      <c r="D16" s="795" t="s">
        <v>1520</v>
      </c>
      <c r="E16" s="795" t="s">
        <v>3374</v>
      </c>
      <c r="F16" s="795" t="s">
        <v>3375</v>
      </c>
      <c r="G16" s="795" t="s">
        <v>3376</v>
      </c>
      <c r="H16" s="812">
        <v>5</v>
      </c>
      <c r="I16" s="812">
        <v>405</v>
      </c>
      <c r="J16" s="795">
        <v>0.81325301204819278</v>
      </c>
      <c r="K16" s="795">
        <v>81</v>
      </c>
      <c r="L16" s="812">
        <v>6</v>
      </c>
      <c r="M16" s="812">
        <v>498</v>
      </c>
      <c r="N16" s="795">
        <v>1</v>
      </c>
      <c r="O16" s="795">
        <v>83</v>
      </c>
      <c r="P16" s="812">
        <v>1</v>
      </c>
      <c r="Q16" s="812">
        <v>83</v>
      </c>
      <c r="R16" s="800">
        <v>0.16666666666666666</v>
      </c>
      <c r="S16" s="813">
        <v>83</v>
      </c>
    </row>
    <row r="17" spans="1:19" ht="14.4" customHeight="1" x14ac:dyDescent="0.3">
      <c r="A17" s="794" t="s">
        <v>3363</v>
      </c>
      <c r="B17" s="795" t="s">
        <v>3364</v>
      </c>
      <c r="C17" s="795" t="s">
        <v>601</v>
      </c>
      <c r="D17" s="795" t="s">
        <v>1520</v>
      </c>
      <c r="E17" s="795" t="s">
        <v>3374</v>
      </c>
      <c r="F17" s="795" t="s">
        <v>3377</v>
      </c>
      <c r="G17" s="795" t="s">
        <v>3378</v>
      </c>
      <c r="H17" s="812"/>
      <c r="I17" s="812"/>
      <c r="J17" s="795"/>
      <c r="K17" s="795"/>
      <c r="L17" s="812">
        <v>1</v>
      </c>
      <c r="M17" s="812">
        <v>106</v>
      </c>
      <c r="N17" s="795">
        <v>1</v>
      </c>
      <c r="O17" s="795">
        <v>106</v>
      </c>
      <c r="P17" s="812"/>
      <c r="Q17" s="812"/>
      <c r="R17" s="800"/>
      <c r="S17" s="813"/>
    </row>
    <row r="18" spans="1:19" ht="14.4" customHeight="1" x14ac:dyDescent="0.3">
      <c r="A18" s="794" t="s">
        <v>3363</v>
      </c>
      <c r="B18" s="795" t="s">
        <v>3364</v>
      </c>
      <c r="C18" s="795" t="s">
        <v>601</v>
      </c>
      <c r="D18" s="795" t="s">
        <v>1520</v>
      </c>
      <c r="E18" s="795" t="s">
        <v>3374</v>
      </c>
      <c r="F18" s="795" t="s">
        <v>3397</v>
      </c>
      <c r="G18" s="795" t="s">
        <v>3398</v>
      </c>
      <c r="H18" s="812">
        <v>82</v>
      </c>
      <c r="I18" s="812">
        <v>9676</v>
      </c>
      <c r="J18" s="795">
        <v>1.5057578586990352</v>
      </c>
      <c r="K18" s="795">
        <v>118</v>
      </c>
      <c r="L18" s="812">
        <v>51</v>
      </c>
      <c r="M18" s="812">
        <v>6426</v>
      </c>
      <c r="N18" s="795">
        <v>1</v>
      </c>
      <c r="O18" s="795">
        <v>126</v>
      </c>
      <c r="P18" s="812">
        <v>46</v>
      </c>
      <c r="Q18" s="812">
        <v>5796</v>
      </c>
      <c r="R18" s="800">
        <v>0.90196078431372551</v>
      </c>
      <c r="S18" s="813">
        <v>126</v>
      </c>
    </row>
    <row r="19" spans="1:19" ht="14.4" customHeight="1" x14ac:dyDescent="0.3">
      <c r="A19" s="794" t="s">
        <v>3363</v>
      </c>
      <c r="B19" s="795" t="s">
        <v>3364</v>
      </c>
      <c r="C19" s="795" t="s">
        <v>601</v>
      </c>
      <c r="D19" s="795" t="s">
        <v>1520</v>
      </c>
      <c r="E19" s="795" t="s">
        <v>3374</v>
      </c>
      <c r="F19" s="795" t="s">
        <v>3417</v>
      </c>
      <c r="G19" s="795" t="s">
        <v>3418</v>
      </c>
      <c r="H19" s="812"/>
      <c r="I19" s="812"/>
      <c r="J19" s="795"/>
      <c r="K19" s="795"/>
      <c r="L19" s="812">
        <v>69</v>
      </c>
      <c r="M19" s="812">
        <v>2299.9799999999996</v>
      </c>
      <c r="N19" s="795">
        <v>1</v>
      </c>
      <c r="O19" s="795">
        <v>33.333043478260862</v>
      </c>
      <c r="P19" s="812">
        <v>48</v>
      </c>
      <c r="Q19" s="812">
        <v>1599.9900000000002</v>
      </c>
      <c r="R19" s="800">
        <v>0.69565387525108935</v>
      </c>
      <c r="S19" s="813">
        <v>33.333125000000003</v>
      </c>
    </row>
    <row r="20" spans="1:19" ht="14.4" customHeight="1" x14ac:dyDescent="0.3">
      <c r="A20" s="794" t="s">
        <v>3363</v>
      </c>
      <c r="B20" s="795" t="s">
        <v>3364</v>
      </c>
      <c r="C20" s="795" t="s">
        <v>601</v>
      </c>
      <c r="D20" s="795" t="s">
        <v>1520</v>
      </c>
      <c r="E20" s="795" t="s">
        <v>3374</v>
      </c>
      <c r="F20" s="795" t="s">
        <v>3423</v>
      </c>
      <c r="G20" s="795" t="s">
        <v>3424</v>
      </c>
      <c r="H20" s="812">
        <v>1</v>
      </c>
      <c r="I20" s="812">
        <v>82</v>
      </c>
      <c r="J20" s="795">
        <v>0.95348837209302328</v>
      </c>
      <c r="K20" s="795">
        <v>82</v>
      </c>
      <c r="L20" s="812">
        <v>1</v>
      </c>
      <c r="M20" s="812">
        <v>86</v>
      </c>
      <c r="N20" s="795">
        <v>1</v>
      </c>
      <c r="O20" s="795">
        <v>86</v>
      </c>
      <c r="P20" s="812"/>
      <c r="Q20" s="812"/>
      <c r="R20" s="800"/>
      <c r="S20" s="813"/>
    </row>
    <row r="21" spans="1:19" ht="14.4" customHeight="1" x14ac:dyDescent="0.3">
      <c r="A21" s="794" t="s">
        <v>3363</v>
      </c>
      <c r="B21" s="795" t="s">
        <v>3364</v>
      </c>
      <c r="C21" s="795" t="s">
        <v>601</v>
      </c>
      <c r="D21" s="795" t="s">
        <v>1520</v>
      </c>
      <c r="E21" s="795" t="s">
        <v>3374</v>
      </c>
      <c r="F21" s="795" t="s">
        <v>3425</v>
      </c>
      <c r="G21" s="795" t="s">
        <v>3426</v>
      </c>
      <c r="H21" s="812">
        <v>1</v>
      </c>
      <c r="I21" s="812">
        <v>31</v>
      </c>
      <c r="J21" s="795">
        <v>0.96875</v>
      </c>
      <c r="K21" s="795">
        <v>31</v>
      </c>
      <c r="L21" s="812">
        <v>1</v>
      </c>
      <c r="M21" s="812">
        <v>32</v>
      </c>
      <c r="N21" s="795">
        <v>1</v>
      </c>
      <c r="O21" s="795">
        <v>32</v>
      </c>
      <c r="P21" s="812"/>
      <c r="Q21" s="812"/>
      <c r="R21" s="800"/>
      <c r="S21" s="813"/>
    </row>
    <row r="22" spans="1:19" ht="14.4" customHeight="1" x14ac:dyDescent="0.3">
      <c r="A22" s="794" t="s">
        <v>3363</v>
      </c>
      <c r="B22" s="795" t="s">
        <v>3364</v>
      </c>
      <c r="C22" s="795" t="s">
        <v>601</v>
      </c>
      <c r="D22" s="795" t="s">
        <v>1520</v>
      </c>
      <c r="E22" s="795" t="s">
        <v>3374</v>
      </c>
      <c r="F22" s="795" t="s">
        <v>3435</v>
      </c>
      <c r="G22" s="795" t="s">
        <v>3436</v>
      </c>
      <c r="H22" s="812">
        <v>16</v>
      </c>
      <c r="I22" s="812">
        <v>3760</v>
      </c>
      <c r="J22" s="795">
        <v>0.65130781222934353</v>
      </c>
      <c r="K22" s="795">
        <v>235</v>
      </c>
      <c r="L22" s="812">
        <v>23</v>
      </c>
      <c r="M22" s="812">
        <v>5773</v>
      </c>
      <c r="N22" s="795">
        <v>1</v>
      </c>
      <c r="O22" s="795">
        <v>251</v>
      </c>
      <c r="P22" s="812">
        <v>5</v>
      </c>
      <c r="Q22" s="812">
        <v>1255</v>
      </c>
      <c r="R22" s="800">
        <v>0.21739130434782608</v>
      </c>
      <c r="S22" s="813">
        <v>251</v>
      </c>
    </row>
    <row r="23" spans="1:19" ht="14.4" customHeight="1" x14ac:dyDescent="0.3">
      <c r="A23" s="794" t="s">
        <v>3363</v>
      </c>
      <c r="B23" s="795" t="s">
        <v>3364</v>
      </c>
      <c r="C23" s="795" t="s">
        <v>601</v>
      </c>
      <c r="D23" s="795" t="s">
        <v>1520</v>
      </c>
      <c r="E23" s="795" t="s">
        <v>3374</v>
      </c>
      <c r="F23" s="795" t="s">
        <v>3445</v>
      </c>
      <c r="G23" s="795" t="s">
        <v>3446</v>
      </c>
      <c r="H23" s="812">
        <v>1</v>
      </c>
      <c r="I23" s="812">
        <v>179</v>
      </c>
      <c r="J23" s="795"/>
      <c r="K23" s="795">
        <v>179</v>
      </c>
      <c r="L23" s="812"/>
      <c r="M23" s="812"/>
      <c r="N23" s="795"/>
      <c r="O23" s="795"/>
      <c r="P23" s="812"/>
      <c r="Q23" s="812"/>
      <c r="R23" s="800"/>
      <c r="S23" s="813"/>
    </row>
    <row r="24" spans="1:19" ht="14.4" customHeight="1" x14ac:dyDescent="0.3">
      <c r="A24" s="794" t="s">
        <v>3363</v>
      </c>
      <c r="B24" s="795" t="s">
        <v>3364</v>
      </c>
      <c r="C24" s="795" t="s">
        <v>601</v>
      </c>
      <c r="D24" s="795" t="s">
        <v>1520</v>
      </c>
      <c r="E24" s="795" t="s">
        <v>3374</v>
      </c>
      <c r="F24" s="795" t="s">
        <v>3449</v>
      </c>
      <c r="G24" s="795" t="s">
        <v>3450</v>
      </c>
      <c r="H24" s="812"/>
      <c r="I24" s="812"/>
      <c r="J24" s="795"/>
      <c r="K24" s="795"/>
      <c r="L24" s="812">
        <v>1</v>
      </c>
      <c r="M24" s="812">
        <v>500</v>
      </c>
      <c r="N24" s="795">
        <v>1</v>
      </c>
      <c r="O24" s="795">
        <v>500</v>
      </c>
      <c r="P24" s="812"/>
      <c r="Q24" s="812"/>
      <c r="R24" s="800"/>
      <c r="S24" s="813"/>
    </row>
    <row r="25" spans="1:19" ht="14.4" customHeight="1" x14ac:dyDescent="0.3">
      <c r="A25" s="794" t="s">
        <v>3363</v>
      </c>
      <c r="B25" s="795" t="s">
        <v>3364</v>
      </c>
      <c r="C25" s="795" t="s">
        <v>601</v>
      </c>
      <c r="D25" s="795" t="s">
        <v>1521</v>
      </c>
      <c r="E25" s="795" t="s">
        <v>3365</v>
      </c>
      <c r="F25" s="795" t="s">
        <v>3366</v>
      </c>
      <c r="G25" s="795" t="s">
        <v>3367</v>
      </c>
      <c r="H25" s="812">
        <v>0.3</v>
      </c>
      <c r="I25" s="812">
        <v>45.32</v>
      </c>
      <c r="J25" s="795">
        <v>1</v>
      </c>
      <c r="K25" s="795">
        <v>151.06666666666666</v>
      </c>
      <c r="L25" s="812">
        <v>0.3</v>
      </c>
      <c r="M25" s="812">
        <v>45.32</v>
      </c>
      <c r="N25" s="795">
        <v>1</v>
      </c>
      <c r="O25" s="795">
        <v>151.06666666666666</v>
      </c>
      <c r="P25" s="812">
        <v>1.6999999999999997</v>
      </c>
      <c r="Q25" s="812">
        <v>256.8</v>
      </c>
      <c r="R25" s="800">
        <v>5.666372462488968</v>
      </c>
      <c r="S25" s="813">
        <v>151.0588235294118</v>
      </c>
    </row>
    <row r="26" spans="1:19" ht="14.4" customHeight="1" x14ac:dyDescent="0.3">
      <c r="A26" s="794" t="s">
        <v>3363</v>
      </c>
      <c r="B26" s="795" t="s">
        <v>3364</v>
      </c>
      <c r="C26" s="795" t="s">
        <v>601</v>
      </c>
      <c r="D26" s="795" t="s">
        <v>1521</v>
      </c>
      <c r="E26" s="795" t="s">
        <v>3374</v>
      </c>
      <c r="F26" s="795" t="s">
        <v>3375</v>
      </c>
      <c r="G26" s="795" t="s">
        <v>3376</v>
      </c>
      <c r="H26" s="812">
        <v>36</v>
      </c>
      <c r="I26" s="812">
        <v>2916</v>
      </c>
      <c r="J26" s="795">
        <v>0.92454026632847175</v>
      </c>
      <c r="K26" s="795">
        <v>81</v>
      </c>
      <c r="L26" s="812">
        <v>38</v>
      </c>
      <c r="M26" s="812">
        <v>3154</v>
      </c>
      <c r="N26" s="795">
        <v>1</v>
      </c>
      <c r="O26" s="795">
        <v>83</v>
      </c>
      <c r="P26" s="812">
        <v>37</v>
      </c>
      <c r="Q26" s="812">
        <v>3071</v>
      </c>
      <c r="R26" s="800">
        <v>0.97368421052631582</v>
      </c>
      <c r="S26" s="813">
        <v>83</v>
      </c>
    </row>
    <row r="27" spans="1:19" ht="14.4" customHeight="1" x14ac:dyDescent="0.3">
      <c r="A27" s="794" t="s">
        <v>3363</v>
      </c>
      <c r="B27" s="795" t="s">
        <v>3364</v>
      </c>
      <c r="C27" s="795" t="s">
        <v>601</v>
      </c>
      <c r="D27" s="795" t="s">
        <v>1521</v>
      </c>
      <c r="E27" s="795" t="s">
        <v>3374</v>
      </c>
      <c r="F27" s="795" t="s">
        <v>3379</v>
      </c>
      <c r="G27" s="795" t="s">
        <v>3380</v>
      </c>
      <c r="H27" s="812"/>
      <c r="I27" s="812"/>
      <c r="J27" s="795"/>
      <c r="K27" s="795"/>
      <c r="L27" s="812">
        <v>1</v>
      </c>
      <c r="M27" s="812">
        <v>37</v>
      </c>
      <c r="N27" s="795">
        <v>1</v>
      </c>
      <c r="O27" s="795">
        <v>37</v>
      </c>
      <c r="P27" s="812"/>
      <c r="Q27" s="812"/>
      <c r="R27" s="800"/>
      <c r="S27" s="813"/>
    </row>
    <row r="28" spans="1:19" ht="14.4" customHeight="1" x14ac:dyDescent="0.3">
      <c r="A28" s="794" t="s">
        <v>3363</v>
      </c>
      <c r="B28" s="795" t="s">
        <v>3364</v>
      </c>
      <c r="C28" s="795" t="s">
        <v>601</v>
      </c>
      <c r="D28" s="795" t="s">
        <v>1521</v>
      </c>
      <c r="E28" s="795" t="s">
        <v>3374</v>
      </c>
      <c r="F28" s="795" t="s">
        <v>3387</v>
      </c>
      <c r="G28" s="795" t="s">
        <v>3388</v>
      </c>
      <c r="H28" s="812"/>
      <c r="I28" s="812"/>
      <c r="J28" s="795"/>
      <c r="K28" s="795"/>
      <c r="L28" s="812">
        <v>1</v>
      </c>
      <c r="M28" s="812">
        <v>207</v>
      </c>
      <c r="N28" s="795">
        <v>1</v>
      </c>
      <c r="O28" s="795">
        <v>207</v>
      </c>
      <c r="P28" s="812"/>
      <c r="Q28" s="812"/>
      <c r="R28" s="800"/>
      <c r="S28" s="813"/>
    </row>
    <row r="29" spans="1:19" ht="14.4" customHeight="1" x14ac:dyDescent="0.3">
      <c r="A29" s="794" t="s">
        <v>3363</v>
      </c>
      <c r="B29" s="795" t="s">
        <v>3364</v>
      </c>
      <c r="C29" s="795" t="s">
        <v>601</v>
      </c>
      <c r="D29" s="795" t="s">
        <v>1521</v>
      </c>
      <c r="E29" s="795" t="s">
        <v>3374</v>
      </c>
      <c r="F29" s="795" t="s">
        <v>3389</v>
      </c>
      <c r="G29" s="795" t="s">
        <v>3390</v>
      </c>
      <c r="H29" s="812"/>
      <c r="I29" s="812"/>
      <c r="J29" s="795"/>
      <c r="K29" s="795"/>
      <c r="L29" s="812"/>
      <c r="M29" s="812"/>
      <c r="N29" s="795"/>
      <c r="O29" s="795"/>
      <c r="P29" s="812">
        <v>3</v>
      </c>
      <c r="Q29" s="812">
        <v>927</v>
      </c>
      <c r="R29" s="800"/>
      <c r="S29" s="813">
        <v>309</v>
      </c>
    </row>
    <row r="30" spans="1:19" ht="14.4" customHeight="1" x14ac:dyDescent="0.3">
      <c r="A30" s="794" t="s">
        <v>3363</v>
      </c>
      <c r="B30" s="795" t="s">
        <v>3364</v>
      </c>
      <c r="C30" s="795" t="s">
        <v>601</v>
      </c>
      <c r="D30" s="795" t="s">
        <v>1521</v>
      </c>
      <c r="E30" s="795" t="s">
        <v>3374</v>
      </c>
      <c r="F30" s="795" t="s">
        <v>3393</v>
      </c>
      <c r="G30" s="795" t="s">
        <v>3394</v>
      </c>
      <c r="H30" s="812">
        <v>22</v>
      </c>
      <c r="I30" s="812">
        <v>2090</v>
      </c>
      <c r="J30" s="795">
        <v>0.45893719806763283</v>
      </c>
      <c r="K30" s="795">
        <v>95</v>
      </c>
      <c r="L30" s="812">
        <v>46</v>
      </c>
      <c r="M30" s="812">
        <v>4554</v>
      </c>
      <c r="N30" s="795">
        <v>1</v>
      </c>
      <c r="O30" s="795">
        <v>99</v>
      </c>
      <c r="P30" s="812">
        <v>35</v>
      </c>
      <c r="Q30" s="812">
        <v>3465</v>
      </c>
      <c r="R30" s="800">
        <v>0.76086956521739135</v>
      </c>
      <c r="S30" s="813">
        <v>99</v>
      </c>
    </row>
    <row r="31" spans="1:19" ht="14.4" customHeight="1" x14ac:dyDescent="0.3">
      <c r="A31" s="794" t="s">
        <v>3363</v>
      </c>
      <c r="B31" s="795" t="s">
        <v>3364</v>
      </c>
      <c r="C31" s="795" t="s">
        <v>601</v>
      </c>
      <c r="D31" s="795" t="s">
        <v>1521</v>
      </c>
      <c r="E31" s="795" t="s">
        <v>3374</v>
      </c>
      <c r="F31" s="795" t="s">
        <v>3395</v>
      </c>
      <c r="G31" s="795" t="s">
        <v>3396</v>
      </c>
      <c r="H31" s="812">
        <v>1</v>
      </c>
      <c r="I31" s="812">
        <v>93</v>
      </c>
      <c r="J31" s="795"/>
      <c r="K31" s="795">
        <v>93</v>
      </c>
      <c r="L31" s="812"/>
      <c r="M31" s="812"/>
      <c r="N31" s="795"/>
      <c r="O31" s="795"/>
      <c r="P31" s="812">
        <v>7</v>
      </c>
      <c r="Q31" s="812">
        <v>679</v>
      </c>
      <c r="R31" s="800"/>
      <c r="S31" s="813">
        <v>97</v>
      </c>
    </row>
    <row r="32" spans="1:19" ht="14.4" customHeight="1" x14ac:dyDescent="0.3">
      <c r="A32" s="794" t="s">
        <v>3363</v>
      </c>
      <c r="B32" s="795" t="s">
        <v>3364</v>
      </c>
      <c r="C32" s="795" t="s">
        <v>601</v>
      </c>
      <c r="D32" s="795" t="s">
        <v>1521</v>
      </c>
      <c r="E32" s="795" t="s">
        <v>3374</v>
      </c>
      <c r="F32" s="795" t="s">
        <v>3397</v>
      </c>
      <c r="G32" s="795" t="s">
        <v>3398</v>
      </c>
      <c r="H32" s="812">
        <v>119</v>
      </c>
      <c r="I32" s="812">
        <v>14042</v>
      </c>
      <c r="J32" s="795">
        <v>0.54629629629629628</v>
      </c>
      <c r="K32" s="795">
        <v>118</v>
      </c>
      <c r="L32" s="812">
        <v>204</v>
      </c>
      <c r="M32" s="812">
        <v>25704</v>
      </c>
      <c r="N32" s="795">
        <v>1</v>
      </c>
      <c r="O32" s="795">
        <v>126</v>
      </c>
      <c r="P32" s="812">
        <v>179</v>
      </c>
      <c r="Q32" s="812">
        <v>22554</v>
      </c>
      <c r="R32" s="800">
        <v>0.87745098039215685</v>
      </c>
      <c r="S32" s="813">
        <v>126</v>
      </c>
    </row>
    <row r="33" spans="1:19" ht="14.4" customHeight="1" x14ac:dyDescent="0.3">
      <c r="A33" s="794" t="s">
        <v>3363</v>
      </c>
      <c r="B33" s="795" t="s">
        <v>3364</v>
      </c>
      <c r="C33" s="795" t="s">
        <v>601</v>
      </c>
      <c r="D33" s="795" t="s">
        <v>1521</v>
      </c>
      <c r="E33" s="795" t="s">
        <v>3374</v>
      </c>
      <c r="F33" s="795" t="s">
        <v>3405</v>
      </c>
      <c r="G33" s="795" t="s">
        <v>3406</v>
      </c>
      <c r="H33" s="812"/>
      <c r="I33" s="812"/>
      <c r="J33" s="795"/>
      <c r="K33" s="795"/>
      <c r="L33" s="812"/>
      <c r="M33" s="812"/>
      <c r="N33" s="795"/>
      <c r="O33" s="795"/>
      <c r="P33" s="812">
        <v>1</v>
      </c>
      <c r="Q33" s="812">
        <v>1678</v>
      </c>
      <c r="R33" s="800"/>
      <c r="S33" s="813">
        <v>1678</v>
      </c>
    </row>
    <row r="34" spans="1:19" ht="14.4" customHeight="1" x14ac:dyDescent="0.3">
      <c r="A34" s="794" t="s">
        <v>3363</v>
      </c>
      <c r="B34" s="795" t="s">
        <v>3364</v>
      </c>
      <c r="C34" s="795" t="s">
        <v>601</v>
      </c>
      <c r="D34" s="795" t="s">
        <v>1521</v>
      </c>
      <c r="E34" s="795" t="s">
        <v>3374</v>
      </c>
      <c r="F34" s="795" t="s">
        <v>3407</v>
      </c>
      <c r="G34" s="795" t="s">
        <v>3408</v>
      </c>
      <c r="H34" s="812">
        <v>1</v>
      </c>
      <c r="I34" s="812">
        <v>1284</v>
      </c>
      <c r="J34" s="795">
        <v>0.98090145148968677</v>
      </c>
      <c r="K34" s="795">
        <v>1284</v>
      </c>
      <c r="L34" s="812">
        <v>1</v>
      </c>
      <c r="M34" s="812">
        <v>1309</v>
      </c>
      <c r="N34" s="795">
        <v>1</v>
      </c>
      <c r="O34" s="795">
        <v>1309</v>
      </c>
      <c r="P34" s="812">
        <v>6</v>
      </c>
      <c r="Q34" s="812">
        <v>7860</v>
      </c>
      <c r="R34" s="800">
        <v>6.0045836516424753</v>
      </c>
      <c r="S34" s="813">
        <v>1310</v>
      </c>
    </row>
    <row r="35" spans="1:19" ht="14.4" customHeight="1" x14ac:dyDescent="0.3">
      <c r="A35" s="794" t="s">
        <v>3363</v>
      </c>
      <c r="B35" s="795" t="s">
        <v>3364</v>
      </c>
      <c r="C35" s="795" t="s">
        <v>601</v>
      </c>
      <c r="D35" s="795" t="s">
        <v>1521</v>
      </c>
      <c r="E35" s="795" t="s">
        <v>3374</v>
      </c>
      <c r="F35" s="795" t="s">
        <v>3417</v>
      </c>
      <c r="G35" s="795" t="s">
        <v>3418</v>
      </c>
      <c r="H35" s="812"/>
      <c r="I35" s="812"/>
      <c r="J35" s="795"/>
      <c r="K35" s="795"/>
      <c r="L35" s="812">
        <v>175</v>
      </c>
      <c r="M35" s="812">
        <v>5833.3099999999995</v>
      </c>
      <c r="N35" s="795">
        <v>1</v>
      </c>
      <c r="O35" s="795">
        <v>33.333199999999998</v>
      </c>
      <c r="P35" s="812">
        <v>167</v>
      </c>
      <c r="Q35" s="812">
        <v>5566.65</v>
      </c>
      <c r="R35" s="800">
        <v>0.95428667428955427</v>
      </c>
      <c r="S35" s="813">
        <v>33.33323353293413</v>
      </c>
    </row>
    <row r="36" spans="1:19" ht="14.4" customHeight="1" x14ac:dyDescent="0.3">
      <c r="A36" s="794" t="s">
        <v>3363</v>
      </c>
      <c r="B36" s="795" t="s">
        <v>3364</v>
      </c>
      <c r="C36" s="795" t="s">
        <v>601</v>
      </c>
      <c r="D36" s="795" t="s">
        <v>1521</v>
      </c>
      <c r="E36" s="795" t="s">
        <v>3374</v>
      </c>
      <c r="F36" s="795" t="s">
        <v>3419</v>
      </c>
      <c r="G36" s="795" t="s">
        <v>3420</v>
      </c>
      <c r="H36" s="812">
        <v>2</v>
      </c>
      <c r="I36" s="812">
        <v>216</v>
      </c>
      <c r="J36" s="795">
        <v>0.93103448275862066</v>
      </c>
      <c r="K36" s="795">
        <v>108</v>
      </c>
      <c r="L36" s="812">
        <v>2</v>
      </c>
      <c r="M36" s="812">
        <v>232</v>
      </c>
      <c r="N36" s="795">
        <v>1</v>
      </c>
      <c r="O36" s="795">
        <v>116</v>
      </c>
      <c r="P36" s="812">
        <v>2</v>
      </c>
      <c r="Q36" s="812">
        <v>232</v>
      </c>
      <c r="R36" s="800">
        <v>1</v>
      </c>
      <c r="S36" s="813">
        <v>116</v>
      </c>
    </row>
    <row r="37" spans="1:19" ht="14.4" customHeight="1" x14ac:dyDescent="0.3">
      <c r="A37" s="794" t="s">
        <v>3363</v>
      </c>
      <c r="B37" s="795" t="s">
        <v>3364</v>
      </c>
      <c r="C37" s="795" t="s">
        <v>601</v>
      </c>
      <c r="D37" s="795" t="s">
        <v>1521</v>
      </c>
      <c r="E37" s="795" t="s">
        <v>3374</v>
      </c>
      <c r="F37" s="795" t="s">
        <v>3423</v>
      </c>
      <c r="G37" s="795" t="s">
        <v>3424</v>
      </c>
      <c r="H37" s="812">
        <v>1</v>
      </c>
      <c r="I37" s="812">
        <v>82</v>
      </c>
      <c r="J37" s="795">
        <v>0.95348837209302328</v>
      </c>
      <c r="K37" s="795">
        <v>82</v>
      </c>
      <c r="L37" s="812">
        <v>1</v>
      </c>
      <c r="M37" s="812">
        <v>86</v>
      </c>
      <c r="N37" s="795">
        <v>1</v>
      </c>
      <c r="O37" s="795">
        <v>86</v>
      </c>
      <c r="P37" s="812">
        <v>7</v>
      </c>
      <c r="Q37" s="812">
        <v>602</v>
      </c>
      <c r="R37" s="800">
        <v>7</v>
      </c>
      <c r="S37" s="813">
        <v>86</v>
      </c>
    </row>
    <row r="38" spans="1:19" ht="14.4" customHeight="1" x14ac:dyDescent="0.3">
      <c r="A38" s="794" t="s">
        <v>3363</v>
      </c>
      <c r="B38" s="795" t="s">
        <v>3364</v>
      </c>
      <c r="C38" s="795" t="s">
        <v>601</v>
      </c>
      <c r="D38" s="795" t="s">
        <v>1521</v>
      </c>
      <c r="E38" s="795" t="s">
        <v>3374</v>
      </c>
      <c r="F38" s="795" t="s">
        <v>3425</v>
      </c>
      <c r="G38" s="795" t="s">
        <v>3426</v>
      </c>
      <c r="H38" s="812">
        <v>1</v>
      </c>
      <c r="I38" s="812">
        <v>31</v>
      </c>
      <c r="J38" s="795">
        <v>0.96875</v>
      </c>
      <c r="K38" s="795">
        <v>31</v>
      </c>
      <c r="L38" s="812">
        <v>1</v>
      </c>
      <c r="M38" s="812">
        <v>32</v>
      </c>
      <c r="N38" s="795">
        <v>1</v>
      </c>
      <c r="O38" s="795">
        <v>32</v>
      </c>
      <c r="P38" s="812">
        <v>5</v>
      </c>
      <c r="Q38" s="812">
        <v>160</v>
      </c>
      <c r="R38" s="800">
        <v>5</v>
      </c>
      <c r="S38" s="813">
        <v>32</v>
      </c>
    </row>
    <row r="39" spans="1:19" ht="14.4" customHeight="1" x14ac:dyDescent="0.3">
      <c r="A39" s="794" t="s">
        <v>3363</v>
      </c>
      <c r="B39" s="795" t="s">
        <v>3364</v>
      </c>
      <c r="C39" s="795" t="s">
        <v>601</v>
      </c>
      <c r="D39" s="795" t="s">
        <v>1521</v>
      </c>
      <c r="E39" s="795" t="s">
        <v>3374</v>
      </c>
      <c r="F39" s="795" t="s">
        <v>3431</v>
      </c>
      <c r="G39" s="795" t="s">
        <v>3432</v>
      </c>
      <c r="H39" s="812">
        <v>1</v>
      </c>
      <c r="I39" s="812">
        <v>158</v>
      </c>
      <c r="J39" s="795">
        <v>0.97530864197530864</v>
      </c>
      <c r="K39" s="795">
        <v>158</v>
      </c>
      <c r="L39" s="812">
        <v>1</v>
      </c>
      <c r="M39" s="812">
        <v>162</v>
      </c>
      <c r="N39" s="795">
        <v>1</v>
      </c>
      <c r="O39" s="795">
        <v>162</v>
      </c>
      <c r="P39" s="812">
        <v>2</v>
      </c>
      <c r="Q39" s="812">
        <v>324</v>
      </c>
      <c r="R39" s="800">
        <v>2</v>
      </c>
      <c r="S39" s="813">
        <v>162</v>
      </c>
    </row>
    <row r="40" spans="1:19" ht="14.4" customHeight="1" x14ac:dyDescent="0.3">
      <c r="A40" s="794" t="s">
        <v>3363</v>
      </c>
      <c r="B40" s="795" t="s">
        <v>3364</v>
      </c>
      <c r="C40" s="795" t="s">
        <v>601</v>
      </c>
      <c r="D40" s="795" t="s">
        <v>1521</v>
      </c>
      <c r="E40" s="795" t="s">
        <v>3374</v>
      </c>
      <c r="F40" s="795" t="s">
        <v>3435</v>
      </c>
      <c r="G40" s="795" t="s">
        <v>3436</v>
      </c>
      <c r="H40" s="812">
        <v>1</v>
      </c>
      <c r="I40" s="812">
        <v>235</v>
      </c>
      <c r="J40" s="795">
        <v>0.93625498007968122</v>
      </c>
      <c r="K40" s="795">
        <v>235</v>
      </c>
      <c r="L40" s="812">
        <v>1</v>
      </c>
      <c r="M40" s="812">
        <v>251</v>
      </c>
      <c r="N40" s="795">
        <v>1</v>
      </c>
      <c r="O40" s="795">
        <v>251</v>
      </c>
      <c r="P40" s="812">
        <v>6</v>
      </c>
      <c r="Q40" s="812">
        <v>1506</v>
      </c>
      <c r="R40" s="800">
        <v>6</v>
      </c>
      <c r="S40" s="813">
        <v>251</v>
      </c>
    </row>
    <row r="41" spans="1:19" ht="14.4" customHeight="1" x14ac:dyDescent="0.3">
      <c r="A41" s="794" t="s">
        <v>3363</v>
      </c>
      <c r="B41" s="795" t="s">
        <v>3364</v>
      </c>
      <c r="C41" s="795" t="s">
        <v>601</v>
      </c>
      <c r="D41" s="795" t="s">
        <v>1521</v>
      </c>
      <c r="E41" s="795" t="s">
        <v>3374</v>
      </c>
      <c r="F41" s="795" t="s">
        <v>3447</v>
      </c>
      <c r="G41" s="795" t="s">
        <v>3448</v>
      </c>
      <c r="H41" s="812">
        <v>1</v>
      </c>
      <c r="I41" s="812">
        <v>311</v>
      </c>
      <c r="J41" s="795"/>
      <c r="K41" s="795">
        <v>311</v>
      </c>
      <c r="L41" s="812"/>
      <c r="M41" s="812"/>
      <c r="N41" s="795"/>
      <c r="O41" s="795"/>
      <c r="P41" s="812"/>
      <c r="Q41" s="812"/>
      <c r="R41" s="800"/>
      <c r="S41" s="813"/>
    </row>
    <row r="42" spans="1:19" ht="14.4" customHeight="1" x14ac:dyDescent="0.3">
      <c r="A42" s="794" t="s">
        <v>3363</v>
      </c>
      <c r="B42" s="795" t="s">
        <v>3364</v>
      </c>
      <c r="C42" s="795" t="s">
        <v>601</v>
      </c>
      <c r="D42" s="795" t="s">
        <v>1521</v>
      </c>
      <c r="E42" s="795" t="s">
        <v>3374</v>
      </c>
      <c r="F42" s="795" t="s">
        <v>3453</v>
      </c>
      <c r="G42" s="795" t="s">
        <v>3454</v>
      </c>
      <c r="H42" s="812">
        <v>14</v>
      </c>
      <c r="I42" s="812">
        <v>1554</v>
      </c>
      <c r="J42" s="795">
        <v>0.75072463768115938</v>
      </c>
      <c r="K42" s="795">
        <v>111</v>
      </c>
      <c r="L42" s="812">
        <v>18</v>
      </c>
      <c r="M42" s="812">
        <v>2070</v>
      </c>
      <c r="N42" s="795">
        <v>1</v>
      </c>
      <c r="O42" s="795">
        <v>115</v>
      </c>
      <c r="P42" s="812">
        <v>16</v>
      </c>
      <c r="Q42" s="812">
        <v>1840</v>
      </c>
      <c r="R42" s="800">
        <v>0.88888888888888884</v>
      </c>
      <c r="S42" s="813">
        <v>115</v>
      </c>
    </row>
    <row r="43" spans="1:19" ht="14.4" customHeight="1" x14ac:dyDescent="0.3">
      <c r="A43" s="794" t="s">
        <v>3363</v>
      </c>
      <c r="B43" s="795" t="s">
        <v>3364</v>
      </c>
      <c r="C43" s="795" t="s">
        <v>601</v>
      </c>
      <c r="D43" s="795" t="s">
        <v>1521</v>
      </c>
      <c r="E43" s="795" t="s">
        <v>3374</v>
      </c>
      <c r="F43" s="795" t="s">
        <v>3463</v>
      </c>
      <c r="G43" s="795" t="s">
        <v>3464</v>
      </c>
      <c r="H43" s="812">
        <v>4</v>
      </c>
      <c r="I43" s="812">
        <v>892</v>
      </c>
      <c r="J43" s="795">
        <v>0.98237885462555063</v>
      </c>
      <c r="K43" s="795">
        <v>223</v>
      </c>
      <c r="L43" s="812">
        <v>4</v>
      </c>
      <c r="M43" s="812">
        <v>908</v>
      </c>
      <c r="N43" s="795">
        <v>1</v>
      </c>
      <c r="O43" s="795">
        <v>227</v>
      </c>
      <c r="P43" s="812">
        <v>4</v>
      </c>
      <c r="Q43" s="812">
        <v>908</v>
      </c>
      <c r="R43" s="800">
        <v>1</v>
      </c>
      <c r="S43" s="813">
        <v>227</v>
      </c>
    </row>
    <row r="44" spans="1:19" ht="14.4" customHeight="1" x14ac:dyDescent="0.3">
      <c r="A44" s="794" t="s">
        <v>3363</v>
      </c>
      <c r="B44" s="795" t="s">
        <v>3364</v>
      </c>
      <c r="C44" s="795" t="s">
        <v>601</v>
      </c>
      <c r="D44" s="795" t="s">
        <v>3361</v>
      </c>
      <c r="E44" s="795" t="s">
        <v>3374</v>
      </c>
      <c r="F44" s="795" t="s">
        <v>3397</v>
      </c>
      <c r="G44" s="795" t="s">
        <v>3398</v>
      </c>
      <c r="H44" s="812"/>
      <c r="I44" s="812"/>
      <c r="J44" s="795"/>
      <c r="K44" s="795"/>
      <c r="L44" s="812">
        <v>1</v>
      </c>
      <c r="M44" s="812">
        <v>126</v>
      </c>
      <c r="N44" s="795">
        <v>1</v>
      </c>
      <c r="O44" s="795">
        <v>126</v>
      </c>
      <c r="P44" s="812"/>
      <c r="Q44" s="812"/>
      <c r="R44" s="800"/>
      <c r="S44" s="813"/>
    </row>
    <row r="45" spans="1:19" ht="14.4" customHeight="1" x14ac:dyDescent="0.3">
      <c r="A45" s="794" t="s">
        <v>3363</v>
      </c>
      <c r="B45" s="795" t="s">
        <v>3364</v>
      </c>
      <c r="C45" s="795" t="s">
        <v>601</v>
      </c>
      <c r="D45" s="795" t="s">
        <v>3361</v>
      </c>
      <c r="E45" s="795" t="s">
        <v>3374</v>
      </c>
      <c r="F45" s="795" t="s">
        <v>3417</v>
      </c>
      <c r="G45" s="795" t="s">
        <v>3418</v>
      </c>
      <c r="H45" s="812"/>
      <c r="I45" s="812"/>
      <c r="J45" s="795"/>
      <c r="K45" s="795"/>
      <c r="L45" s="812">
        <v>1</v>
      </c>
      <c r="M45" s="812">
        <v>33.33</v>
      </c>
      <c r="N45" s="795">
        <v>1</v>
      </c>
      <c r="O45" s="795">
        <v>33.33</v>
      </c>
      <c r="P45" s="812"/>
      <c r="Q45" s="812"/>
      <c r="R45" s="800"/>
      <c r="S45" s="813"/>
    </row>
    <row r="46" spans="1:19" ht="14.4" customHeight="1" x14ac:dyDescent="0.3">
      <c r="A46" s="794" t="s">
        <v>3363</v>
      </c>
      <c r="B46" s="795" t="s">
        <v>3364</v>
      </c>
      <c r="C46" s="795" t="s">
        <v>601</v>
      </c>
      <c r="D46" s="795" t="s">
        <v>1522</v>
      </c>
      <c r="E46" s="795" t="s">
        <v>3365</v>
      </c>
      <c r="F46" s="795" t="s">
        <v>3366</v>
      </c>
      <c r="G46" s="795" t="s">
        <v>3367</v>
      </c>
      <c r="H46" s="812">
        <v>1.5000000000000002</v>
      </c>
      <c r="I46" s="812">
        <v>226.52999999999997</v>
      </c>
      <c r="J46" s="795">
        <v>1.6668874172185428</v>
      </c>
      <c r="K46" s="795">
        <v>151.01999999999995</v>
      </c>
      <c r="L46" s="812">
        <v>0.9</v>
      </c>
      <c r="M46" s="812">
        <v>135.9</v>
      </c>
      <c r="N46" s="795">
        <v>1</v>
      </c>
      <c r="O46" s="795">
        <v>151</v>
      </c>
      <c r="P46" s="812">
        <v>0.7</v>
      </c>
      <c r="Q46" s="812">
        <v>105.69999999999999</v>
      </c>
      <c r="R46" s="800">
        <v>0.77777777777777768</v>
      </c>
      <c r="S46" s="813">
        <v>151</v>
      </c>
    </row>
    <row r="47" spans="1:19" ht="14.4" customHeight="1" x14ac:dyDescent="0.3">
      <c r="A47" s="794" t="s">
        <v>3363</v>
      </c>
      <c r="B47" s="795" t="s">
        <v>3364</v>
      </c>
      <c r="C47" s="795" t="s">
        <v>601</v>
      </c>
      <c r="D47" s="795" t="s">
        <v>1522</v>
      </c>
      <c r="E47" s="795" t="s">
        <v>3365</v>
      </c>
      <c r="F47" s="795" t="s">
        <v>3369</v>
      </c>
      <c r="G47" s="795" t="s">
        <v>820</v>
      </c>
      <c r="H47" s="812"/>
      <c r="I47" s="812"/>
      <c r="J47" s="795"/>
      <c r="K47" s="795"/>
      <c r="L47" s="812">
        <v>0.1</v>
      </c>
      <c r="M47" s="812">
        <v>7.8</v>
      </c>
      <c r="N47" s="795">
        <v>1</v>
      </c>
      <c r="O47" s="795">
        <v>78</v>
      </c>
      <c r="P47" s="812"/>
      <c r="Q47" s="812"/>
      <c r="R47" s="800"/>
      <c r="S47" s="813"/>
    </row>
    <row r="48" spans="1:19" ht="14.4" customHeight="1" x14ac:dyDescent="0.3">
      <c r="A48" s="794" t="s">
        <v>3363</v>
      </c>
      <c r="B48" s="795" t="s">
        <v>3364</v>
      </c>
      <c r="C48" s="795" t="s">
        <v>601</v>
      </c>
      <c r="D48" s="795" t="s">
        <v>1522</v>
      </c>
      <c r="E48" s="795" t="s">
        <v>3365</v>
      </c>
      <c r="F48" s="795" t="s">
        <v>3370</v>
      </c>
      <c r="G48" s="795" t="s">
        <v>1107</v>
      </c>
      <c r="H48" s="812">
        <v>0.2</v>
      </c>
      <c r="I48" s="812">
        <v>52.81</v>
      </c>
      <c r="J48" s="795"/>
      <c r="K48" s="795">
        <v>264.05</v>
      </c>
      <c r="L48" s="812"/>
      <c r="M48" s="812"/>
      <c r="N48" s="795"/>
      <c r="O48" s="795"/>
      <c r="P48" s="812"/>
      <c r="Q48" s="812"/>
      <c r="R48" s="800"/>
      <c r="S48" s="813"/>
    </row>
    <row r="49" spans="1:19" ht="14.4" customHeight="1" x14ac:dyDescent="0.3">
      <c r="A49" s="794" t="s">
        <v>3363</v>
      </c>
      <c r="B49" s="795" t="s">
        <v>3364</v>
      </c>
      <c r="C49" s="795" t="s">
        <v>601</v>
      </c>
      <c r="D49" s="795" t="s">
        <v>1522</v>
      </c>
      <c r="E49" s="795" t="s">
        <v>3365</v>
      </c>
      <c r="F49" s="795" t="s">
        <v>3371</v>
      </c>
      <c r="G49" s="795" t="s">
        <v>1107</v>
      </c>
      <c r="H49" s="812">
        <v>0.2</v>
      </c>
      <c r="I49" s="812">
        <v>52.81</v>
      </c>
      <c r="J49" s="795">
        <v>0.25</v>
      </c>
      <c r="K49" s="795">
        <v>264.05</v>
      </c>
      <c r="L49" s="812">
        <v>0.8</v>
      </c>
      <c r="M49" s="812">
        <v>211.24</v>
      </c>
      <c r="N49" s="795">
        <v>1</v>
      </c>
      <c r="O49" s="795">
        <v>264.05</v>
      </c>
      <c r="P49" s="812">
        <v>0.8</v>
      </c>
      <c r="Q49" s="812">
        <v>168.04</v>
      </c>
      <c r="R49" s="800">
        <v>0.79549327778829759</v>
      </c>
      <c r="S49" s="813">
        <v>210.04999999999998</v>
      </c>
    </row>
    <row r="50" spans="1:19" ht="14.4" customHeight="1" x14ac:dyDescent="0.3">
      <c r="A50" s="794" t="s">
        <v>3363</v>
      </c>
      <c r="B50" s="795" t="s">
        <v>3364</v>
      </c>
      <c r="C50" s="795" t="s">
        <v>601</v>
      </c>
      <c r="D50" s="795" t="s">
        <v>1522</v>
      </c>
      <c r="E50" s="795" t="s">
        <v>3365</v>
      </c>
      <c r="F50" s="795" t="s">
        <v>3372</v>
      </c>
      <c r="G50" s="795" t="s">
        <v>3373</v>
      </c>
      <c r="H50" s="812"/>
      <c r="I50" s="812"/>
      <c r="J50" s="795"/>
      <c r="K50" s="795"/>
      <c r="L50" s="812">
        <v>1</v>
      </c>
      <c r="M50" s="812">
        <v>57.27</v>
      </c>
      <c r="N50" s="795">
        <v>1</v>
      </c>
      <c r="O50" s="795">
        <v>57.27</v>
      </c>
      <c r="P50" s="812"/>
      <c r="Q50" s="812"/>
      <c r="R50" s="800"/>
      <c r="S50" s="813"/>
    </row>
    <row r="51" spans="1:19" ht="14.4" customHeight="1" x14ac:dyDescent="0.3">
      <c r="A51" s="794" t="s">
        <v>3363</v>
      </c>
      <c r="B51" s="795" t="s">
        <v>3364</v>
      </c>
      <c r="C51" s="795" t="s">
        <v>601</v>
      </c>
      <c r="D51" s="795" t="s">
        <v>1522</v>
      </c>
      <c r="E51" s="795" t="s">
        <v>3374</v>
      </c>
      <c r="F51" s="795" t="s">
        <v>3375</v>
      </c>
      <c r="G51" s="795" t="s">
        <v>3376</v>
      </c>
      <c r="H51" s="812">
        <v>12</v>
      </c>
      <c r="I51" s="812">
        <v>972</v>
      </c>
      <c r="J51" s="795">
        <v>0.46843373493975904</v>
      </c>
      <c r="K51" s="795">
        <v>81</v>
      </c>
      <c r="L51" s="812">
        <v>25</v>
      </c>
      <c r="M51" s="812">
        <v>2075</v>
      </c>
      <c r="N51" s="795">
        <v>1</v>
      </c>
      <c r="O51" s="795">
        <v>83</v>
      </c>
      <c r="P51" s="812">
        <v>22</v>
      </c>
      <c r="Q51" s="812">
        <v>1826</v>
      </c>
      <c r="R51" s="800">
        <v>0.88</v>
      </c>
      <c r="S51" s="813">
        <v>83</v>
      </c>
    </row>
    <row r="52" spans="1:19" ht="14.4" customHeight="1" x14ac:dyDescent="0.3">
      <c r="A52" s="794" t="s">
        <v>3363</v>
      </c>
      <c r="B52" s="795" t="s">
        <v>3364</v>
      </c>
      <c r="C52" s="795" t="s">
        <v>601</v>
      </c>
      <c r="D52" s="795" t="s">
        <v>1522</v>
      </c>
      <c r="E52" s="795" t="s">
        <v>3374</v>
      </c>
      <c r="F52" s="795" t="s">
        <v>3377</v>
      </c>
      <c r="G52" s="795" t="s">
        <v>3378</v>
      </c>
      <c r="H52" s="812">
        <v>4</v>
      </c>
      <c r="I52" s="812">
        <v>416</v>
      </c>
      <c r="J52" s="795">
        <v>1.9622641509433962</v>
      </c>
      <c r="K52" s="795">
        <v>104</v>
      </c>
      <c r="L52" s="812">
        <v>2</v>
      </c>
      <c r="M52" s="812">
        <v>212</v>
      </c>
      <c r="N52" s="795">
        <v>1</v>
      </c>
      <c r="O52" s="795">
        <v>106</v>
      </c>
      <c r="P52" s="812">
        <v>14</v>
      </c>
      <c r="Q52" s="812">
        <v>1484</v>
      </c>
      <c r="R52" s="800">
        <v>7</v>
      </c>
      <c r="S52" s="813">
        <v>106</v>
      </c>
    </row>
    <row r="53" spans="1:19" ht="14.4" customHeight="1" x14ac:dyDescent="0.3">
      <c r="A53" s="794" t="s">
        <v>3363</v>
      </c>
      <c r="B53" s="795" t="s">
        <v>3364</v>
      </c>
      <c r="C53" s="795" t="s">
        <v>601</v>
      </c>
      <c r="D53" s="795" t="s">
        <v>1522</v>
      </c>
      <c r="E53" s="795" t="s">
        <v>3374</v>
      </c>
      <c r="F53" s="795" t="s">
        <v>3387</v>
      </c>
      <c r="G53" s="795" t="s">
        <v>3388</v>
      </c>
      <c r="H53" s="812">
        <v>8</v>
      </c>
      <c r="I53" s="812">
        <v>1608</v>
      </c>
      <c r="J53" s="795">
        <v>7.7681159420289854</v>
      </c>
      <c r="K53" s="795">
        <v>201</v>
      </c>
      <c r="L53" s="812">
        <v>1</v>
      </c>
      <c r="M53" s="812">
        <v>207</v>
      </c>
      <c r="N53" s="795">
        <v>1</v>
      </c>
      <c r="O53" s="795">
        <v>207</v>
      </c>
      <c r="P53" s="812">
        <v>2</v>
      </c>
      <c r="Q53" s="812">
        <v>414</v>
      </c>
      <c r="R53" s="800">
        <v>2</v>
      </c>
      <c r="S53" s="813">
        <v>207</v>
      </c>
    </row>
    <row r="54" spans="1:19" ht="14.4" customHeight="1" x14ac:dyDescent="0.3">
      <c r="A54" s="794" t="s">
        <v>3363</v>
      </c>
      <c r="B54" s="795" t="s">
        <v>3364</v>
      </c>
      <c r="C54" s="795" t="s">
        <v>601</v>
      </c>
      <c r="D54" s="795" t="s">
        <v>1522</v>
      </c>
      <c r="E54" s="795" t="s">
        <v>3374</v>
      </c>
      <c r="F54" s="795" t="s">
        <v>3393</v>
      </c>
      <c r="G54" s="795" t="s">
        <v>3394</v>
      </c>
      <c r="H54" s="812">
        <v>28</v>
      </c>
      <c r="I54" s="812">
        <v>2660</v>
      </c>
      <c r="J54" s="795">
        <v>0.72618072618072615</v>
      </c>
      <c r="K54" s="795">
        <v>95</v>
      </c>
      <c r="L54" s="812">
        <v>37</v>
      </c>
      <c r="M54" s="812">
        <v>3663</v>
      </c>
      <c r="N54" s="795">
        <v>1</v>
      </c>
      <c r="O54" s="795">
        <v>99</v>
      </c>
      <c r="P54" s="812">
        <v>22</v>
      </c>
      <c r="Q54" s="812">
        <v>2178</v>
      </c>
      <c r="R54" s="800">
        <v>0.59459459459459463</v>
      </c>
      <c r="S54" s="813">
        <v>99</v>
      </c>
    </row>
    <row r="55" spans="1:19" ht="14.4" customHeight="1" x14ac:dyDescent="0.3">
      <c r="A55" s="794" t="s">
        <v>3363</v>
      </c>
      <c r="B55" s="795" t="s">
        <v>3364</v>
      </c>
      <c r="C55" s="795" t="s">
        <v>601</v>
      </c>
      <c r="D55" s="795" t="s">
        <v>1522</v>
      </c>
      <c r="E55" s="795" t="s">
        <v>3374</v>
      </c>
      <c r="F55" s="795" t="s">
        <v>3395</v>
      </c>
      <c r="G55" s="795" t="s">
        <v>3396</v>
      </c>
      <c r="H55" s="812">
        <v>10</v>
      </c>
      <c r="I55" s="812">
        <v>930</v>
      </c>
      <c r="J55" s="795">
        <v>0.50461204557786221</v>
      </c>
      <c r="K55" s="795">
        <v>93</v>
      </c>
      <c r="L55" s="812">
        <v>19</v>
      </c>
      <c r="M55" s="812">
        <v>1843</v>
      </c>
      <c r="N55" s="795">
        <v>1</v>
      </c>
      <c r="O55" s="795">
        <v>97</v>
      </c>
      <c r="P55" s="812">
        <v>12</v>
      </c>
      <c r="Q55" s="812">
        <v>1164</v>
      </c>
      <c r="R55" s="800">
        <v>0.63157894736842102</v>
      </c>
      <c r="S55" s="813">
        <v>97</v>
      </c>
    </row>
    <row r="56" spans="1:19" ht="14.4" customHeight="1" x14ac:dyDescent="0.3">
      <c r="A56" s="794" t="s">
        <v>3363</v>
      </c>
      <c r="B56" s="795" t="s">
        <v>3364</v>
      </c>
      <c r="C56" s="795" t="s">
        <v>601</v>
      </c>
      <c r="D56" s="795" t="s">
        <v>1522</v>
      </c>
      <c r="E56" s="795" t="s">
        <v>3374</v>
      </c>
      <c r="F56" s="795" t="s">
        <v>3397</v>
      </c>
      <c r="G56" s="795" t="s">
        <v>3398</v>
      </c>
      <c r="H56" s="812">
        <v>186</v>
      </c>
      <c r="I56" s="812">
        <v>21948</v>
      </c>
      <c r="J56" s="795">
        <v>0.97859818084537187</v>
      </c>
      <c r="K56" s="795">
        <v>118</v>
      </c>
      <c r="L56" s="812">
        <v>178</v>
      </c>
      <c r="M56" s="812">
        <v>22428</v>
      </c>
      <c r="N56" s="795">
        <v>1</v>
      </c>
      <c r="O56" s="795">
        <v>126</v>
      </c>
      <c r="P56" s="812">
        <v>205</v>
      </c>
      <c r="Q56" s="812">
        <v>25830</v>
      </c>
      <c r="R56" s="800">
        <v>1.151685393258427</v>
      </c>
      <c r="S56" s="813">
        <v>126</v>
      </c>
    </row>
    <row r="57" spans="1:19" ht="14.4" customHeight="1" x14ac:dyDescent="0.3">
      <c r="A57" s="794" t="s">
        <v>3363</v>
      </c>
      <c r="B57" s="795" t="s">
        <v>3364</v>
      </c>
      <c r="C57" s="795" t="s">
        <v>601</v>
      </c>
      <c r="D57" s="795" t="s">
        <v>1522</v>
      </c>
      <c r="E57" s="795" t="s">
        <v>3374</v>
      </c>
      <c r="F57" s="795" t="s">
        <v>3405</v>
      </c>
      <c r="G57" s="795" t="s">
        <v>3406</v>
      </c>
      <c r="H57" s="812">
        <v>1</v>
      </c>
      <c r="I57" s="812">
        <v>1637</v>
      </c>
      <c r="J57" s="795"/>
      <c r="K57" s="795">
        <v>1637</v>
      </c>
      <c r="L57" s="812"/>
      <c r="M57" s="812"/>
      <c r="N57" s="795"/>
      <c r="O57" s="795"/>
      <c r="P57" s="812"/>
      <c r="Q57" s="812"/>
      <c r="R57" s="800"/>
      <c r="S57" s="813"/>
    </row>
    <row r="58" spans="1:19" ht="14.4" customHeight="1" x14ac:dyDescent="0.3">
      <c r="A58" s="794" t="s">
        <v>3363</v>
      </c>
      <c r="B58" s="795" t="s">
        <v>3364</v>
      </c>
      <c r="C58" s="795" t="s">
        <v>601</v>
      </c>
      <c r="D58" s="795" t="s">
        <v>1522</v>
      </c>
      <c r="E58" s="795" t="s">
        <v>3374</v>
      </c>
      <c r="F58" s="795" t="s">
        <v>3407</v>
      </c>
      <c r="G58" s="795" t="s">
        <v>3408</v>
      </c>
      <c r="H58" s="812">
        <v>8</v>
      </c>
      <c r="I58" s="812">
        <v>10272</v>
      </c>
      <c r="J58" s="795">
        <v>7.8472116119174942</v>
      </c>
      <c r="K58" s="795">
        <v>1284</v>
      </c>
      <c r="L58" s="812">
        <v>1</v>
      </c>
      <c r="M58" s="812">
        <v>1309</v>
      </c>
      <c r="N58" s="795">
        <v>1</v>
      </c>
      <c r="O58" s="795">
        <v>1309</v>
      </c>
      <c r="P58" s="812">
        <v>4</v>
      </c>
      <c r="Q58" s="812">
        <v>5240</v>
      </c>
      <c r="R58" s="800">
        <v>4.0030557677616505</v>
      </c>
      <c r="S58" s="813">
        <v>1310</v>
      </c>
    </row>
    <row r="59" spans="1:19" ht="14.4" customHeight="1" x14ac:dyDescent="0.3">
      <c r="A59" s="794" t="s">
        <v>3363</v>
      </c>
      <c r="B59" s="795" t="s">
        <v>3364</v>
      </c>
      <c r="C59" s="795" t="s">
        <v>601</v>
      </c>
      <c r="D59" s="795" t="s">
        <v>1522</v>
      </c>
      <c r="E59" s="795" t="s">
        <v>3374</v>
      </c>
      <c r="F59" s="795" t="s">
        <v>3409</v>
      </c>
      <c r="G59" s="795" t="s">
        <v>3410</v>
      </c>
      <c r="H59" s="812"/>
      <c r="I59" s="812"/>
      <c r="J59" s="795"/>
      <c r="K59" s="795"/>
      <c r="L59" s="812"/>
      <c r="M59" s="812"/>
      <c r="N59" s="795"/>
      <c r="O59" s="795"/>
      <c r="P59" s="812">
        <v>1</v>
      </c>
      <c r="Q59" s="812">
        <v>972</v>
      </c>
      <c r="R59" s="800"/>
      <c r="S59" s="813">
        <v>972</v>
      </c>
    </row>
    <row r="60" spans="1:19" ht="14.4" customHeight="1" x14ac:dyDescent="0.3">
      <c r="A60" s="794" t="s">
        <v>3363</v>
      </c>
      <c r="B60" s="795" t="s">
        <v>3364</v>
      </c>
      <c r="C60" s="795" t="s">
        <v>601</v>
      </c>
      <c r="D60" s="795" t="s">
        <v>1522</v>
      </c>
      <c r="E60" s="795" t="s">
        <v>3374</v>
      </c>
      <c r="F60" s="795" t="s">
        <v>3413</v>
      </c>
      <c r="G60" s="795" t="s">
        <v>3414</v>
      </c>
      <c r="H60" s="812">
        <v>4</v>
      </c>
      <c r="I60" s="812">
        <v>628</v>
      </c>
      <c r="J60" s="795">
        <v>0.64212678936605316</v>
      </c>
      <c r="K60" s="795">
        <v>157</v>
      </c>
      <c r="L60" s="812">
        <v>6</v>
      </c>
      <c r="M60" s="812">
        <v>978</v>
      </c>
      <c r="N60" s="795">
        <v>1</v>
      </c>
      <c r="O60" s="795">
        <v>163</v>
      </c>
      <c r="P60" s="812">
        <v>6</v>
      </c>
      <c r="Q60" s="812">
        <v>978</v>
      </c>
      <c r="R60" s="800">
        <v>1</v>
      </c>
      <c r="S60" s="813">
        <v>163</v>
      </c>
    </row>
    <row r="61" spans="1:19" ht="14.4" customHeight="1" x14ac:dyDescent="0.3">
      <c r="A61" s="794" t="s">
        <v>3363</v>
      </c>
      <c r="B61" s="795" t="s">
        <v>3364</v>
      </c>
      <c r="C61" s="795" t="s">
        <v>601</v>
      </c>
      <c r="D61" s="795" t="s">
        <v>1522</v>
      </c>
      <c r="E61" s="795" t="s">
        <v>3374</v>
      </c>
      <c r="F61" s="795" t="s">
        <v>3417</v>
      </c>
      <c r="G61" s="795" t="s">
        <v>3418</v>
      </c>
      <c r="H61" s="812"/>
      <c r="I61" s="812"/>
      <c r="J61" s="795"/>
      <c r="K61" s="795"/>
      <c r="L61" s="812">
        <v>149</v>
      </c>
      <c r="M61" s="812">
        <v>4966.6499999999996</v>
      </c>
      <c r="N61" s="795">
        <v>1</v>
      </c>
      <c r="O61" s="795">
        <v>33.333221476510062</v>
      </c>
      <c r="P61" s="812">
        <v>173</v>
      </c>
      <c r="Q61" s="812">
        <v>5766.66</v>
      </c>
      <c r="R61" s="800">
        <v>1.1610763794509378</v>
      </c>
      <c r="S61" s="813">
        <v>33.333294797687863</v>
      </c>
    </row>
    <row r="62" spans="1:19" ht="14.4" customHeight="1" x14ac:dyDescent="0.3">
      <c r="A62" s="794" t="s">
        <v>3363</v>
      </c>
      <c r="B62" s="795" t="s">
        <v>3364</v>
      </c>
      <c r="C62" s="795" t="s">
        <v>601</v>
      </c>
      <c r="D62" s="795" t="s">
        <v>1522</v>
      </c>
      <c r="E62" s="795" t="s">
        <v>3374</v>
      </c>
      <c r="F62" s="795" t="s">
        <v>3419</v>
      </c>
      <c r="G62" s="795" t="s">
        <v>3420</v>
      </c>
      <c r="H62" s="812">
        <v>1</v>
      </c>
      <c r="I62" s="812">
        <v>108</v>
      </c>
      <c r="J62" s="795">
        <v>0.31034482758620691</v>
      </c>
      <c r="K62" s="795">
        <v>108</v>
      </c>
      <c r="L62" s="812">
        <v>3</v>
      </c>
      <c r="M62" s="812">
        <v>348</v>
      </c>
      <c r="N62" s="795">
        <v>1</v>
      </c>
      <c r="O62" s="795">
        <v>116</v>
      </c>
      <c r="P62" s="812">
        <v>1</v>
      </c>
      <c r="Q62" s="812">
        <v>116</v>
      </c>
      <c r="R62" s="800">
        <v>0.33333333333333331</v>
      </c>
      <c r="S62" s="813">
        <v>116</v>
      </c>
    </row>
    <row r="63" spans="1:19" ht="14.4" customHeight="1" x14ac:dyDescent="0.3">
      <c r="A63" s="794" t="s">
        <v>3363</v>
      </c>
      <c r="B63" s="795" t="s">
        <v>3364</v>
      </c>
      <c r="C63" s="795" t="s">
        <v>601</v>
      </c>
      <c r="D63" s="795" t="s">
        <v>1522</v>
      </c>
      <c r="E63" s="795" t="s">
        <v>3374</v>
      </c>
      <c r="F63" s="795" t="s">
        <v>3423</v>
      </c>
      <c r="G63" s="795" t="s">
        <v>3424</v>
      </c>
      <c r="H63" s="812">
        <v>8</v>
      </c>
      <c r="I63" s="812">
        <v>656</v>
      </c>
      <c r="J63" s="795">
        <v>1.5255813953488373</v>
      </c>
      <c r="K63" s="795">
        <v>82</v>
      </c>
      <c r="L63" s="812">
        <v>5</v>
      </c>
      <c r="M63" s="812">
        <v>430</v>
      </c>
      <c r="N63" s="795">
        <v>1</v>
      </c>
      <c r="O63" s="795">
        <v>86</v>
      </c>
      <c r="P63" s="812">
        <v>3</v>
      </c>
      <c r="Q63" s="812">
        <v>258</v>
      </c>
      <c r="R63" s="800">
        <v>0.6</v>
      </c>
      <c r="S63" s="813">
        <v>86</v>
      </c>
    </row>
    <row r="64" spans="1:19" ht="14.4" customHeight="1" x14ac:dyDescent="0.3">
      <c r="A64" s="794" t="s">
        <v>3363</v>
      </c>
      <c r="B64" s="795" t="s">
        <v>3364</v>
      </c>
      <c r="C64" s="795" t="s">
        <v>601</v>
      </c>
      <c r="D64" s="795" t="s">
        <v>1522</v>
      </c>
      <c r="E64" s="795" t="s">
        <v>3374</v>
      </c>
      <c r="F64" s="795" t="s">
        <v>3425</v>
      </c>
      <c r="G64" s="795" t="s">
        <v>3426</v>
      </c>
      <c r="H64" s="812">
        <v>3</v>
      </c>
      <c r="I64" s="812">
        <v>93</v>
      </c>
      <c r="J64" s="795">
        <v>1.453125</v>
      </c>
      <c r="K64" s="795">
        <v>31</v>
      </c>
      <c r="L64" s="812">
        <v>2</v>
      </c>
      <c r="M64" s="812">
        <v>64</v>
      </c>
      <c r="N64" s="795">
        <v>1</v>
      </c>
      <c r="O64" s="795">
        <v>32</v>
      </c>
      <c r="P64" s="812"/>
      <c r="Q64" s="812"/>
      <c r="R64" s="800"/>
      <c r="S64" s="813"/>
    </row>
    <row r="65" spans="1:19" ht="14.4" customHeight="1" x14ac:dyDescent="0.3">
      <c r="A65" s="794" t="s">
        <v>3363</v>
      </c>
      <c r="B65" s="795" t="s">
        <v>3364</v>
      </c>
      <c r="C65" s="795" t="s">
        <v>601</v>
      </c>
      <c r="D65" s="795" t="s">
        <v>1522</v>
      </c>
      <c r="E65" s="795" t="s">
        <v>3374</v>
      </c>
      <c r="F65" s="795" t="s">
        <v>3427</v>
      </c>
      <c r="G65" s="795" t="s">
        <v>3428</v>
      </c>
      <c r="H65" s="812">
        <v>1</v>
      </c>
      <c r="I65" s="812">
        <v>384</v>
      </c>
      <c r="J65" s="795">
        <v>0.48730964467005078</v>
      </c>
      <c r="K65" s="795">
        <v>384</v>
      </c>
      <c r="L65" s="812">
        <v>2</v>
      </c>
      <c r="M65" s="812">
        <v>788</v>
      </c>
      <c r="N65" s="795">
        <v>1</v>
      </c>
      <c r="O65" s="795">
        <v>394</v>
      </c>
      <c r="P65" s="812">
        <v>3</v>
      </c>
      <c r="Q65" s="812">
        <v>1185</v>
      </c>
      <c r="R65" s="800">
        <v>1.5038071065989849</v>
      </c>
      <c r="S65" s="813">
        <v>395</v>
      </c>
    </row>
    <row r="66" spans="1:19" ht="14.4" customHeight="1" x14ac:dyDescent="0.3">
      <c r="A66" s="794" t="s">
        <v>3363</v>
      </c>
      <c r="B66" s="795" t="s">
        <v>3364</v>
      </c>
      <c r="C66" s="795" t="s">
        <v>601</v>
      </c>
      <c r="D66" s="795" t="s">
        <v>1522</v>
      </c>
      <c r="E66" s="795" t="s">
        <v>3374</v>
      </c>
      <c r="F66" s="795" t="s">
        <v>3431</v>
      </c>
      <c r="G66" s="795" t="s">
        <v>3432</v>
      </c>
      <c r="H66" s="812">
        <v>1</v>
      </c>
      <c r="I66" s="812">
        <v>158</v>
      </c>
      <c r="J66" s="795">
        <v>0.97530864197530864</v>
      </c>
      <c r="K66" s="795">
        <v>158</v>
      </c>
      <c r="L66" s="812">
        <v>1</v>
      </c>
      <c r="M66" s="812">
        <v>162</v>
      </c>
      <c r="N66" s="795">
        <v>1</v>
      </c>
      <c r="O66" s="795">
        <v>162</v>
      </c>
      <c r="P66" s="812"/>
      <c r="Q66" s="812"/>
      <c r="R66" s="800"/>
      <c r="S66" s="813"/>
    </row>
    <row r="67" spans="1:19" ht="14.4" customHeight="1" x14ac:dyDescent="0.3">
      <c r="A67" s="794" t="s">
        <v>3363</v>
      </c>
      <c r="B67" s="795" t="s">
        <v>3364</v>
      </c>
      <c r="C67" s="795" t="s">
        <v>601</v>
      </c>
      <c r="D67" s="795" t="s">
        <v>1522</v>
      </c>
      <c r="E67" s="795" t="s">
        <v>3374</v>
      </c>
      <c r="F67" s="795" t="s">
        <v>3435</v>
      </c>
      <c r="G67" s="795" t="s">
        <v>3436</v>
      </c>
      <c r="H67" s="812">
        <v>8</v>
      </c>
      <c r="I67" s="812">
        <v>1880</v>
      </c>
      <c r="J67" s="795">
        <v>3.7450199203187249</v>
      </c>
      <c r="K67" s="795">
        <v>235</v>
      </c>
      <c r="L67" s="812">
        <v>2</v>
      </c>
      <c r="M67" s="812">
        <v>502</v>
      </c>
      <c r="N67" s="795">
        <v>1</v>
      </c>
      <c r="O67" s="795">
        <v>251</v>
      </c>
      <c r="P67" s="812">
        <v>1</v>
      </c>
      <c r="Q67" s="812">
        <v>251</v>
      </c>
      <c r="R67" s="800">
        <v>0.5</v>
      </c>
      <c r="S67" s="813">
        <v>251</v>
      </c>
    </row>
    <row r="68" spans="1:19" ht="14.4" customHeight="1" x14ac:dyDescent="0.3">
      <c r="A68" s="794" t="s">
        <v>3363</v>
      </c>
      <c r="B68" s="795" t="s">
        <v>3364</v>
      </c>
      <c r="C68" s="795" t="s">
        <v>601</v>
      </c>
      <c r="D68" s="795" t="s">
        <v>1522</v>
      </c>
      <c r="E68" s="795" t="s">
        <v>3374</v>
      </c>
      <c r="F68" s="795" t="s">
        <v>3437</v>
      </c>
      <c r="G68" s="795" t="s">
        <v>3438</v>
      </c>
      <c r="H68" s="812"/>
      <c r="I68" s="812"/>
      <c r="J68" s="795"/>
      <c r="K68" s="795"/>
      <c r="L68" s="812">
        <v>1</v>
      </c>
      <c r="M68" s="812">
        <v>120</v>
      </c>
      <c r="N68" s="795">
        <v>1</v>
      </c>
      <c r="O68" s="795">
        <v>120</v>
      </c>
      <c r="P68" s="812"/>
      <c r="Q68" s="812"/>
      <c r="R68" s="800"/>
      <c r="S68" s="813"/>
    </row>
    <row r="69" spans="1:19" ht="14.4" customHeight="1" x14ac:dyDescent="0.3">
      <c r="A69" s="794" t="s">
        <v>3363</v>
      </c>
      <c r="B69" s="795" t="s">
        <v>3364</v>
      </c>
      <c r="C69" s="795" t="s">
        <v>601</v>
      </c>
      <c r="D69" s="795" t="s">
        <v>1522</v>
      </c>
      <c r="E69" s="795" t="s">
        <v>3374</v>
      </c>
      <c r="F69" s="795" t="s">
        <v>3439</v>
      </c>
      <c r="G69" s="795" t="s">
        <v>3440</v>
      </c>
      <c r="H69" s="812"/>
      <c r="I69" s="812"/>
      <c r="J69" s="795"/>
      <c r="K69" s="795"/>
      <c r="L69" s="812">
        <v>1</v>
      </c>
      <c r="M69" s="812">
        <v>721</v>
      </c>
      <c r="N69" s="795">
        <v>1</v>
      </c>
      <c r="O69" s="795">
        <v>721</v>
      </c>
      <c r="P69" s="812"/>
      <c r="Q69" s="812"/>
      <c r="R69" s="800"/>
      <c r="S69" s="813"/>
    </row>
    <row r="70" spans="1:19" ht="14.4" customHeight="1" x14ac:dyDescent="0.3">
      <c r="A70" s="794" t="s">
        <v>3363</v>
      </c>
      <c r="B70" s="795" t="s">
        <v>3364</v>
      </c>
      <c r="C70" s="795" t="s">
        <v>601</v>
      </c>
      <c r="D70" s="795" t="s">
        <v>1522</v>
      </c>
      <c r="E70" s="795" t="s">
        <v>3374</v>
      </c>
      <c r="F70" s="795" t="s">
        <v>3441</v>
      </c>
      <c r="G70" s="795" t="s">
        <v>3442</v>
      </c>
      <c r="H70" s="812"/>
      <c r="I70" s="812"/>
      <c r="J70" s="795"/>
      <c r="K70" s="795"/>
      <c r="L70" s="812">
        <v>1</v>
      </c>
      <c r="M70" s="812">
        <v>123</v>
      </c>
      <c r="N70" s="795">
        <v>1</v>
      </c>
      <c r="O70" s="795">
        <v>123</v>
      </c>
      <c r="P70" s="812"/>
      <c r="Q70" s="812"/>
      <c r="R70" s="800"/>
      <c r="S70" s="813"/>
    </row>
    <row r="71" spans="1:19" ht="14.4" customHeight="1" x14ac:dyDescent="0.3">
      <c r="A71" s="794" t="s">
        <v>3363</v>
      </c>
      <c r="B71" s="795" t="s">
        <v>3364</v>
      </c>
      <c r="C71" s="795" t="s">
        <v>601</v>
      </c>
      <c r="D71" s="795" t="s">
        <v>1522</v>
      </c>
      <c r="E71" s="795" t="s">
        <v>3374</v>
      </c>
      <c r="F71" s="795" t="s">
        <v>3445</v>
      </c>
      <c r="G71" s="795" t="s">
        <v>3446</v>
      </c>
      <c r="H71" s="812"/>
      <c r="I71" s="812"/>
      <c r="J71" s="795"/>
      <c r="K71" s="795"/>
      <c r="L71" s="812">
        <v>1</v>
      </c>
      <c r="M71" s="812">
        <v>183</v>
      </c>
      <c r="N71" s="795">
        <v>1</v>
      </c>
      <c r="O71" s="795">
        <v>183</v>
      </c>
      <c r="P71" s="812">
        <v>1</v>
      </c>
      <c r="Q71" s="812">
        <v>183</v>
      </c>
      <c r="R71" s="800">
        <v>1</v>
      </c>
      <c r="S71" s="813">
        <v>183</v>
      </c>
    </row>
    <row r="72" spans="1:19" ht="14.4" customHeight="1" x14ac:dyDescent="0.3">
      <c r="A72" s="794" t="s">
        <v>3363</v>
      </c>
      <c r="B72" s="795" t="s">
        <v>3364</v>
      </c>
      <c r="C72" s="795" t="s">
        <v>601</v>
      </c>
      <c r="D72" s="795" t="s">
        <v>1522</v>
      </c>
      <c r="E72" s="795" t="s">
        <v>3374</v>
      </c>
      <c r="F72" s="795" t="s">
        <v>3453</v>
      </c>
      <c r="G72" s="795" t="s">
        <v>3454</v>
      </c>
      <c r="H72" s="812">
        <v>10</v>
      </c>
      <c r="I72" s="812">
        <v>1110</v>
      </c>
      <c r="J72" s="795">
        <v>0.64347826086956517</v>
      </c>
      <c r="K72" s="795">
        <v>111</v>
      </c>
      <c r="L72" s="812">
        <v>15</v>
      </c>
      <c r="M72" s="812">
        <v>1725</v>
      </c>
      <c r="N72" s="795">
        <v>1</v>
      </c>
      <c r="O72" s="795">
        <v>115</v>
      </c>
      <c r="P72" s="812">
        <v>15</v>
      </c>
      <c r="Q72" s="812">
        <v>1725</v>
      </c>
      <c r="R72" s="800">
        <v>1</v>
      </c>
      <c r="S72" s="813">
        <v>115</v>
      </c>
    </row>
    <row r="73" spans="1:19" ht="14.4" customHeight="1" x14ac:dyDescent="0.3">
      <c r="A73" s="794" t="s">
        <v>3363</v>
      </c>
      <c r="B73" s="795" t="s">
        <v>3364</v>
      </c>
      <c r="C73" s="795" t="s">
        <v>601</v>
      </c>
      <c r="D73" s="795" t="s">
        <v>1522</v>
      </c>
      <c r="E73" s="795" t="s">
        <v>3374</v>
      </c>
      <c r="F73" s="795" t="s">
        <v>3455</v>
      </c>
      <c r="G73" s="795" t="s">
        <v>3456</v>
      </c>
      <c r="H73" s="812"/>
      <c r="I73" s="812"/>
      <c r="J73" s="795"/>
      <c r="K73" s="795"/>
      <c r="L73" s="812">
        <v>1</v>
      </c>
      <c r="M73" s="812">
        <v>120</v>
      </c>
      <c r="N73" s="795">
        <v>1</v>
      </c>
      <c r="O73" s="795">
        <v>120</v>
      </c>
      <c r="P73" s="812"/>
      <c r="Q73" s="812"/>
      <c r="R73" s="800"/>
      <c r="S73" s="813"/>
    </row>
    <row r="74" spans="1:19" ht="14.4" customHeight="1" x14ac:dyDescent="0.3">
      <c r="A74" s="794" t="s">
        <v>3363</v>
      </c>
      <c r="B74" s="795" t="s">
        <v>3364</v>
      </c>
      <c r="C74" s="795" t="s">
        <v>601</v>
      </c>
      <c r="D74" s="795" t="s">
        <v>1522</v>
      </c>
      <c r="E74" s="795" t="s">
        <v>3374</v>
      </c>
      <c r="F74" s="795" t="s">
        <v>3463</v>
      </c>
      <c r="G74" s="795" t="s">
        <v>3464</v>
      </c>
      <c r="H74" s="812">
        <v>6</v>
      </c>
      <c r="I74" s="812">
        <v>1338</v>
      </c>
      <c r="J74" s="795">
        <v>2.947136563876652</v>
      </c>
      <c r="K74" s="795">
        <v>223</v>
      </c>
      <c r="L74" s="812">
        <v>2</v>
      </c>
      <c r="M74" s="812">
        <v>454</v>
      </c>
      <c r="N74" s="795">
        <v>1</v>
      </c>
      <c r="O74" s="795">
        <v>227</v>
      </c>
      <c r="P74" s="812">
        <v>3</v>
      </c>
      <c r="Q74" s="812">
        <v>681</v>
      </c>
      <c r="R74" s="800">
        <v>1.5</v>
      </c>
      <c r="S74" s="813">
        <v>227</v>
      </c>
    </row>
    <row r="75" spans="1:19" ht="14.4" customHeight="1" x14ac:dyDescent="0.3">
      <c r="A75" s="794" t="s">
        <v>3363</v>
      </c>
      <c r="B75" s="795" t="s">
        <v>3364</v>
      </c>
      <c r="C75" s="795" t="s">
        <v>601</v>
      </c>
      <c r="D75" s="795" t="s">
        <v>1522</v>
      </c>
      <c r="E75" s="795" t="s">
        <v>3374</v>
      </c>
      <c r="F75" s="795" t="s">
        <v>3467</v>
      </c>
      <c r="G75" s="795" t="s">
        <v>3468</v>
      </c>
      <c r="H75" s="812">
        <v>1</v>
      </c>
      <c r="I75" s="812">
        <v>389</v>
      </c>
      <c r="J75" s="795"/>
      <c r="K75" s="795">
        <v>389</v>
      </c>
      <c r="L75" s="812"/>
      <c r="M75" s="812"/>
      <c r="N75" s="795"/>
      <c r="O75" s="795"/>
      <c r="P75" s="812">
        <v>1</v>
      </c>
      <c r="Q75" s="812">
        <v>400</v>
      </c>
      <c r="R75" s="800"/>
      <c r="S75" s="813">
        <v>400</v>
      </c>
    </row>
    <row r="76" spans="1:19" ht="14.4" customHeight="1" x14ac:dyDescent="0.3">
      <c r="A76" s="794" t="s">
        <v>3363</v>
      </c>
      <c r="B76" s="795" t="s">
        <v>3364</v>
      </c>
      <c r="C76" s="795" t="s">
        <v>601</v>
      </c>
      <c r="D76" s="795" t="s">
        <v>1522</v>
      </c>
      <c r="E76" s="795" t="s">
        <v>3374</v>
      </c>
      <c r="F76" s="795" t="s">
        <v>3471</v>
      </c>
      <c r="G76" s="795" t="s">
        <v>3472</v>
      </c>
      <c r="H76" s="812"/>
      <c r="I76" s="812"/>
      <c r="J76" s="795"/>
      <c r="K76" s="795"/>
      <c r="L76" s="812"/>
      <c r="M76" s="812"/>
      <c r="N76" s="795"/>
      <c r="O76" s="795"/>
      <c r="P76" s="812">
        <v>1</v>
      </c>
      <c r="Q76" s="812">
        <v>1111</v>
      </c>
      <c r="R76" s="800"/>
      <c r="S76" s="813">
        <v>1111</v>
      </c>
    </row>
    <row r="77" spans="1:19" ht="14.4" customHeight="1" x14ac:dyDescent="0.3">
      <c r="A77" s="794" t="s">
        <v>3363</v>
      </c>
      <c r="B77" s="795" t="s">
        <v>3364</v>
      </c>
      <c r="C77" s="795" t="s">
        <v>601</v>
      </c>
      <c r="D77" s="795" t="s">
        <v>1523</v>
      </c>
      <c r="E77" s="795" t="s">
        <v>3365</v>
      </c>
      <c r="F77" s="795" t="s">
        <v>3366</v>
      </c>
      <c r="G77" s="795" t="s">
        <v>3367</v>
      </c>
      <c r="H77" s="812">
        <v>1.6</v>
      </c>
      <c r="I77" s="812">
        <v>241.65999999999997</v>
      </c>
      <c r="J77" s="795">
        <v>5.3346578366445909</v>
      </c>
      <c r="K77" s="795">
        <v>151.03749999999997</v>
      </c>
      <c r="L77" s="812">
        <v>0.30000000000000004</v>
      </c>
      <c r="M77" s="812">
        <v>45.3</v>
      </c>
      <c r="N77" s="795">
        <v>1</v>
      </c>
      <c r="O77" s="795">
        <v>150.99999999999997</v>
      </c>
      <c r="P77" s="812">
        <v>0.79999999999999993</v>
      </c>
      <c r="Q77" s="812">
        <v>120.82999999999998</v>
      </c>
      <c r="R77" s="800">
        <v>2.6673289183222955</v>
      </c>
      <c r="S77" s="813">
        <v>151.03749999999999</v>
      </c>
    </row>
    <row r="78" spans="1:19" ht="14.4" customHeight="1" x14ac:dyDescent="0.3">
      <c r="A78" s="794" t="s">
        <v>3363</v>
      </c>
      <c r="B78" s="795" t="s">
        <v>3364</v>
      </c>
      <c r="C78" s="795" t="s">
        <v>601</v>
      </c>
      <c r="D78" s="795" t="s">
        <v>1523</v>
      </c>
      <c r="E78" s="795" t="s">
        <v>3374</v>
      </c>
      <c r="F78" s="795" t="s">
        <v>3375</v>
      </c>
      <c r="G78" s="795" t="s">
        <v>3376</v>
      </c>
      <c r="H78" s="812">
        <v>2</v>
      </c>
      <c r="I78" s="812">
        <v>162</v>
      </c>
      <c r="J78" s="795">
        <v>1.9518072289156627</v>
      </c>
      <c r="K78" s="795">
        <v>81</v>
      </c>
      <c r="L78" s="812">
        <v>1</v>
      </c>
      <c r="M78" s="812">
        <v>83</v>
      </c>
      <c r="N78" s="795">
        <v>1</v>
      </c>
      <c r="O78" s="795">
        <v>83</v>
      </c>
      <c r="P78" s="812">
        <v>4</v>
      </c>
      <c r="Q78" s="812">
        <v>332</v>
      </c>
      <c r="R78" s="800">
        <v>4</v>
      </c>
      <c r="S78" s="813">
        <v>83</v>
      </c>
    </row>
    <row r="79" spans="1:19" ht="14.4" customHeight="1" x14ac:dyDescent="0.3">
      <c r="A79" s="794" t="s">
        <v>3363</v>
      </c>
      <c r="B79" s="795" t="s">
        <v>3364</v>
      </c>
      <c r="C79" s="795" t="s">
        <v>601</v>
      </c>
      <c r="D79" s="795" t="s">
        <v>1523</v>
      </c>
      <c r="E79" s="795" t="s">
        <v>3374</v>
      </c>
      <c r="F79" s="795" t="s">
        <v>3379</v>
      </c>
      <c r="G79" s="795" t="s">
        <v>3380</v>
      </c>
      <c r="H79" s="812"/>
      <c r="I79" s="812"/>
      <c r="J79" s="795"/>
      <c r="K79" s="795"/>
      <c r="L79" s="812">
        <v>1</v>
      </c>
      <c r="M79" s="812">
        <v>37</v>
      </c>
      <c r="N79" s="795">
        <v>1</v>
      </c>
      <c r="O79" s="795">
        <v>37</v>
      </c>
      <c r="P79" s="812">
        <v>2</v>
      </c>
      <c r="Q79" s="812">
        <v>74</v>
      </c>
      <c r="R79" s="800">
        <v>2</v>
      </c>
      <c r="S79" s="813">
        <v>37</v>
      </c>
    </row>
    <row r="80" spans="1:19" ht="14.4" customHeight="1" x14ac:dyDescent="0.3">
      <c r="A80" s="794" t="s">
        <v>3363</v>
      </c>
      <c r="B80" s="795" t="s">
        <v>3364</v>
      </c>
      <c r="C80" s="795" t="s">
        <v>601</v>
      </c>
      <c r="D80" s="795" t="s">
        <v>1523</v>
      </c>
      <c r="E80" s="795" t="s">
        <v>3374</v>
      </c>
      <c r="F80" s="795" t="s">
        <v>3397</v>
      </c>
      <c r="G80" s="795" t="s">
        <v>3398</v>
      </c>
      <c r="H80" s="812">
        <v>88</v>
      </c>
      <c r="I80" s="812">
        <v>10384</v>
      </c>
      <c r="J80" s="795">
        <v>0.704382037715371</v>
      </c>
      <c r="K80" s="795">
        <v>118</v>
      </c>
      <c r="L80" s="812">
        <v>117</v>
      </c>
      <c r="M80" s="812">
        <v>14742</v>
      </c>
      <c r="N80" s="795">
        <v>1</v>
      </c>
      <c r="O80" s="795">
        <v>126</v>
      </c>
      <c r="P80" s="812">
        <v>119</v>
      </c>
      <c r="Q80" s="812">
        <v>14994</v>
      </c>
      <c r="R80" s="800">
        <v>1.017094017094017</v>
      </c>
      <c r="S80" s="813">
        <v>126</v>
      </c>
    </row>
    <row r="81" spans="1:19" ht="14.4" customHeight="1" x14ac:dyDescent="0.3">
      <c r="A81" s="794" t="s">
        <v>3363</v>
      </c>
      <c r="B81" s="795" t="s">
        <v>3364</v>
      </c>
      <c r="C81" s="795" t="s">
        <v>601</v>
      </c>
      <c r="D81" s="795" t="s">
        <v>1523</v>
      </c>
      <c r="E81" s="795" t="s">
        <v>3374</v>
      </c>
      <c r="F81" s="795" t="s">
        <v>3401</v>
      </c>
      <c r="G81" s="795" t="s">
        <v>3402</v>
      </c>
      <c r="H81" s="812"/>
      <c r="I81" s="812"/>
      <c r="J81" s="795"/>
      <c r="K81" s="795"/>
      <c r="L81" s="812">
        <v>1</v>
      </c>
      <c r="M81" s="812">
        <v>1273</v>
      </c>
      <c r="N81" s="795">
        <v>1</v>
      </c>
      <c r="O81" s="795">
        <v>1273</v>
      </c>
      <c r="P81" s="812"/>
      <c r="Q81" s="812"/>
      <c r="R81" s="800"/>
      <c r="S81" s="813"/>
    </row>
    <row r="82" spans="1:19" ht="14.4" customHeight="1" x14ac:dyDescent="0.3">
      <c r="A82" s="794" t="s">
        <v>3363</v>
      </c>
      <c r="B82" s="795" t="s">
        <v>3364</v>
      </c>
      <c r="C82" s="795" t="s">
        <v>601</v>
      </c>
      <c r="D82" s="795" t="s">
        <v>1523</v>
      </c>
      <c r="E82" s="795" t="s">
        <v>3374</v>
      </c>
      <c r="F82" s="795" t="s">
        <v>3405</v>
      </c>
      <c r="G82" s="795" t="s">
        <v>3406</v>
      </c>
      <c r="H82" s="812">
        <v>5</v>
      </c>
      <c r="I82" s="812">
        <v>8185</v>
      </c>
      <c r="J82" s="795">
        <v>2.4403697078115685</v>
      </c>
      <c r="K82" s="795">
        <v>1637</v>
      </c>
      <c r="L82" s="812">
        <v>2</v>
      </c>
      <c r="M82" s="812">
        <v>3354</v>
      </c>
      <c r="N82" s="795">
        <v>1</v>
      </c>
      <c r="O82" s="795">
        <v>1677</v>
      </c>
      <c r="P82" s="812">
        <v>3</v>
      </c>
      <c r="Q82" s="812">
        <v>5034</v>
      </c>
      <c r="R82" s="800">
        <v>1.5008944543828264</v>
      </c>
      <c r="S82" s="813">
        <v>1678</v>
      </c>
    </row>
    <row r="83" spans="1:19" ht="14.4" customHeight="1" x14ac:dyDescent="0.3">
      <c r="A83" s="794" t="s">
        <v>3363</v>
      </c>
      <c r="B83" s="795" t="s">
        <v>3364</v>
      </c>
      <c r="C83" s="795" t="s">
        <v>601</v>
      </c>
      <c r="D83" s="795" t="s">
        <v>1523</v>
      </c>
      <c r="E83" s="795" t="s">
        <v>3374</v>
      </c>
      <c r="F83" s="795" t="s">
        <v>3407</v>
      </c>
      <c r="G83" s="795" t="s">
        <v>3408</v>
      </c>
      <c r="H83" s="812">
        <v>2</v>
      </c>
      <c r="I83" s="812">
        <v>2568</v>
      </c>
      <c r="J83" s="795"/>
      <c r="K83" s="795">
        <v>1284</v>
      </c>
      <c r="L83" s="812"/>
      <c r="M83" s="812"/>
      <c r="N83" s="795"/>
      <c r="O83" s="795"/>
      <c r="P83" s="812">
        <v>1</v>
      </c>
      <c r="Q83" s="812">
        <v>1310</v>
      </c>
      <c r="R83" s="800"/>
      <c r="S83" s="813">
        <v>1310</v>
      </c>
    </row>
    <row r="84" spans="1:19" ht="14.4" customHeight="1" x14ac:dyDescent="0.3">
      <c r="A84" s="794" t="s">
        <v>3363</v>
      </c>
      <c r="B84" s="795" t="s">
        <v>3364</v>
      </c>
      <c r="C84" s="795" t="s">
        <v>601</v>
      </c>
      <c r="D84" s="795" t="s">
        <v>1523</v>
      </c>
      <c r="E84" s="795" t="s">
        <v>3374</v>
      </c>
      <c r="F84" s="795" t="s">
        <v>3417</v>
      </c>
      <c r="G84" s="795" t="s">
        <v>3418</v>
      </c>
      <c r="H84" s="812"/>
      <c r="I84" s="812"/>
      <c r="J84" s="795"/>
      <c r="K84" s="795"/>
      <c r="L84" s="812">
        <v>148</v>
      </c>
      <c r="M84" s="812">
        <v>4933.2599999999984</v>
      </c>
      <c r="N84" s="795">
        <v>1</v>
      </c>
      <c r="O84" s="795">
        <v>33.332837837837829</v>
      </c>
      <c r="P84" s="812">
        <v>148</v>
      </c>
      <c r="Q84" s="812">
        <v>4933.2699999999986</v>
      </c>
      <c r="R84" s="800">
        <v>1.000002027057159</v>
      </c>
      <c r="S84" s="813">
        <v>33.332905405405398</v>
      </c>
    </row>
    <row r="85" spans="1:19" ht="14.4" customHeight="1" x14ac:dyDescent="0.3">
      <c r="A85" s="794" t="s">
        <v>3363</v>
      </c>
      <c r="B85" s="795" t="s">
        <v>3364</v>
      </c>
      <c r="C85" s="795" t="s">
        <v>601</v>
      </c>
      <c r="D85" s="795" t="s">
        <v>1523</v>
      </c>
      <c r="E85" s="795" t="s">
        <v>3374</v>
      </c>
      <c r="F85" s="795" t="s">
        <v>3423</v>
      </c>
      <c r="G85" s="795" t="s">
        <v>3424</v>
      </c>
      <c r="H85" s="812">
        <v>10</v>
      </c>
      <c r="I85" s="812">
        <v>820</v>
      </c>
      <c r="J85" s="795">
        <v>3.1782945736434107</v>
      </c>
      <c r="K85" s="795">
        <v>82</v>
      </c>
      <c r="L85" s="812">
        <v>3</v>
      </c>
      <c r="M85" s="812">
        <v>258</v>
      </c>
      <c r="N85" s="795">
        <v>1</v>
      </c>
      <c r="O85" s="795">
        <v>86</v>
      </c>
      <c r="P85" s="812">
        <v>5</v>
      </c>
      <c r="Q85" s="812">
        <v>430</v>
      </c>
      <c r="R85" s="800">
        <v>1.6666666666666667</v>
      </c>
      <c r="S85" s="813">
        <v>86</v>
      </c>
    </row>
    <row r="86" spans="1:19" ht="14.4" customHeight="1" x14ac:dyDescent="0.3">
      <c r="A86" s="794" t="s">
        <v>3363</v>
      </c>
      <c r="B86" s="795" t="s">
        <v>3364</v>
      </c>
      <c r="C86" s="795" t="s">
        <v>601</v>
      </c>
      <c r="D86" s="795" t="s">
        <v>1523</v>
      </c>
      <c r="E86" s="795" t="s">
        <v>3374</v>
      </c>
      <c r="F86" s="795" t="s">
        <v>3425</v>
      </c>
      <c r="G86" s="795" t="s">
        <v>3426</v>
      </c>
      <c r="H86" s="812">
        <v>5</v>
      </c>
      <c r="I86" s="812">
        <v>155</v>
      </c>
      <c r="J86" s="795"/>
      <c r="K86" s="795">
        <v>31</v>
      </c>
      <c r="L86" s="812"/>
      <c r="M86" s="812"/>
      <c r="N86" s="795"/>
      <c r="O86" s="795"/>
      <c r="P86" s="812">
        <v>2</v>
      </c>
      <c r="Q86" s="812">
        <v>64</v>
      </c>
      <c r="R86" s="800"/>
      <c r="S86" s="813">
        <v>32</v>
      </c>
    </row>
    <row r="87" spans="1:19" ht="14.4" customHeight="1" x14ac:dyDescent="0.3">
      <c r="A87" s="794" t="s">
        <v>3363</v>
      </c>
      <c r="B87" s="795" t="s">
        <v>3364</v>
      </c>
      <c r="C87" s="795" t="s">
        <v>601</v>
      </c>
      <c r="D87" s="795" t="s">
        <v>1523</v>
      </c>
      <c r="E87" s="795" t="s">
        <v>3374</v>
      </c>
      <c r="F87" s="795" t="s">
        <v>3435</v>
      </c>
      <c r="G87" s="795" t="s">
        <v>3436</v>
      </c>
      <c r="H87" s="812">
        <v>40</v>
      </c>
      <c r="I87" s="812">
        <v>9400</v>
      </c>
      <c r="J87" s="795">
        <v>0.89167140959969649</v>
      </c>
      <c r="K87" s="795">
        <v>235</v>
      </c>
      <c r="L87" s="812">
        <v>42</v>
      </c>
      <c r="M87" s="812">
        <v>10542</v>
      </c>
      <c r="N87" s="795">
        <v>1</v>
      </c>
      <c r="O87" s="795">
        <v>251</v>
      </c>
      <c r="P87" s="812">
        <v>53</v>
      </c>
      <c r="Q87" s="812">
        <v>13303</v>
      </c>
      <c r="R87" s="800">
        <v>1.2619047619047619</v>
      </c>
      <c r="S87" s="813">
        <v>251</v>
      </c>
    </row>
    <row r="88" spans="1:19" ht="14.4" customHeight="1" x14ac:dyDescent="0.3">
      <c r="A88" s="794" t="s">
        <v>3363</v>
      </c>
      <c r="B88" s="795" t="s">
        <v>3364</v>
      </c>
      <c r="C88" s="795" t="s">
        <v>601</v>
      </c>
      <c r="D88" s="795" t="s">
        <v>1523</v>
      </c>
      <c r="E88" s="795" t="s">
        <v>3374</v>
      </c>
      <c r="F88" s="795" t="s">
        <v>3445</v>
      </c>
      <c r="G88" s="795" t="s">
        <v>3446</v>
      </c>
      <c r="H88" s="812">
        <v>1</v>
      </c>
      <c r="I88" s="812">
        <v>179</v>
      </c>
      <c r="J88" s="795"/>
      <c r="K88" s="795">
        <v>179</v>
      </c>
      <c r="L88" s="812"/>
      <c r="M88" s="812"/>
      <c r="N88" s="795"/>
      <c r="O88" s="795"/>
      <c r="P88" s="812"/>
      <c r="Q88" s="812"/>
      <c r="R88" s="800"/>
      <c r="S88" s="813"/>
    </row>
    <row r="89" spans="1:19" ht="14.4" customHeight="1" x14ac:dyDescent="0.3">
      <c r="A89" s="794" t="s">
        <v>3363</v>
      </c>
      <c r="B89" s="795" t="s">
        <v>3364</v>
      </c>
      <c r="C89" s="795" t="s">
        <v>601</v>
      </c>
      <c r="D89" s="795" t="s">
        <v>1523</v>
      </c>
      <c r="E89" s="795" t="s">
        <v>3374</v>
      </c>
      <c r="F89" s="795" t="s">
        <v>3449</v>
      </c>
      <c r="G89" s="795" t="s">
        <v>3450</v>
      </c>
      <c r="H89" s="812">
        <v>2</v>
      </c>
      <c r="I89" s="812">
        <v>974</v>
      </c>
      <c r="J89" s="795"/>
      <c r="K89" s="795">
        <v>487</v>
      </c>
      <c r="L89" s="812"/>
      <c r="M89" s="812"/>
      <c r="N89" s="795"/>
      <c r="O89" s="795"/>
      <c r="P89" s="812">
        <v>1</v>
      </c>
      <c r="Q89" s="812">
        <v>500</v>
      </c>
      <c r="R89" s="800"/>
      <c r="S89" s="813">
        <v>500</v>
      </c>
    </row>
    <row r="90" spans="1:19" ht="14.4" customHeight="1" x14ac:dyDescent="0.3">
      <c r="A90" s="794" t="s">
        <v>3363</v>
      </c>
      <c r="B90" s="795" t="s">
        <v>3364</v>
      </c>
      <c r="C90" s="795" t="s">
        <v>601</v>
      </c>
      <c r="D90" s="795" t="s">
        <v>1524</v>
      </c>
      <c r="E90" s="795" t="s">
        <v>3365</v>
      </c>
      <c r="F90" s="795" t="s">
        <v>3366</v>
      </c>
      <c r="G90" s="795" t="s">
        <v>3367</v>
      </c>
      <c r="H90" s="812">
        <v>0.3</v>
      </c>
      <c r="I90" s="812">
        <v>45.32</v>
      </c>
      <c r="J90" s="795">
        <v>1.5001655081098975</v>
      </c>
      <c r="K90" s="795">
        <v>151.06666666666666</v>
      </c>
      <c r="L90" s="812">
        <v>0.2</v>
      </c>
      <c r="M90" s="812">
        <v>30.21</v>
      </c>
      <c r="N90" s="795">
        <v>1</v>
      </c>
      <c r="O90" s="795">
        <v>151.04999999999998</v>
      </c>
      <c r="P90" s="812"/>
      <c r="Q90" s="812"/>
      <c r="R90" s="800"/>
      <c r="S90" s="813"/>
    </row>
    <row r="91" spans="1:19" ht="14.4" customHeight="1" x14ac:dyDescent="0.3">
      <c r="A91" s="794" t="s">
        <v>3363</v>
      </c>
      <c r="B91" s="795" t="s">
        <v>3364</v>
      </c>
      <c r="C91" s="795" t="s">
        <v>601</v>
      </c>
      <c r="D91" s="795" t="s">
        <v>1524</v>
      </c>
      <c r="E91" s="795" t="s">
        <v>3374</v>
      </c>
      <c r="F91" s="795" t="s">
        <v>3375</v>
      </c>
      <c r="G91" s="795" t="s">
        <v>3376</v>
      </c>
      <c r="H91" s="812">
        <v>3</v>
      </c>
      <c r="I91" s="812">
        <v>243</v>
      </c>
      <c r="J91" s="795">
        <v>0.48795180722891568</v>
      </c>
      <c r="K91" s="795">
        <v>81</v>
      </c>
      <c r="L91" s="812">
        <v>6</v>
      </c>
      <c r="M91" s="812">
        <v>498</v>
      </c>
      <c r="N91" s="795">
        <v>1</v>
      </c>
      <c r="O91" s="795">
        <v>83</v>
      </c>
      <c r="P91" s="812"/>
      <c r="Q91" s="812"/>
      <c r="R91" s="800"/>
      <c r="S91" s="813"/>
    </row>
    <row r="92" spans="1:19" ht="14.4" customHeight="1" x14ac:dyDescent="0.3">
      <c r="A92" s="794" t="s">
        <v>3363</v>
      </c>
      <c r="B92" s="795" t="s">
        <v>3364</v>
      </c>
      <c r="C92" s="795" t="s">
        <v>601</v>
      </c>
      <c r="D92" s="795" t="s">
        <v>1524</v>
      </c>
      <c r="E92" s="795" t="s">
        <v>3374</v>
      </c>
      <c r="F92" s="795" t="s">
        <v>3377</v>
      </c>
      <c r="G92" s="795" t="s">
        <v>3378</v>
      </c>
      <c r="H92" s="812">
        <v>114</v>
      </c>
      <c r="I92" s="812">
        <v>11856</v>
      </c>
      <c r="J92" s="795">
        <v>0.5620555608229828</v>
      </c>
      <c r="K92" s="795">
        <v>104</v>
      </c>
      <c r="L92" s="812">
        <v>199</v>
      </c>
      <c r="M92" s="812">
        <v>21094</v>
      </c>
      <c r="N92" s="795">
        <v>1</v>
      </c>
      <c r="O92" s="795">
        <v>106</v>
      </c>
      <c r="P92" s="812">
        <v>19</v>
      </c>
      <c r="Q92" s="812">
        <v>2014</v>
      </c>
      <c r="R92" s="800">
        <v>9.5477386934673364E-2</v>
      </c>
      <c r="S92" s="813">
        <v>106</v>
      </c>
    </row>
    <row r="93" spans="1:19" ht="14.4" customHeight="1" x14ac:dyDescent="0.3">
      <c r="A93" s="794" t="s">
        <v>3363</v>
      </c>
      <c r="B93" s="795" t="s">
        <v>3364</v>
      </c>
      <c r="C93" s="795" t="s">
        <v>601</v>
      </c>
      <c r="D93" s="795" t="s">
        <v>1524</v>
      </c>
      <c r="E93" s="795" t="s">
        <v>3374</v>
      </c>
      <c r="F93" s="795" t="s">
        <v>3379</v>
      </c>
      <c r="G93" s="795" t="s">
        <v>3380</v>
      </c>
      <c r="H93" s="812">
        <v>1</v>
      </c>
      <c r="I93" s="812">
        <v>35</v>
      </c>
      <c r="J93" s="795">
        <v>0.23648648648648649</v>
      </c>
      <c r="K93" s="795">
        <v>35</v>
      </c>
      <c r="L93" s="812">
        <v>4</v>
      </c>
      <c r="M93" s="812">
        <v>148</v>
      </c>
      <c r="N93" s="795">
        <v>1</v>
      </c>
      <c r="O93" s="795">
        <v>37</v>
      </c>
      <c r="P93" s="812">
        <v>1</v>
      </c>
      <c r="Q93" s="812">
        <v>37</v>
      </c>
      <c r="R93" s="800">
        <v>0.25</v>
      </c>
      <c r="S93" s="813">
        <v>37</v>
      </c>
    </row>
    <row r="94" spans="1:19" ht="14.4" customHeight="1" x14ac:dyDescent="0.3">
      <c r="A94" s="794" t="s">
        <v>3363</v>
      </c>
      <c r="B94" s="795" t="s">
        <v>3364</v>
      </c>
      <c r="C94" s="795" t="s">
        <v>601</v>
      </c>
      <c r="D94" s="795" t="s">
        <v>1524</v>
      </c>
      <c r="E94" s="795" t="s">
        <v>3374</v>
      </c>
      <c r="F94" s="795" t="s">
        <v>3397</v>
      </c>
      <c r="G94" s="795" t="s">
        <v>3398</v>
      </c>
      <c r="H94" s="812">
        <v>210</v>
      </c>
      <c r="I94" s="812">
        <v>24780</v>
      </c>
      <c r="J94" s="795">
        <v>0.85507246376811596</v>
      </c>
      <c r="K94" s="795">
        <v>118</v>
      </c>
      <c r="L94" s="812">
        <v>230</v>
      </c>
      <c r="M94" s="812">
        <v>28980</v>
      </c>
      <c r="N94" s="795">
        <v>1</v>
      </c>
      <c r="O94" s="795">
        <v>126</v>
      </c>
      <c r="P94" s="812">
        <v>104</v>
      </c>
      <c r="Q94" s="812">
        <v>13104</v>
      </c>
      <c r="R94" s="800">
        <v>0.45217391304347826</v>
      </c>
      <c r="S94" s="813">
        <v>126</v>
      </c>
    </row>
    <row r="95" spans="1:19" ht="14.4" customHeight="1" x14ac:dyDescent="0.3">
      <c r="A95" s="794" t="s">
        <v>3363</v>
      </c>
      <c r="B95" s="795" t="s">
        <v>3364</v>
      </c>
      <c r="C95" s="795" t="s">
        <v>601</v>
      </c>
      <c r="D95" s="795" t="s">
        <v>1524</v>
      </c>
      <c r="E95" s="795" t="s">
        <v>3374</v>
      </c>
      <c r="F95" s="795" t="s">
        <v>3407</v>
      </c>
      <c r="G95" s="795" t="s">
        <v>3408</v>
      </c>
      <c r="H95" s="812">
        <v>1</v>
      </c>
      <c r="I95" s="812">
        <v>1284</v>
      </c>
      <c r="J95" s="795"/>
      <c r="K95" s="795">
        <v>1284</v>
      </c>
      <c r="L95" s="812"/>
      <c r="M95" s="812"/>
      <c r="N95" s="795"/>
      <c r="O95" s="795"/>
      <c r="P95" s="812"/>
      <c r="Q95" s="812"/>
      <c r="R95" s="800"/>
      <c r="S95" s="813"/>
    </row>
    <row r="96" spans="1:19" ht="14.4" customHeight="1" x14ac:dyDescent="0.3">
      <c r="A96" s="794" t="s">
        <v>3363</v>
      </c>
      <c r="B96" s="795" t="s">
        <v>3364</v>
      </c>
      <c r="C96" s="795" t="s">
        <v>601</v>
      </c>
      <c r="D96" s="795" t="s">
        <v>1524</v>
      </c>
      <c r="E96" s="795" t="s">
        <v>3374</v>
      </c>
      <c r="F96" s="795" t="s">
        <v>3417</v>
      </c>
      <c r="G96" s="795" t="s">
        <v>3418</v>
      </c>
      <c r="H96" s="812"/>
      <c r="I96" s="812"/>
      <c r="J96" s="795"/>
      <c r="K96" s="795"/>
      <c r="L96" s="812">
        <v>207</v>
      </c>
      <c r="M96" s="812">
        <v>6899.98</v>
      </c>
      <c r="N96" s="795">
        <v>1</v>
      </c>
      <c r="O96" s="795">
        <v>33.333236714975847</v>
      </c>
      <c r="P96" s="812">
        <v>189</v>
      </c>
      <c r="Q96" s="812">
        <v>6299.99</v>
      </c>
      <c r="R96" s="800">
        <v>0.91304467549181301</v>
      </c>
      <c r="S96" s="813">
        <v>33.333280423280421</v>
      </c>
    </row>
    <row r="97" spans="1:19" ht="14.4" customHeight="1" x14ac:dyDescent="0.3">
      <c r="A97" s="794" t="s">
        <v>3363</v>
      </c>
      <c r="B97" s="795" t="s">
        <v>3364</v>
      </c>
      <c r="C97" s="795" t="s">
        <v>601</v>
      </c>
      <c r="D97" s="795" t="s">
        <v>1524</v>
      </c>
      <c r="E97" s="795" t="s">
        <v>3374</v>
      </c>
      <c r="F97" s="795" t="s">
        <v>3423</v>
      </c>
      <c r="G97" s="795" t="s">
        <v>3424</v>
      </c>
      <c r="H97" s="812">
        <v>1</v>
      </c>
      <c r="I97" s="812">
        <v>82</v>
      </c>
      <c r="J97" s="795">
        <v>0.95348837209302328</v>
      </c>
      <c r="K97" s="795">
        <v>82</v>
      </c>
      <c r="L97" s="812">
        <v>1</v>
      </c>
      <c r="M97" s="812">
        <v>86</v>
      </c>
      <c r="N97" s="795">
        <v>1</v>
      </c>
      <c r="O97" s="795">
        <v>86</v>
      </c>
      <c r="P97" s="812"/>
      <c r="Q97" s="812"/>
      <c r="R97" s="800"/>
      <c r="S97" s="813"/>
    </row>
    <row r="98" spans="1:19" ht="14.4" customHeight="1" x14ac:dyDescent="0.3">
      <c r="A98" s="794" t="s">
        <v>3363</v>
      </c>
      <c r="B98" s="795" t="s">
        <v>3364</v>
      </c>
      <c r="C98" s="795" t="s">
        <v>601</v>
      </c>
      <c r="D98" s="795" t="s">
        <v>1524</v>
      </c>
      <c r="E98" s="795" t="s">
        <v>3374</v>
      </c>
      <c r="F98" s="795" t="s">
        <v>3425</v>
      </c>
      <c r="G98" s="795" t="s">
        <v>3426</v>
      </c>
      <c r="H98" s="812">
        <v>1</v>
      </c>
      <c r="I98" s="812">
        <v>31</v>
      </c>
      <c r="J98" s="795">
        <v>0.96875</v>
      </c>
      <c r="K98" s="795">
        <v>31</v>
      </c>
      <c r="L98" s="812">
        <v>1</v>
      </c>
      <c r="M98" s="812">
        <v>32</v>
      </c>
      <c r="N98" s="795">
        <v>1</v>
      </c>
      <c r="O98" s="795">
        <v>32</v>
      </c>
      <c r="P98" s="812"/>
      <c r="Q98" s="812"/>
      <c r="R98" s="800"/>
      <c r="S98" s="813"/>
    </row>
    <row r="99" spans="1:19" ht="14.4" customHeight="1" x14ac:dyDescent="0.3">
      <c r="A99" s="794" t="s">
        <v>3363</v>
      </c>
      <c r="B99" s="795" t="s">
        <v>3364</v>
      </c>
      <c r="C99" s="795" t="s">
        <v>601</v>
      </c>
      <c r="D99" s="795" t="s">
        <v>1524</v>
      </c>
      <c r="E99" s="795" t="s">
        <v>3374</v>
      </c>
      <c r="F99" s="795" t="s">
        <v>3435</v>
      </c>
      <c r="G99" s="795" t="s">
        <v>3436</v>
      </c>
      <c r="H99" s="812">
        <v>2</v>
      </c>
      <c r="I99" s="812">
        <v>470</v>
      </c>
      <c r="J99" s="795">
        <v>1.8725099601593624</v>
      </c>
      <c r="K99" s="795">
        <v>235</v>
      </c>
      <c r="L99" s="812">
        <v>1</v>
      </c>
      <c r="M99" s="812">
        <v>251</v>
      </c>
      <c r="N99" s="795">
        <v>1</v>
      </c>
      <c r="O99" s="795">
        <v>251</v>
      </c>
      <c r="P99" s="812">
        <v>114</v>
      </c>
      <c r="Q99" s="812">
        <v>28614</v>
      </c>
      <c r="R99" s="800">
        <v>114</v>
      </c>
      <c r="S99" s="813">
        <v>251</v>
      </c>
    </row>
    <row r="100" spans="1:19" ht="14.4" customHeight="1" x14ac:dyDescent="0.3">
      <c r="A100" s="794" t="s">
        <v>3363</v>
      </c>
      <c r="B100" s="795" t="s">
        <v>3364</v>
      </c>
      <c r="C100" s="795" t="s">
        <v>601</v>
      </c>
      <c r="D100" s="795" t="s">
        <v>1524</v>
      </c>
      <c r="E100" s="795" t="s">
        <v>3374</v>
      </c>
      <c r="F100" s="795" t="s">
        <v>3449</v>
      </c>
      <c r="G100" s="795" t="s">
        <v>3450</v>
      </c>
      <c r="H100" s="812"/>
      <c r="I100" s="812"/>
      <c r="J100" s="795"/>
      <c r="K100" s="795"/>
      <c r="L100" s="812">
        <v>1</v>
      </c>
      <c r="M100" s="812">
        <v>500</v>
      </c>
      <c r="N100" s="795">
        <v>1</v>
      </c>
      <c r="O100" s="795">
        <v>500</v>
      </c>
      <c r="P100" s="812"/>
      <c r="Q100" s="812"/>
      <c r="R100" s="800"/>
      <c r="S100" s="813"/>
    </row>
    <row r="101" spans="1:19" ht="14.4" customHeight="1" x14ac:dyDescent="0.3">
      <c r="A101" s="794" t="s">
        <v>3363</v>
      </c>
      <c r="B101" s="795" t="s">
        <v>3364</v>
      </c>
      <c r="C101" s="795" t="s">
        <v>601</v>
      </c>
      <c r="D101" s="795" t="s">
        <v>1525</v>
      </c>
      <c r="E101" s="795" t="s">
        <v>3374</v>
      </c>
      <c r="F101" s="795" t="s">
        <v>3397</v>
      </c>
      <c r="G101" s="795" t="s">
        <v>3398</v>
      </c>
      <c r="H101" s="812"/>
      <c r="I101" s="812"/>
      <c r="J101" s="795"/>
      <c r="K101" s="795"/>
      <c r="L101" s="812"/>
      <c r="M101" s="812"/>
      <c r="N101" s="795"/>
      <c r="O101" s="795"/>
      <c r="P101" s="812">
        <v>1</v>
      </c>
      <c r="Q101" s="812">
        <v>126</v>
      </c>
      <c r="R101" s="800"/>
      <c r="S101" s="813">
        <v>126</v>
      </c>
    </row>
    <row r="102" spans="1:19" ht="14.4" customHeight="1" x14ac:dyDescent="0.3">
      <c r="A102" s="794" t="s">
        <v>3363</v>
      </c>
      <c r="B102" s="795" t="s">
        <v>3364</v>
      </c>
      <c r="C102" s="795" t="s">
        <v>601</v>
      </c>
      <c r="D102" s="795" t="s">
        <v>1525</v>
      </c>
      <c r="E102" s="795" t="s">
        <v>3374</v>
      </c>
      <c r="F102" s="795" t="s">
        <v>3417</v>
      </c>
      <c r="G102" s="795" t="s">
        <v>3418</v>
      </c>
      <c r="H102" s="812"/>
      <c r="I102" s="812"/>
      <c r="J102" s="795"/>
      <c r="K102" s="795"/>
      <c r="L102" s="812"/>
      <c r="M102" s="812"/>
      <c r="N102" s="795"/>
      <c r="O102" s="795"/>
      <c r="P102" s="812">
        <v>1</v>
      </c>
      <c r="Q102" s="812">
        <v>33.33</v>
      </c>
      <c r="R102" s="800"/>
      <c r="S102" s="813">
        <v>33.33</v>
      </c>
    </row>
    <row r="103" spans="1:19" ht="14.4" customHeight="1" x14ac:dyDescent="0.3">
      <c r="A103" s="794" t="s">
        <v>3363</v>
      </c>
      <c r="B103" s="795" t="s">
        <v>3364</v>
      </c>
      <c r="C103" s="795" t="s">
        <v>601</v>
      </c>
      <c r="D103" s="795" t="s">
        <v>1526</v>
      </c>
      <c r="E103" s="795" t="s">
        <v>3365</v>
      </c>
      <c r="F103" s="795" t="s">
        <v>3366</v>
      </c>
      <c r="G103" s="795" t="s">
        <v>3367</v>
      </c>
      <c r="H103" s="812">
        <v>2.1999999999999997</v>
      </c>
      <c r="I103" s="812">
        <v>332.34000000000003</v>
      </c>
      <c r="J103" s="795">
        <v>7.3331862312444844</v>
      </c>
      <c r="K103" s="795">
        <v>151.06363636363639</v>
      </c>
      <c r="L103" s="812">
        <v>0.3</v>
      </c>
      <c r="M103" s="812">
        <v>45.32</v>
      </c>
      <c r="N103" s="795">
        <v>1</v>
      </c>
      <c r="O103" s="795">
        <v>151.06666666666666</v>
      </c>
      <c r="P103" s="812">
        <v>0.1</v>
      </c>
      <c r="Q103" s="812">
        <v>15.1</v>
      </c>
      <c r="R103" s="800">
        <v>0.33318623124448365</v>
      </c>
      <c r="S103" s="813">
        <v>151</v>
      </c>
    </row>
    <row r="104" spans="1:19" ht="14.4" customHeight="1" x14ac:dyDescent="0.3">
      <c r="A104" s="794" t="s">
        <v>3363</v>
      </c>
      <c r="B104" s="795" t="s">
        <v>3364</v>
      </c>
      <c r="C104" s="795" t="s">
        <v>601</v>
      </c>
      <c r="D104" s="795" t="s">
        <v>1526</v>
      </c>
      <c r="E104" s="795" t="s">
        <v>3374</v>
      </c>
      <c r="F104" s="795" t="s">
        <v>3375</v>
      </c>
      <c r="G104" s="795" t="s">
        <v>3376</v>
      </c>
      <c r="H104" s="812">
        <v>3</v>
      </c>
      <c r="I104" s="812">
        <v>243</v>
      </c>
      <c r="J104" s="795">
        <v>2.927710843373494</v>
      </c>
      <c r="K104" s="795">
        <v>81</v>
      </c>
      <c r="L104" s="812">
        <v>1</v>
      </c>
      <c r="M104" s="812">
        <v>83</v>
      </c>
      <c r="N104" s="795">
        <v>1</v>
      </c>
      <c r="O104" s="795">
        <v>83</v>
      </c>
      <c r="P104" s="812"/>
      <c r="Q104" s="812"/>
      <c r="R104" s="800"/>
      <c r="S104" s="813"/>
    </row>
    <row r="105" spans="1:19" ht="14.4" customHeight="1" x14ac:dyDescent="0.3">
      <c r="A105" s="794" t="s">
        <v>3363</v>
      </c>
      <c r="B105" s="795" t="s">
        <v>3364</v>
      </c>
      <c r="C105" s="795" t="s">
        <v>601</v>
      </c>
      <c r="D105" s="795" t="s">
        <v>1526</v>
      </c>
      <c r="E105" s="795" t="s">
        <v>3374</v>
      </c>
      <c r="F105" s="795" t="s">
        <v>3377</v>
      </c>
      <c r="G105" s="795" t="s">
        <v>3378</v>
      </c>
      <c r="H105" s="812">
        <v>37</v>
      </c>
      <c r="I105" s="812">
        <v>3848</v>
      </c>
      <c r="J105" s="795">
        <v>1.3445143256464012</v>
      </c>
      <c r="K105" s="795">
        <v>104</v>
      </c>
      <c r="L105" s="812">
        <v>27</v>
      </c>
      <c r="M105" s="812">
        <v>2862</v>
      </c>
      <c r="N105" s="795">
        <v>1</v>
      </c>
      <c r="O105" s="795">
        <v>106</v>
      </c>
      <c r="P105" s="812">
        <v>17</v>
      </c>
      <c r="Q105" s="812">
        <v>1802</v>
      </c>
      <c r="R105" s="800">
        <v>0.62962962962962965</v>
      </c>
      <c r="S105" s="813">
        <v>106</v>
      </c>
    </row>
    <row r="106" spans="1:19" ht="14.4" customHeight="1" x14ac:dyDescent="0.3">
      <c r="A106" s="794" t="s">
        <v>3363</v>
      </c>
      <c r="B106" s="795" t="s">
        <v>3364</v>
      </c>
      <c r="C106" s="795" t="s">
        <v>601</v>
      </c>
      <c r="D106" s="795" t="s">
        <v>1526</v>
      </c>
      <c r="E106" s="795" t="s">
        <v>3374</v>
      </c>
      <c r="F106" s="795" t="s">
        <v>3387</v>
      </c>
      <c r="G106" s="795" t="s">
        <v>3388</v>
      </c>
      <c r="H106" s="812">
        <v>7</v>
      </c>
      <c r="I106" s="812">
        <v>1407</v>
      </c>
      <c r="J106" s="795"/>
      <c r="K106" s="795">
        <v>201</v>
      </c>
      <c r="L106" s="812"/>
      <c r="M106" s="812"/>
      <c r="N106" s="795"/>
      <c r="O106" s="795"/>
      <c r="P106" s="812">
        <v>3</v>
      </c>
      <c r="Q106" s="812">
        <v>621</v>
      </c>
      <c r="R106" s="800"/>
      <c r="S106" s="813">
        <v>207</v>
      </c>
    </row>
    <row r="107" spans="1:19" ht="14.4" customHeight="1" x14ac:dyDescent="0.3">
      <c r="A107" s="794" t="s">
        <v>3363</v>
      </c>
      <c r="B107" s="795" t="s">
        <v>3364</v>
      </c>
      <c r="C107" s="795" t="s">
        <v>601</v>
      </c>
      <c r="D107" s="795" t="s">
        <v>1526</v>
      </c>
      <c r="E107" s="795" t="s">
        <v>3374</v>
      </c>
      <c r="F107" s="795" t="s">
        <v>3389</v>
      </c>
      <c r="G107" s="795" t="s">
        <v>3390</v>
      </c>
      <c r="H107" s="812">
        <v>1</v>
      </c>
      <c r="I107" s="812">
        <v>301</v>
      </c>
      <c r="J107" s="795"/>
      <c r="K107" s="795">
        <v>301</v>
      </c>
      <c r="L107" s="812"/>
      <c r="M107" s="812"/>
      <c r="N107" s="795"/>
      <c r="O107" s="795"/>
      <c r="P107" s="812">
        <v>2</v>
      </c>
      <c r="Q107" s="812">
        <v>618</v>
      </c>
      <c r="R107" s="800"/>
      <c r="S107" s="813">
        <v>309</v>
      </c>
    </row>
    <row r="108" spans="1:19" ht="14.4" customHeight="1" x14ac:dyDescent="0.3">
      <c r="A108" s="794" t="s">
        <v>3363</v>
      </c>
      <c r="B108" s="795" t="s">
        <v>3364</v>
      </c>
      <c r="C108" s="795" t="s">
        <v>601</v>
      </c>
      <c r="D108" s="795" t="s">
        <v>1526</v>
      </c>
      <c r="E108" s="795" t="s">
        <v>3374</v>
      </c>
      <c r="F108" s="795" t="s">
        <v>3393</v>
      </c>
      <c r="G108" s="795" t="s">
        <v>3394</v>
      </c>
      <c r="H108" s="812">
        <v>38</v>
      </c>
      <c r="I108" s="812">
        <v>3610</v>
      </c>
      <c r="J108" s="795">
        <v>1.0129068462401796</v>
      </c>
      <c r="K108" s="795">
        <v>95</v>
      </c>
      <c r="L108" s="812">
        <v>36</v>
      </c>
      <c r="M108" s="812">
        <v>3564</v>
      </c>
      <c r="N108" s="795">
        <v>1</v>
      </c>
      <c r="O108" s="795">
        <v>99</v>
      </c>
      <c r="P108" s="812">
        <v>34</v>
      </c>
      <c r="Q108" s="812">
        <v>3366</v>
      </c>
      <c r="R108" s="800">
        <v>0.94444444444444442</v>
      </c>
      <c r="S108" s="813">
        <v>99</v>
      </c>
    </row>
    <row r="109" spans="1:19" ht="14.4" customHeight="1" x14ac:dyDescent="0.3">
      <c r="A109" s="794" t="s">
        <v>3363</v>
      </c>
      <c r="B109" s="795" t="s">
        <v>3364</v>
      </c>
      <c r="C109" s="795" t="s">
        <v>601</v>
      </c>
      <c r="D109" s="795" t="s">
        <v>1526</v>
      </c>
      <c r="E109" s="795" t="s">
        <v>3374</v>
      </c>
      <c r="F109" s="795" t="s">
        <v>3395</v>
      </c>
      <c r="G109" s="795" t="s">
        <v>3396</v>
      </c>
      <c r="H109" s="812"/>
      <c r="I109" s="812"/>
      <c r="J109" s="795"/>
      <c r="K109" s="795"/>
      <c r="L109" s="812">
        <v>6</v>
      </c>
      <c r="M109" s="812">
        <v>582</v>
      </c>
      <c r="N109" s="795">
        <v>1</v>
      </c>
      <c r="O109" s="795">
        <v>97</v>
      </c>
      <c r="P109" s="812">
        <v>4</v>
      </c>
      <c r="Q109" s="812">
        <v>388</v>
      </c>
      <c r="R109" s="800">
        <v>0.66666666666666663</v>
      </c>
      <c r="S109" s="813">
        <v>97</v>
      </c>
    </row>
    <row r="110" spans="1:19" ht="14.4" customHeight="1" x14ac:dyDescent="0.3">
      <c r="A110" s="794" t="s">
        <v>3363</v>
      </c>
      <c r="B110" s="795" t="s">
        <v>3364</v>
      </c>
      <c r="C110" s="795" t="s">
        <v>601</v>
      </c>
      <c r="D110" s="795" t="s">
        <v>1526</v>
      </c>
      <c r="E110" s="795" t="s">
        <v>3374</v>
      </c>
      <c r="F110" s="795" t="s">
        <v>3397</v>
      </c>
      <c r="G110" s="795" t="s">
        <v>3398</v>
      </c>
      <c r="H110" s="812">
        <v>161</v>
      </c>
      <c r="I110" s="812">
        <v>18998</v>
      </c>
      <c r="J110" s="795">
        <v>0.87154784842646116</v>
      </c>
      <c r="K110" s="795">
        <v>118</v>
      </c>
      <c r="L110" s="812">
        <v>173</v>
      </c>
      <c r="M110" s="812">
        <v>21798</v>
      </c>
      <c r="N110" s="795">
        <v>1</v>
      </c>
      <c r="O110" s="795">
        <v>126</v>
      </c>
      <c r="P110" s="812">
        <v>163</v>
      </c>
      <c r="Q110" s="812">
        <v>20538</v>
      </c>
      <c r="R110" s="800">
        <v>0.94219653179190754</v>
      </c>
      <c r="S110" s="813">
        <v>126</v>
      </c>
    </row>
    <row r="111" spans="1:19" ht="14.4" customHeight="1" x14ac:dyDescent="0.3">
      <c r="A111" s="794" t="s">
        <v>3363</v>
      </c>
      <c r="B111" s="795" t="s">
        <v>3364</v>
      </c>
      <c r="C111" s="795" t="s">
        <v>601</v>
      </c>
      <c r="D111" s="795" t="s">
        <v>1526</v>
      </c>
      <c r="E111" s="795" t="s">
        <v>3374</v>
      </c>
      <c r="F111" s="795" t="s">
        <v>3407</v>
      </c>
      <c r="G111" s="795" t="s">
        <v>3408</v>
      </c>
      <c r="H111" s="812">
        <v>7</v>
      </c>
      <c r="I111" s="812">
        <v>8988</v>
      </c>
      <c r="J111" s="795">
        <v>6.8663101604278074</v>
      </c>
      <c r="K111" s="795">
        <v>1284</v>
      </c>
      <c r="L111" s="812">
        <v>1</v>
      </c>
      <c r="M111" s="812">
        <v>1309</v>
      </c>
      <c r="N111" s="795">
        <v>1</v>
      </c>
      <c r="O111" s="795">
        <v>1309</v>
      </c>
      <c r="P111" s="812"/>
      <c r="Q111" s="812"/>
      <c r="R111" s="800"/>
      <c r="S111" s="813"/>
    </row>
    <row r="112" spans="1:19" ht="14.4" customHeight="1" x14ac:dyDescent="0.3">
      <c r="A112" s="794" t="s">
        <v>3363</v>
      </c>
      <c r="B112" s="795" t="s">
        <v>3364</v>
      </c>
      <c r="C112" s="795" t="s">
        <v>601</v>
      </c>
      <c r="D112" s="795" t="s">
        <v>1526</v>
      </c>
      <c r="E112" s="795" t="s">
        <v>3374</v>
      </c>
      <c r="F112" s="795" t="s">
        <v>3413</v>
      </c>
      <c r="G112" s="795" t="s">
        <v>3414</v>
      </c>
      <c r="H112" s="812">
        <v>1</v>
      </c>
      <c r="I112" s="812">
        <v>157</v>
      </c>
      <c r="J112" s="795">
        <v>0.96319018404907975</v>
      </c>
      <c r="K112" s="795">
        <v>157</v>
      </c>
      <c r="L112" s="812">
        <v>1</v>
      </c>
      <c r="M112" s="812">
        <v>163</v>
      </c>
      <c r="N112" s="795">
        <v>1</v>
      </c>
      <c r="O112" s="795">
        <v>163</v>
      </c>
      <c r="P112" s="812"/>
      <c r="Q112" s="812"/>
      <c r="R112" s="800"/>
      <c r="S112" s="813"/>
    </row>
    <row r="113" spans="1:19" ht="14.4" customHeight="1" x14ac:dyDescent="0.3">
      <c r="A113" s="794" t="s">
        <v>3363</v>
      </c>
      <c r="B113" s="795" t="s">
        <v>3364</v>
      </c>
      <c r="C113" s="795" t="s">
        <v>601</v>
      </c>
      <c r="D113" s="795" t="s">
        <v>1526</v>
      </c>
      <c r="E113" s="795" t="s">
        <v>3374</v>
      </c>
      <c r="F113" s="795" t="s">
        <v>3417</v>
      </c>
      <c r="G113" s="795" t="s">
        <v>3418</v>
      </c>
      <c r="H113" s="812"/>
      <c r="I113" s="812"/>
      <c r="J113" s="795"/>
      <c r="K113" s="795"/>
      <c r="L113" s="812">
        <v>134</v>
      </c>
      <c r="M113" s="812">
        <v>4466.67</v>
      </c>
      <c r="N113" s="795">
        <v>1</v>
      </c>
      <c r="O113" s="795">
        <v>33.333358208955225</v>
      </c>
      <c r="P113" s="812">
        <v>123</v>
      </c>
      <c r="Q113" s="812">
        <v>4099.99</v>
      </c>
      <c r="R113" s="800">
        <v>0.91790752394960895</v>
      </c>
      <c r="S113" s="813">
        <v>33.333252032520321</v>
      </c>
    </row>
    <row r="114" spans="1:19" ht="14.4" customHeight="1" x14ac:dyDescent="0.3">
      <c r="A114" s="794" t="s">
        <v>3363</v>
      </c>
      <c r="B114" s="795" t="s">
        <v>3364</v>
      </c>
      <c r="C114" s="795" t="s">
        <v>601</v>
      </c>
      <c r="D114" s="795" t="s">
        <v>1526</v>
      </c>
      <c r="E114" s="795" t="s">
        <v>3374</v>
      </c>
      <c r="F114" s="795" t="s">
        <v>3419</v>
      </c>
      <c r="G114" s="795" t="s">
        <v>3420</v>
      </c>
      <c r="H114" s="812">
        <v>1</v>
      </c>
      <c r="I114" s="812">
        <v>108</v>
      </c>
      <c r="J114" s="795"/>
      <c r="K114" s="795">
        <v>108</v>
      </c>
      <c r="L114" s="812"/>
      <c r="M114" s="812"/>
      <c r="N114" s="795"/>
      <c r="O114" s="795"/>
      <c r="P114" s="812"/>
      <c r="Q114" s="812"/>
      <c r="R114" s="800"/>
      <c r="S114" s="813"/>
    </row>
    <row r="115" spans="1:19" ht="14.4" customHeight="1" x14ac:dyDescent="0.3">
      <c r="A115" s="794" t="s">
        <v>3363</v>
      </c>
      <c r="B115" s="795" t="s">
        <v>3364</v>
      </c>
      <c r="C115" s="795" t="s">
        <v>601</v>
      </c>
      <c r="D115" s="795" t="s">
        <v>1526</v>
      </c>
      <c r="E115" s="795" t="s">
        <v>3374</v>
      </c>
      <c r="F115" s="795" t="s">
        <v>3421</v>
      </c>
      <c r="G115" s="795" t="s">
        <v>3422</v>
      </c>
      <c r="H115" s="812"/>
      <c r="I115" s="812"/>
      <c r="J115" s="795"/>
      <c r="K115" s="795"/>
      <c r="L115" s="812">
        <v>1</v>
      </c>
      <c r="M115" s="812">
        <v>37</v>
      </c>
      <c r="N115" s="795">
        <v>1</v>
      </c>
      <c r="O115" s="795">
        <v>37</v>
      </c>
      <c r="P115" s="812"/>
      <c r="Q115" s="812"/>
      <c r="R115" s="800"/>
      <c r="S115" s="813"/>
    </row>
    <row r="116" spans="1:19" ht="14.4" customHeight="1" x14ac:dyDescent="0.3">
      <c r="A116" s="794" t="s">
        <v>3363</v>
      </c>
      <c r="B116" s="795" t="s">
        <v>3364</v>
      </c>
      <c r="C116" s="795" t="s">
        <v>601</v>
      </c>
      <c r="D116" s="795" t="s">
        <v>1526</v>
      </c>
      <c r="E116" s="795" t="s">
        <v>3374</v>
      </c>
      <c r="F116" s="795" t="s">
        <v>3423</v>
      </c>
      <c r="G116" s="795" t="s">
        <v>3424</v>
      </c>
      <c r="H116" s="812">
        <v>8</v>
      </c>
      <c r="I116" s="812">
        <v>656</v>
      </c>
      <c r="J116" s="795">
        <v>7.6279069767441863</v>
      </c>
      <c r="K116" s="795">
        <v>82</v>
      </c>
      <c r="L116" s="812">
        <v>1</v>
      </c>
      <c r="M116" s="812">
        <v>86</v>
      </c>
      <c r="N116" s="795">
        <v>1</v>
      </c>
      <c r="O116" s="795">
        <v>86</v>
      </c>
      <c r="P116" s="812">
        <v>1</v>
      </c>
      <c r="Q116" s="812">
        <v>86</v>
      </c>
      <c r="R116" s="800">
        <v>1</v>
      </c>
      <c r="S116" s="813">
        <v>86</v>
      </c>
    </row>
    <row r="117" spans="1:19" ht="14.4" customHeight="1" x14ac:dyDescent="0.3">
      <c r="A117" s="794" t="s">
        <v>3363</v>
      </c>
      <c r="B117" s="795" t="s">
        <v>3364</v>
      </c>
      <c r="C117" s="795" t="s">
        <v>601</v>
      </c>
      <c r="D117" s="795" t="s">
        <v>1526</v>
      </c>
      <c r="E117" s="795" t="s">
        <v>3374</v>
      </c>
      <c r="F117" s="795" t="s">
        <v>3425</v>
      </c>
      <c r="G117" s="795" t="s">
        <v>3426</v>
      </c>
      <c r="H117" s="812">
        <v>8</v>
      </c>
      <c r="I117" s="812">
        <v>248</v>
      </c>
      <c r="J117" s="795">
        <v>7.75</v>
      </c>
      <c r="K117" s="795">
        <v>31</v>
      </c>
      <c r="L117" s="812">
        <v>1</v>
      </c>
      <c r="M117" s="812">
        <v>32</v>
      </c>
      <c r="N117" s="795">
        <v>1</v>
      </c>
      <c r="O117" s="795">
        <v>32</v>
      </c>
      <c r="P117" s="812">
        <v>1</v>
      </c>
      <c r="Q117" s="812">
        <v>32</v>
      </c>
      <c r="R117" s="800">
        <v>1</v>
      </c>
      <c r="S117" s="813">
        <v>32</v>
      </c>
    </row>
    <row r="118" spans="1:19" ht="14.4" customHeight="1" x14ac:dyDescent="0.3">
      <c r="A118" s="794" t="s">
        <v>3363</v>
      </c>
      <c r="B118" s="795" t="s">
        <v>3364</v>
      </c>
      <c r="C118" s="795" t="s">
        <v>601</v>
      </c>
      <c r="D118" s="795" t="s">
        <v>1526</v>
      </c>
      <c r="E118" s="795" t="s">
        <v>3374</v>
      </c>
      <c r="F118" s="795" t="s">
        <v>3427</v>
      </c>
      <c r="G118" s="795" t="s">
        <v>3428</v>
      </c>
      <c r="H118" s="812"/>
      <c r="I118" s="812"/>
      <c r="J118" s="795"/>
      <c r="K118" s="795"/>
      <c r="L118" s="812">
        <v>2</v>
      </c>
      <c r="M118" s="812">
        <v>788</v>
      </c>
      <c r="N118" s="795">
        <v>1</v>
      </c>
      <c r="O118" s="795">
        <v>394</v>
      </c>
      <c r="P118" s="812">
        <v>8</v>
      </c>
      <c r="Q118" s="812">
        <v>3160</v>
      </c>
      <c r="R118" s="800">
        <v>4.0101522842639596</v>
      </c>
      <c r="S118" s="813">
        <v>395</v>
      </c>
    </row>
    <row r="119" spans="1:19" ht="14.4" customHeight="1" x14ac:dyDescent="0.3">
      <c r="A119" s="794" t="s">
        <v>3363</v>
      </c>
      <c r="B119" s="795" t="s">
        <v>3364</v>
      </c>
      <c r="C119" s="795" t="s">
        <v>601</v>
      </c>
      <c r="D119" s="795" t="s">
        <v>1526</v>
      </c>
      <c r="E119" s="795" t="s">
        <v>3374</v>
      </c>
      <c r="F119" s="795" t="s">
        <v>3431</v>
      </c>
      <c r="G119" s="795" t="s">
        <v>3432</v>
      </c>
      <c r="H119" s="812">
        <v>1</v>
      </c>
      <c r="I119" s="812">
        <v>158</v>
      </c>
      <c r="J119" s="795"/>
      <c r="K119" s="795">
        <v>158</v>
      </c>
      <c r="L119" s="812"/>
      <c r="M119" s="812"/>
      <c r="N119" s="795"/>
      <c r="O119" s="795"/>
      <c r="P119" s="812">
        <v>2</v>
      </c>
      <c r="Q119" s="812">
        <v>324</v>
      </c>
      <c r="R119" s="800"/>
      <c r="S119" s="813">
        <v>162</v>
      </c>
    </row>
    <row r="120" spans="1:19" ht="14.4" customHeight="1" x14ac:dyDescent="0.3">
      <c r="A120" s="794" t="s">
        <v>3363</v>
      </c>
      <c r="B120" s="795" t="s">
        <v>3364</v>
      </c>
      <c r="C120" s="795" t="s">
        <v>601</v>
      </c>
      <c r="D120" s="795" t="s">
        <v>1526</v>
      </c>
      <c r="E120" s="795" t="s">
        <v>3374</v>
      </c>
      <c r="F120" s="795" t="s">
        <v>3435</v>
      </c>
      <c r="G120" s="795" t="s">
        <v>3436</v>
      </c>
      <c r="H120" s="812">
        <v>10</v>
      </c>
      <c r="I120" s="812">
        <v>2350</v>
      </c>
      <c r="J120" s="795">
        <v>1.8725099601593624</v>
      </c>
      <c r="K120" s="795">
        <v>235</v>
      </c>
      <c r="L120" s="812">
        <v>5</v>
      </c>
      <c r="M120" s="812">
        <v>1255</v>
      </c>
      <c r="N120" s="795">
        <v>1</v>
      </c>
      <c r="O120" s="795">
        <v>251</v>
      </c>
      <c r="P120" s="812">
        <v>4</v>
      </c>
      <c r="Q120" s="812">
        <v>1004</v>
      </c>
      <c r="R120" s="800">
        <v>0.8</v>
      </c>
      <c r="S120" s="813">
        <v>251</v>
      </c>
    </row>
    <row r="121" spans="1:19" ht="14.4" customHeight="1" x14ac:dyDescent="0.3">
      <c r="A121" s="794" t="s">
        <v>3363</v>
      </c>
      <c r="B121" s="795" t="s">
        <v>3364</v>
      </c>
      <c r="C121" s="795" t="s">
        <v>601</v>
      </c>
      <c r="D121" s="795" t="s">
        <v>1526</v>
      </c>
      <c r="E121" s="795" t="s">
        <v>3374</v>
      </c>
      <c r="F121" s="795" t="s">
        <v>3437</v>
      </c>
      <c r="G121" s="795" t="s">
        <v>3438</v>
      </c>
      <c r="H121" s="812"/>
      <c r="I121" s="812"/>
      <c r="J121" s="795"/>
      <c r="K121" s="795"/>
      <c r="L121" s="812"/>
      <c r="M121" s="812"/>
      <c r="N121" s="795"/>
      <c r="O121" s="795"/>
      <c r="P121" s="812">
        <v>1</v>
      </c>
      <c r="Q121" s="812">
        <v>120</v>
      </c>
      <c r="R121" s="800"/>
      <c r="S121" s="813">
        <v>120</v>
      </c>
    </row>
    <row r="122" spans="1:19" ht="14.4" customHeight="1" x14ac:dyDescent="0.3">
      <c r="A122" s="794" t="s">
        <v>3363</v>
      </c>
      <c r="B122" s="795" t="s">
        <v>3364</v>
      </c>
      <c r="C122" s="795" t="s">
        <v>601</v>
      </c>
      <c r="D122" s="795" t="s">
        <v>1526</v>
      </c>
      <c r="E122" s="795" t="s">
        <v>3374</v>
      </c>
      <c r="F122" s="795" t="s">
        <v>3453</v>
      </c>
      <c r="G122" s="795" t="s">
        <v>3454</v>
      </c>
      <c r="H122" s="812">
        <v>13</v>
      </c>
      <c r="I122" s="812">
        <v>1443</v>
      </c>
      <c r="J122" s="795">
        <v>1.140711462450593</v>
      </c>
      <c r="K122" s="795">
        <v>111</v>
      </c>
      <c r="L122" s="812">
        <v>11</v>
      </c>
      <c r="M122" s="812">
        <v>1265</v>
      </c>
      <c r="N122" s="795">
        <v>1</v>
      </c>
      <c r="O122" s="795">
        <v>115</v>
      </c>
      <c r="P122" s="812">
        <v>14</v>
      </c>
      <c r="Q122" s="812">
        <v>1610</v>
      </c>
      <c r="R122" s="800">
        <v>1.2727272727272727</v>
      </c>
      <c r="S122" s="813">
        <v>115</v>
      </c>
    </row>
    <row r="123" spans="1:19" ht="14.4" customHeight="1" x14ac:dyDescent="0.3">
      <c r="A123" s="794" t="s">
        <v>3363</v>
      </c>
      <c r="B123" s="795" t="s">
        <v>3364</v>
      </c>
      <c r="C123" s="795" t="s">
        <v>601</v>
      </c>
      <c r="D123" s="795" t="s">
        <v>1526</v>
      </c>
      <c r="E123" s="795" t="s">
        <v>3374</v>
      </c>
      <c r="F123" s="795" t="s">
        <v>3463</v>
      </c>
      <c r="G123" s="795" t="s">
        <v>3464</v>
      </c>
      <c r="H123" s="812">
        <v>3</v>
      </c>
      <c r="I123" s="812">
        <v>669</v>
      </c>
      <c r="J123" s="795">
        <v>0.736784140969163</v>
      </c>
      <c r="K123" s="795">
        <v>223</v>
      </c>
      <c r="L123" s="812">
        <v>4</v>
      </c>
      <c r="M123" s="812">
        <v>908</v>
      </c>
      <c r="N123" s="795">
        <v>1</v>
      </c>
      <c r="O123" s="795">
        <v>227</v>
      </c>
      <c r="P123" s="812">
        <v>10</v>
      </c>
      <c r="Q123" s="812">
        <v>2270</v>
      </c>
      <c r="R123" s="800">
        <v>2.5</v>
      </c>
      <c r="S123" s="813">
        <v>227</v>
      </c>
    </row>
    <row r="124" spans="1:19" ht="14.4" customHeight="1" x14ac:dyDescent="0.3">
      <c r="A124" s="794" t="s">
        <v>3363</v>
      </c>
      <c r="B124" s="795" t="s">
        <v>3364</v>
      </c>
      <c r="C124" s="795" t="s">
        <v>601</v>
      </c>
      <c r="D124" s="795" t="s">
        <v>1527</v>
      </c>
      <c r="E124" s="795" t="s">
        <v>3365</v>
      </c>
      <c r="F124" s="795" t="s">
        <v>3366</v>
      </c>
      <c r="G124" s="795" t="s">
        <v>3367</v>
      </c>
      <c r="H124" s="812">
        <v>0.89999999999999991</v>
      </c>
      <c r="I124" s="812">
        <v>135.94</v>
      </c>
      <c r="J124" s="795">
        <v>0.60009711737959648</v>
      </c>
      <c r="K124" s="795">
        <v>151.04444444444445</v>
      </c>
      <c r="L124" s="812">
        <v>1.5</v>
      </c>
      <c r="M124" s="812">
        <v>226.53</v>
      </c>
      <c r="N124" s="795">
        <v>1</v>
      </c>
      <c r="O124" s="795">
        <v>151.02000000000001</v>
      </c>
      <c r="P124" s="812">
        <v>0.60000000000000009</v>
      </c>
      <c r="Q124" s="812">
        <v>90.62</v>
      </c>
      <c r="R124" s="800">
        <v>0.40003531541076237</v>
      </c>
      <c r="S124" s="813">
        <v>151.03333333333333</v>
      </c>
    </row>
    <row r="125" spans="1:19" ht="14.4" customHeight="1" x14ac:dyDescent="0.3">
      <c r="A125" s="794" t="s">
        <v>3363</v>
      </c>
      <c r="B125" s="795" t="s">
        <v>3364</v>
      </c>
      <c r="C125" s="795" t="s">
        <v>601</v>
      </c>
      <c r="D125" s="795" t="s">
        <v>1527</v>
      </c>
      <c r="E125" s="795" t="s">
        <v>3365</v>
      </c>
      <c r="F125" s="795" t="s">
        <v>3368</v>
      </c>
      <c r="G125" s="795" t="s">
        <v>1455</v>
      </c>
      <c r="H125" s="812"/>
      <c r="I125" s="812"/>
      <c r="J125" s="795"/>
      <c r="K125" s="795"/>
      <c r="L125" s="812">
        <v>0.2</v>
      </c>
      <c r="M125" s="812">
        <v>15.37</v>
      </c>
      <c r="N125" s="795">
        <v>1</v>
      </c>
      <c r="O125" s="795">
        <v>76.849999999999994</v>
      </c>
      <c r="P125" s="812"/>
      <c r="Q125" s="812"/>
      <c r="R125" s="800"/>
      <c r="S125" s="813"/>
    </row>
    <row r="126" spans="1:19" ht="14.4" customHeight="1" x14ac:dyDescent="0.3">
      <c r="A126" s="794" t="s">
        <v>3363</v>
      </c>
      <c r="B126" s="795" t="s">
        <v>3364</v>
      </c>
      <c r="C126" s="795" t="s">
        <v>601</v>
      </c>
      <c r="D126" s="795" t="s">
        <v>1527</v>
      </c>
      <c r="E126" s="795" t="s">
        <v>3365</v>
      </c>
      <c r="F126" s="795" t="s">
        <v>3371</v>
      </c>
      <c r="G126" s="795" t="s">
        <v>1107</v>
      </c>
      <c r="H126" s="812">
        <v>0.2</v>
      </c>
      <c r="I126" s="812">
        <v>52.81</v>
      </c>
      <c r="J126" s="795">
        <v>0.5</v>
      </c>
      <c r="K126" s="795">
        <v>264.05</v>
      </c>
      <c r="L126" s="812">
        <v>0.4</v>
      </c>
      <c r="M126" s="812">
        <v>105.62</v>
      </c>
      <c r="N126" s="795">
        <v>1</v>
      </c>
      <c r="O126" s="795">
        <v>264.05</v>
      </c>
      <c r="P126" s="812">
        <v>0.14000000000000001</v>
      </c>
      <c r="Q126" s="812">
        <v>30.04</v>
      </c>
      <c r="R126" s="800">
        <v>0.28441583033516377</v>
      </c>
      <c r="S126" s="813">
        <v>214.57142857142856</v>
      </c>
    </row>
    <row r="127" spans="1:19" ht="14.4" customHeight="1" x14ac:dyDescent="0.3">
      <c r="A127" s="794" t="s">
        <v>3363</v>
      </c>
      <c r="B127" s="795" t="s">
        <v>3364</v>
      </c>
      <c r="C127" s="795" t="s">
        <v>601</v>
      </c>
      <c r="D127" s="795" t="s">
        <v>1527</v>
      </c>
      <c r="E127" s="795" t="s">
        <v>3374</v>
      </c>
      <c r="F127" s="795" t="s">
        <v>3375</v>
      </c>
      <c r="G127" s="795" t="s">
        <v>3376</v>
      </c>
      <c r="H127" s="812">
        <v>14</v>
      </c>
      <c r="I127" s="812">
        <v>1134</v>
      </c>
      <c r="J127" s="795">
        <v>1.0509731232622799</v>
      </c>
      <c r="K127" s="795">
        <v>81</v>
      </c>
      <c r="L127" s="812">
        <v>13</v>
      </c>
      <c r="M127" s="812">
        <v>1079</v>
      </c>
      <c r="N127" s="795">
        <v>1</v>
      </c>
      <c r="O127" s="795">
        <v>83</v>
      </c>
      <c r="P127" s="812">
        <v>8</v>
      </c>
      <c r="Q127" s="812">
        <v>664</v>
      </c>
      <c r="R127" s="800">
        <v>0.61538461538461542</v>
      </c>
      <c r="S127" s="813">
        <v>83</v>
      </c>
    </row>
    <row r="128" spans="1:19" ht="14.4" customHeight="1" x14ac:dyDescent="0.3">
      <c r="A128" s="794" t="s">
        <v>3363</v>
      </c>
      <c r="B128" s="795" t="s">
        <v>3364</v>
      </c>
      <c r="C128" s="795" t="s">
        <v>601</v>
      </c>
      <c r="D128" s="795" t="s">
        <v>1527</v>
      </c>
      <c r="E128" s="795" t="s">
        <v>3374</v>
      </c>
      <c r="F128" s="795" t="s">
        <v>3377</v>
      </c>
      <c r="G128" s="795" t="s">
        <v>3378</v>
      </c>
      <c r="H128" s="812"/>
      <c r="I128" s="812"/>
      <c r="J128" s="795"/>
      <c r="K128" s="795"/>
      <c r="L128" s="812">
        <v>1</v>
      </c>
      <c r="M128" s="812">
        <v>106</v>
      </c>
      <c r="N128" s="795">
        <v>1</v>
      </c>
      <c r="O128" s="795">
        <v>106</v>
      </c>
      <c r="P128" s="812"/>
      <c r="Q128" s="812"/>
      <c r="R128" s="800"/>
      <c r="S128" s="813"/>
    </row>
    <row r="129" spans="1:19" ht="14.4" customHeight="1" x14ac:dyDescent="0.3">
      <c r="A129" s="794" t="s">
        <v>3363</v>
      </c>
      <c r="B129" s="795" t="s">
        <v>3364</v>
      </c>
      <c r="C129" s="795" t="s">
        <v>601</v>
      </c>
      <c r="D129" s="795" t="s">
        <v>1527</v>
      </c>
      <c r="E129" s="795" t="s">
        <v>3374</v>
      </c>
      <c r="F129" s="795" t="s">
        <v>3387</v>
      </c>
      <c r="G129" s="795" t="s">
        <v>3388</v>
      </c>
      <c r="H129" s="812"/>
      <c r="I129" s="812"/>
      <c r="J129" s="795"/>
      <c r="K129" s="795"/>
      <c r="L129" s="812">
        <v>1</v>
      </c>
      <c r="M129" s="812">
        <v>207</v>
      </c>
      <c r="N129" s="795">
        <v>1</v>
      </c>
      <c r="O129" s="795">
        <v>207</v>
      </c>
      <c r="P129" s="812"/>
      <c r="Q129" s="812"/>
      <c r="R129" s="800"/>
      <c r="S129" s="813"/>
    </row>
    <row r="130" spans="1:19" ht="14.4" customHeight="1" x14ac:dyDescent="0.3">
      <c r="A130" s="794" t="s">
        <v>3363</v>
      </c>
      <c r="B130" s="795" t="s">
        <v>3364</v>
      </c>
      <c r="C130" s="795" t="s">
        <v>601</v>
      </c>
      <c r="D130" s="795" t="s">
        <v>1527</v>
      </c>
      <c r="E130" s="795" t="s">
        <v>3374</v>
      </c>
      <c r="F130" s="795" t="s">
        <v>3389</v>
      </c>
      <c r="G130" s="795" t="s">
        <v>3390</v>
      </c>
      <c r="H130" s="812"/>
      <c r="I130" s="812"/>
      <c r="J130" s="795"/>
      <c r="K130" s="795"/>
      <c r="L130" s="812">
        <v>1</v>
      </c>
      <c r="M130" s="812">
        <v>309</v>
      </c>
      <c r="N130" s="795">
        <v>1</v>
      </c>
      <c r="O130" s="795">
        <v>309</v>
      </c>
      <c r="P130" s="812"/>
      <c r="Q130" s="812"/>
      <c r="R130" s="800"/>
      <c r="S130" s="813"/>
    </row>
    <row r="131" spans="1:19" ht="14.4" customHeight="1" x14ac:dyDescent="0.3">
      <c r="A131" s="794" t="s">
        <v>3363</v>
      </c>
      <c r="B131" s="795" t="s">
        <v>3364</v>
      </c>
      <c r="C131" s="795" t="s">
        <v>601</v>
      </c>
      <c r="D131" s="795" t="s">
        <v>1527</v>
      </c>
      <c r="E131" s="795" t="s">
        <v>3374</v>
      </c>
      <c r="F131" s="795" t="s">
        <v>3393</v>
      </c>
      <c r="G131" s="795" t="s">
        <v>3394</v>
      </c>
      <c r="H131" s="812">
        <v>6</v>
      </c>
      <c r="I131" s="812">
        <v>570</v>
      </c>
      <c r="J131" s="795">
        <v>0.71969696969696972</v>
      </c>
      <c r="K131" s="795">
        <v>95</v>
      </c>
      <c r="L131" s="812">
        <v>8</v>
      </c>
      <c r="M131" s="812">
        <v>792</v>
      </c>
      <c r="N131" s="795">
        <v>1</v>
      </c>
      <c r="O131" s="795">
        <v>99</v>
      </c>
      <c r="P131" s="812">
        <v>4</v>
      </c>
      <c r="Q131" s="812">
        <v>396</v>
      </c>
      <c r="R131" s="800">
        <v>0.5</v>
      </c>
      <c r="S131" s="813">
        <v>99</v>
      </c>
    </row>
    <row r="132" spans="1:19" ht="14.4" customHeight="1" x14ac:dyDescent="0.3">
      <c r="A132" s="794" t="s">
        <v>3363</v>
      </c>
      <c r="B132" s="795" t="s">
        <v>3364</v>
      </c>
      <c r="C132" s="795" t="s">
        <v>601</v>
      </c>
      <c r="D132" s="795" t="s">
        <v>1527</v>
      </c>
      <c r="E132" s="795" t="s">
        <v>3374</v>
      </c>
      <c r="F132" s="795" t="s">
        <v>3395</v>
      </c>
      <c r="G132" s="795" t="s">
        <v>3396</v>
      </c>
      <c r="H132" s="812">
        <v>2</v>
      </c>
      <c r="I132" s="812">
        <v>186</v>
      </c>
      <c r="J132" s="795">
        <v>0.63917525773195871</v>
      </c>
      <c r="K132" s="795">
        <v>93</v>
      </c>
      <c r="L132" s="812">
        <v>3</v>
      </c>
      <c r="M132" s="812">
        <v>291</v>
      </c>
      <c r="N132" s="795">
        <v>1</v>
      </c>
      <c r="O132" s="795">
        <v>97</v>
      </c>
      <c r="P132" s="812">
        <v>2</v>
      </c>
      <c r="Q132" s="812">
        <v>194</v>
      </c>
      <c r="R132" s="800">
        <v>0.66666666666666663</v>
      </c>
      <c r="S132" s="813">
        <v>97</v>
      </c>
    </row>
    <row r="133" spans="1:19" ht="14.4" customHeight="1" x14ac:dyDescent="0.3">
      <c r="A133" s="794" t="s">
        <v>3363</v>
      </c>
      <c r="B133" s="795" t="s">
        <v>3364</v>
      </c>
      <c r="C133" s="795" t="s">
        <v>601</v>
      </c>
      <c r="D133" s="795" t="s">
        <v>1527</v>
      </c>
      <c r="E133" s="795" t="s">
        <v>3374</v>
      </c>
      <c r="F133" s="795" t="s">
        <v>3397</v>
      </c>
      <c r="G133" s="795" t="s">
        <v>3398</v>
      </c>
      <c r="H133" s="812">
        <v>169</v>
      </c>
      <c r="I133" s="812">
        <v>19942</v>
      </c>
      <c r="J133" s="795">
        <v>0.66221690907883379</v>
      </c>
      <c r="K133" s="795">
        <v>118</v>
      </c>
      <c r="L133" s="812">
        <v>239</v>
      </c>
      <c r="M133" s="812">
        <v>30114</v>
      </c>
      <c r="N133" s="795">
        <v>1</v>
      </c>
      <c r="O133" s="795">
        <v>126</v>
      </c>
      <c r="P133" s="812">
        <v>159</v>
      </c>
      <c r="Q133" s="812">
        <v>20034</v>
      </c>
      <c r="R133" s="800">
        <v>0.66527196652719667</v>
      </c>
      <c r="S133" s="813">
        <v>126</v>
      </c>
    </row>
    <row r="134" spans="1:19" ht="14.4" customHeight="1" x14ac:dyDescent="0.3">
      <c r="A134" s="794" t="s">
        <v>3363</v>
      </c>
      <c r="B134" s="795" t="s">
        <v>3364</v>
      </c>
      <c r="C134" s="795" t="s">
        <v>601</v>
      </c>
      <c r="D134" s="795" t="s">
        <v>1527</v>
      </c>
      <c r="E134" s="795" t="s">
        <v>3374</v>
      </c>
      <c r="F134" s="795" t="s">
        <v>3405</v>
      </c>
      <c r="G134" s="795" t="s">
        <v>3406</v>
      </c>
      <c r="H134" s="812">
        <v>1</v>
      </c>
      <c r="I134" s="812">
        <v>1637</v>
      </c>
      <c r="J134" s="795">
        <v>0.24403697078115683</v>
      </c>
      <c r="K134" s="795">
        <v>1637</v>
      </c>
      <c r="L134" s="812">
        <v>4</v>
      </c>
      <c r="M134" s="812">
        <v>6708</v>
      </c>
      <c r="N134" s="795">
        <v>1</v>
      </c>
      <c r="O134" s="795">
        <v>1677</v>
      </c>
      <c r="P134" s="812">
        <v>1</v>
      </c>
      <c r="Q134" s="812">
        <v>1678</v>
      </c>
      <c r="R134" s="800">
        <v>0.25014907573047107</v>
      </c>
      <c r="S134" s="813">
        <v>1678</v>
      </c>
    </row>
    <row r="135" spans="1:19" ht="14.4" customHeight="1" x14ac:dyDescent="0.3">
      <c r="A135" s="794" t="s">
        <v>3363</v>
      </c>
      <c r="B135" s="795" t="s">
        <v>3364</v>
      </c>
      <c r="C135" s="795" t="s">
        <v>601</v>
      </c>
      <c r="D135" s="795" t="s">
        <v>1527</v>
      </c>
      <c r="E135" s="795" t="s">
        <v>3374</v>
      </c>
      <c r="F135" s="795" t="s">
        <v>3407</v>
      </c>
      <c r="G135" s="795" t="s">
        <v>3408</v>
      </c>
      <c r="H135" s="812">
        <v>2</v>
      </c>
      <c r="I135" s="812">
        <v>2568</v>
      </c>
      <c r="J135" s="795">
        <v>1.9618029029793735</v>
      </c>
      <c r="K135" s="795">
        <v>1284</v>
      </c>
      <c r="L135" s="812">
        <v>1</v>
      </c>
      <c r="M135" s="812">
        <v>1309</v>
      </c>
      <c r="N135" s="795">
        <v>1</v>
      </c>
      <c r="O135" s="795">
        <v>1309</v>
      </c>
      <c r="P135" s="812"/>
      <c r="Q135" s="812"/>
      <c r="R135" s="800"/>
      <c r="S135" s="813"/>
    </row>
    <row r="136" spans="1:19" ht="14.4" customHeight="1" x14ac:dyDescent="0.3">
      <c r="A136" s="794" t="s">
        <v>3363</v>
      </c>
      <c r="B136" s="795" t="s">
        <v>3364</v>
      </c>
      <c r="C136" s="795" t="s">
        <v>601</v>
      </c>
      <c r="D136" s="795" t="s">
        <v>1527</v>
      </c>
      <c r="E136" s="795" t="s">
        <v>3374</v>
      </c>
      <c r="F136" s="795" t="s">
        <v>3409</v>
      </c>
      <c r="G136" s="795" t="s">
        <v>3410</v>
      </c>
      <c r="H136" s="812"/>
      <c r="I136" s="812"/>
      <c r="J136" s="795"/>
      <c r="K136" s="795"/>
      <c r="L136" s="812">
        <v>1</v>
      </c>
      <c r="M136" s="812">
        <v>971</v>
      </c>
      <c r="N136" s="795">
        <v>1</v>
      </c>
      <c r="O136" s="795">
        <v>971</v>
      </c>
      <c r="P136" s="812"/>
      <c r="Q136" s="812"/>
      <c r="R136" s="800"/>
      <c r="S136" s="813"/>
    </row>
    <row r="137" spans="1:19" ht="14.4" customHeight="1" x14ac:dyDescent="0.3">
      <c r="A137" s="794" t="s">
        <v>3363</v>
      </c>
      <c r="B137" s="795" t="s">
        <v>3364</v>
      </c>
      <c r="C137" s="795" t="s">
        <v>601</v>
      </c>
      <c r="D137" s="795" t="s">
        <v>1527</v>
      </c>
      <c r="E137" s="795" t="s">
        <v>3374</v>
      </c>
      <c r="F137" s="795" t="s">
        <v>3411</v>
      </c>
      <c r="G137" s="795" t="s">
        <v>3412</v>
      </c>
      <c r="H137" s="812">
        <v>2</v>
      </c>
      <c r="I137" s="812">
        <v>1920</v>
      </c>
      <c r="J137" s="795"/>
      <c r="K137" s="795">
        <v>960</v>
      </c>
      <c r="L137" s="812"/>
      <c r="M137" s="812"/>
      <c r="N137" s="795"/>
      <c r="O137" s="795"/>
      <c r="P137" s="812"/>
      <c r="Q137" s="812"/>
      <c r="R137" s="800"/>
      <c r="S137" s="813"/>
    </row>
    <row r="138" spans="1:19" ht="14.4" customHeight="1" x14ac:dyDescent="0.3">
      <c r="A138" s="794" t="s">
        <v>3363</v>
      </c>
      <c r="B138" s="795" t="s">
        <v>3364</v>
      </c>
      <c r="C138" s="795" t="s">
        <v>601</v>
      </c>
      <c r="D138" s="795" t="s">
        <v>1527</v>
      </c>
      <c r="E138" s="795" t="s">
        <v>3374</v>
      </c>
      <c r="F138" s="795" t="s">
        <v>3413</v>
      </c>
      <c r="G138" s="795" t="s">
        <v>3414</v>
      </c>
      <c r="H138" s="812">
        <v>2</v>
      </c>
      <c r="I138" s="812">
        <v>314</v>
      </c>
      <c r="J138" s="795">
        <v>0.64212678936605316</v>
      </c>
      <c r="K138" s="795">
        <v>157</v>
      </c>
      <c r="L138" s="812">
        <v>3</v>
      </c>
      <c r="M138" s="812">
        <v>489</v>
      </c>
      <c r="N138" s="795">
        <v>1</v>
      </c>
      <c r="O138" s="795">
        <v>163</v>
      </c>
      <c r="P138" s="812">
        <v>1</v>
      </c>
      <c r="Q138" s="812">
        <v>163</v>
      </c>
      <c r="R138" s="800">
        <v>0.33333333333333331</v>
      </c>
      <c r="S138" s="813">
        <v>163</v>
      </c>
    </row>
    <row r="139" spans="1:19" ht="14.4" customHeight="1" x14ac:dyDescent="0.3">
      <c r="A139" s="794" t="s">
        <v>3363</v>
      </c>
      <c r="B139" s="795" t="s">
        <v>3364</v>
      </c>
      <c r="C139" s="795" t="s">
        <v>601</v>
      </c>
      <c r="D139" s="795" t="s">
        <v>1527</v>
      </c>
      <c r="E139" s="795" t="s">
        <v>3374</v>
      </c>
      <c r="F139" s="795" t="s">
        <v>3417</v>
      </c>
      <c r="G139" s="795" t="s">
        <v>3418</v>
      </c>
      <c r="H139" s="812"/>
      <c r="I139" s="812"/>
      <c r="J139" s="795"/>
      <c r="K139" s="795"/>
      <c r="L139" s="812">
        <v>231</v>
      </c>
      <c r="M139" s="812">
        <v>7699.9800000000005</v>
      </c>
      <c r="N139" s="795">
        <v>1</v>
      </c>
      <c r="O139" s="795">
        <v>33.333246753246755</v>
      </c>
      <c r="P139" s="812">
        <v>136</v>
      </c>
      <c r="Q139" s="812">
        <v>4533.32</v>
      </c>
      <c r="R139" s="800">
        <v>0.58874438634905535</v>
      </c>
      <c r="S139" s="813">
        <v>33.333235294117642</v>
      </c>
    </row>
    <row r="140" spans="1:19" ht="14.4" customHeight="1" x14ac:dyDescent="0.3">
      <c r="A140" s="794" t="s">
        <v>3363</v>
      </c>
      <c r="B140" s="795" t="s">
        <v>3364</v>
      </c>
      <c r="C140" s="795" t="s">
        <v>601</v>
      </c>
      <c r="D140" s="795" t="s">
        <v>1527</v>
      </c>
      <c r="E140" s="795" t="s">
        <v>3374</v>
      </c>
      <c r="F140" s="795" t="s">
        <v>3423</v>
      </c>
      <c r="G140" s="795" t="s">
        <v>3424</v>
      </c>
      <c r="H140" s="812">
        <v>4</v>
      </c>
      <c r="I140" s="812">
        <v>328</v>
      </c>
      <c r="J140" s="795">
        <v>0.42377260981912146</v>
      </c>
      <c r="K140" s="795">
        <v>82</v>
      </c>
      <c r="L140" s="812">
        <v>9</v>
      </c>
      <c r="M140" s="812">
        <v>774</v>
      </c>
      <c r="N140" s="795">
        <v>1</v>
      </c>
      <c r="O140" s="795">
        <v>86</v>
      </c>
      <c r="P140" s="812">
        <v>3</v>
      </c>
      <c r="Q140" s="812">
        <v>258</v>
      </c>
      <c r="R140" s="800">
        <v>0.33333333333333331</v>
      </c>
      <c r="S140" s="813">
        <v>86</v>
      </c>
    </row>
    <row r="141" spans="1:19" ht="14.4" customHeight="1" x14ac:dyDescent="0.3">
      <c r="A141" s="794" t="s">
        <v>3363</v>
      </c>
      <c r="B141" s="795" t="s">
        <v>3364</v>
      </c>
      <c r="C141" s="795" t="s">
        <v>601</v>
      </c>
      <c r="D141" s="795" t="s">
        <v>1527</v>
      </c>
      <c r="E141" s="795" t="s">
        <v>3374</v>
      </c>
      <c r="F141" s="795" t="s">
        <v>3425</v>
      </c>
      <c r="G141" s="795" t="s">
        <v>3426</v>
      </c>
      <c r="H141" s="812">
        <v>4</v>
      </c>
      <c r="I141" s="812">
        <v>124</v>
      </c>
      <c r="J141" s="795">
        <v>0.77500000000000002</v>
      </c>
      <c r="K141" s="795">
        <v>31</v>
      </c>
      <c r="L141" s="812">
        <v>5</v>
      </c>
      <c r="M141" s="812">
        <v>160</v>
      </c>
      <c r="N141" s="795">
        <v>1</v>
      </c>
      <c r="O141" s="795">
        <v>32</v>
      </c>
      <c r="P141" s="812">
        <v>5</v>
      </c>
      <c r="Q141" s="812">
        <v>160</v>
      </c>
      <c r="R141" s="800">
        <v>1</v>
      </c>
      <c r="S141" s="813">
        <v>32</v>
      </c>
    </row>
    <row r="142" spans="1:19" ht="14.4" customHeight="1" x14ac:dyDescent="0.3">
      <c r="A142" s="794" t="s">
        <v>3363</v>
      </c>
      <c r="B142" s="795" t="s">
        <v>3364</v>
      </c>
      <c r="C142" s="795" t="s">
        <v>601</v>
      </c>
      <c r="D142" s="795" t="s">
        <v>1527</v>
      </c>
      <c r="E142" s="795" t="s">
        <v>3374</v>
      </c>
      <c r="F142" s="795" t="s">
        <v>3427</v>
      </c>
      <c r="G142" s="795" t="s">
        <v>3428</v>
      </c>
      <c r="H142" s="812">
        <v>2</v>
      </c>
      <c r="I142" s="812">
        <v>768</v>
      </c>
      <c r="J142" s="795"/>
      <c r="K142" s="795">
        <v>384</v>
      </c>
      <c r="L142" s="812"/>
      <c r="M142" s="812"/>
      <c r="N142" s="795"/>
      <c r="O142" s="795"/>
      <c r="P142" s="812">
        <v>2</v>
      </c>
      <c r="Q142" s="812">
        <v>790</v>
      </c>
      <c r="R142" s="800"/>
      <c r="S142" s="813">
        <v>395</v>
      </c>
    </row>
    <row r="143" spans="1:19" ht="14.4" customHeight="1" x14ac:dyDescent="0.3">
      <c r="A143" s="794" t="s">
        <v>3363</v>
      </c>
      <c r="B143" s="795" t="s">
        <v>3364</v>
      </c>
      <c r="C143" s="795" t="s">
        <v>601</v>
      </c>
      <c r="D143" s="795" t="s">
        <v>1527</v>
      </c>
      <c r="E143" s="795" t="s">
        <v>3374</v>
      </c>
      <c r="F143" s="795" t="s">
        <v>3431</v>
      </c>
      <c r="G143" s="795" t="s">
        <v>3432</v>
      </c>
      <c r="H143" s="812"/>
      <c r="I143" s="812"/>
      <c r="J143" s="795"/>
      <c r="K143" s="795"/>
      <c r="L143" s="812"/>
      <c r="M143" s="812"/>
      <c r="N143" s="795"/>
      <c r="O143" s="795"/>
      <c r="P143" s="812">
        <v>1</v>
      </c>
      <c r="Q143" s="812">
        <v>162</v>
      </c>
      <c r="R143" s="800"/>
      <c r="S143" s="813">
        <v>162</v>
      </c>
    </row>
    <row r="144" spans="1:19" ht="14.4" customHeight="1" x14ac:dyDescent="0.3">
      <c r="A144" s="794" t="s">
        <v>3363</v>
      </c>
      <c r="B144" s="795" t="s">
        <v>3364</v>
      </c>
      <c r="C144" s="795" t="s">
        <v>601</v>
      </c>
      <c r="D144" s="795" t="s">
        <v>1527</v>
      </c>
      <c r="E144" s="795" t="s">
        <v>3374</v>
      </c>
      <c r="F144" s="795" t="s">
        <v>3433</v>
      </c>
      <c r="G144" s="795" t="s">
        <v>3434</v>
      </c>
      <c r="H144" s="812"/>
      <c r="I144" s="812"/>
      <c r="J144" s="795"/>
      <c r="K144" s="795"/>
      <c r="L144" s="812">
        <v>2</v>
      </c>
      <c r="M144" s="812">
        <v>118</v>
      </c>
      <c r="N144" s="795">
        <v>1</v>
      </c>
      <c r="O144" s="795">
        <v>59</v>
      </c>
      <c r="P144" s="812"/>
      <c r="Q144" s="812"/>
      <c r="R144" s="800"/>
      <c r="S144" s="813"/>
    </row>
    <row r="145" spans="1:19" ht="14.4" customHeight="1" x14ac:dyDescent="0.3">
      <c r="A145" s="794" t="s">
        <v>3363</v>
      </c>
      <c r="B145" s="795" t="s">
        <v>3364</v>
      </c>
      <c r="C145" s="795" t="s">
        <v>601</v>
      </c>
      <c r="D145" s="795" t="s">
        <v>1527</v>
      </c>
      <c r="E145" s="795" t="s">
        <v>3374</v>
      </c>
      <c r="F145" s="795" t="s">
        <v>3435</v>
      </c>
      <c r="G145" s="795" t="s">
        <v>3436</v>
      </c>
      <c r="H145" s="812">
        <v>6</v>
      </c>
      <c r="I145" s="812">
        <v>1410</v>
      </c>
      <c r="J145" s="795">
        <v>0.37450199203187251</v>
      </c>
      <c r="K145" s="795">
        <v>235</v>
      </c>
      <c r="L145" s="812">
        <v>15</v>
      </c>
      <c r="M145" s="812">
        <v>3765</v>
      </c>
      <c r="N145" s="795">
        <v>1</v>
      </c>
      <c r="O145" s="795">
        <v>251</v>
      </c>
      <c r="P145" s="812">
        <v>7</v>
      </c>
      <c r="Q145" s="812">
        <v>1757</v>
      </c>
      <c r="R145" s="800">
        <v>0.46666666666666667</v>
      </c>
      <c r="S145" s="813">
        <v>251</v>
      </c>
    </row>
    <row r="146" spans="1:19" ht="14.4" customHeight="1" x14ac:dyDescent="0.3">
      <c r="A146" s="794" t="s">
        <v>3363</v>
      </c>
      <c r="B146" s="795" t="s">
        <v>3364</v>
      </c>
      <c r="C146" s="795" t="s">
        <v>601</v>
      </c>
      <c r="D146" s="795" t="s">
        <v>1527</v>
      </c>
      <c r="E146" s="795" t="s">
        <v>3374</v>
      </c>
      <c r="F146" s="795" t="s">
        <v>3443</v>
      </c>
      <c r="G146" s="795" t="s">
        <v>3444</v>
      </c>
      <c r="H146" s="812"/>
      <c r="I146" s="812"/>
      <c r="J146" s="795"/>
      <c r="K146" s="795"/>
      <c r="L146" s="812">
        <v>1</v>
      </c>
      <c r="M146" s="812">
        <v>59</v>
      </c>
      <c r="N146" s="795">
        <v>1</v>
      </c>
      <c r="O146" s="795">
        <v>59</v>
      </c>
      <c r="P146" s="812"/>
      <c r="Q146" s="812"/>
      <c r="R146" s="800"/>
      <c r="S146" s="813"/>
    </row>
    <row r="147" spans="1:19" ht="14.4" customHeight="1" x14ac:dyDescent="0.3">
      <c r="A147" s="794" t="s">
        <v>3363</v>
      </c>
      <c r="B147" s="795" t="s">
        <v>3364</v>
      </c>
      <c r="C147" s="795" t="s">
        <v>601</v>
      </c>
      <c r="D147" s="795" t="s">
        <v>1527</v>
      </c>
      <c r="E147" s="795" t="s">
        <v>3374</v>
      </c>
      <c r="F147" s="795" t="s">
        <v>3445</v>
      </c>
      <c r="G147" s="795" t="s">
        <v>3446</v>
      </c>
      <c r="H147" s="812">
        <v>1</v>
      </c>
      <c r="I147" s="812">
        <v>179</v>
      </c>
      <c r="J147" s="795">
        <v>0.48907103825136611</v>
      </c>
      <c r="K147" s="795">
        <v>179</v>
      </c>
      <c r="L147" s="812">
        <v>2</v>
      </c>
      <c r="M147" s="812">
        <v>366</v>
      </c>
      <c r="N147" s="795">
        <v>1</v>
      </c>
      <c r="O147" s="795">
        <v>183</v>
      </c>
      <c r="P147" s="812"/>
      <c r="Q147" s="812"/>
      <c r="R147" s="800"/>
      <c r="S147" s="813"/>
    </row>
    <row r="148" spans="1:19" ht="14.4" customHeight="1" x14ac:dyDescent="0.3">
      <c r="A148" s="794" t="s">
        <v>3363</v>
      </c>
      <c r="B148" s="795" t="s">
        <v>3364</v>
      </c>
      <c r="C148" s="795" t="s">
        <v>601</v>
      </c>
      <c r="D148" s="795" t="s">
        <v>1527</v>
      </c>
      <c r="E148" s="795" t="s">
        <v>3374</v>
      </c>
      <c r="F148" s="795" t="s">
        <v>3449</v>
      </c>
      <c r="G148" s="795" t="s">
        <v>3450</v>
      </c>
      <c r="H148" s="812"/>
      <c r="I148" s="812"/>
      <c r="J148" s="795"/>
      <c r="K148" s="795"/>
      <c r="L148" s="812"/>
      <c r="M148" s="812"/>
      <c r="N148" s="795"/>
      <c r="O148" s="795"/>
      <c r="P148" s="812">
        <v>1</v>
      </c>
      <c r="Q148" s="812">
        <v>500</v>
      </c>
      <c r="R148" s="800"/>
      <c r="S148" s="813">
        <v>500</v>
      </c>
    </row>
    <row r="149" spans="1:19" ht="14.4" customHeight="1" x14ac:dyDescent="0.3">
      <c r="A149" s="794" t="s">
        <v>3363</v>
      </c>
      <c r="B149" s="795" t="s">
        <v>3364</v>
      </c>
      <c r="C149" s="795" t="s">
        <v>601</v>
      </c>
      <c r="D149" s="795" t="s">
        <v>1527</v>
      </c>
      <c r="E149" s="795" t="s">
        <v>3374</v>
      </c>
      <c r="F149" s="795" t="s">
        <v>3451</v>
      </c>
      <c r="G149" s="795" t="s">
        <v>3452</v>
      </c>
      <c r="H149" s="812">
        <v>1</v>
      </c>
      <c r="I149" s="812">
        <v>126</v>
      </c>
      <c r="J149" s="795"/>
      <c r="K149" s="795">
        <v>126</v>
      </c>
      <c r="L149" s="812"/>
      <c r="M149" s="812"/>
      <c r="N149" s="795"/>
      <c r="O149" s="795"/>
      <c r="P149" s="812"/>
      <c r="Q149" s="812"/>
      <c r="R149" s="800"/>
      <c r="S149" s="813"/>
    </row>
    <row r="150" spans="1:19" ht="14.4" customHeight="1" x14ac:dyDescent="0.3">
      <c r="A150" s="794" t="s">
        <v>3363</v>
      </c>
      <c r="B150" s="795" t="s">
        <v>3364</v>
      </c>
      <c r="C150" s="795" t="s">
        <v>601</v>
      </c>
      <c r="D150" s="795" t="s">
        <v>1527</v>
      </c>
      <c r="E150" s="795" t="s">
        <v>3374</v>
      </c>
      <c r="F150" s="795" t="s">
        <v>3453</v>
      </c>
      <c r="G150" s="795" t="s">
        <v>3454</v>
      </c>
      <c r="H150" s="812">
        <v>8</v>
      </c>
      <c r="I150" s="812">
        <v>888</v>
      </c>
      <c r="J150" s="795">
        <v>0.55155279503105592</v>
      </c>
      <c r="K150" s="795">
        <v>111</v>
      </c>
      <c r="L150" s="812">
        <v>14</v>
      </c>
      <c r="M150" s="812">
        <v>1610</v>
      </c>
      <c r="N150" s="795">
        <v>1</v>
      </c>
      <c r="O150" s="795">
        <v>115</v>
      </c>
      <c r="P150" s="812">
        <v>5</v>
      </c>
      <c r="Q150" s="812">
        <v>575</v>
      </c>
      <c r="R150" s="800">
        <v>0.35714285714285715</v>
      </c>
      <c r="S150" s="813">
        <v>115</v>
      </c>
    </row>
    <row r="151" spans="1:19" ht="14.4" customHeight="1" x14ac:dyDescent="0.3">
      <c r="A151" s="794" t="s">
        <v>3363</v>
      </c>
      <c r="B151" s="795" t="s">
        <v>3364</v>
      </c>
      <c r="C151" s="795" t="s">
        <v>601</v>
      </c>
      <c r="D151" s="795" t="s">
        <v>1527</v>
      </c>
      <c r="E151" s="795" t="s">
        <v>3374</v>
      </c>
      <c r="F151" s="795" t="s">
        <v>3457</v>
      </c>
      <c r="G151" s="795" t="s">
        <v>3458</v>
      </c>
      <c r="H151" s="812"/>
      <c r="I151" s="812"/>
      <c r="J151" s="795"/>
      <c r="K151" s="795"/>
      <c r="L151" s="812">
        <v>1</v>
      </c>
      <c r="M151" s="812">
        <v>120</v>
      </c>
      <c r="N151" s="795">
        <v>1</v>
      </c>
      <c r="O151" s="795">
        <v>120</v>
      </c>
      <c r="P151" s="812"/>
      <c r="Q151" s="812"/>
      <c r="R151" s="800"/>
      <c r="S151" s="813"/>
    </row>
    <row r="152" spans="1:19" ht="14.4" customHeight="1" x14ac:dyDescent="0.3">
      <c r="A152" s="794" t="s">
        <v>3363</v>
      </c>
      <c r="B152" s="795" t="s">
        <v>3364</v>
      </c>
      <c r="C152" s="795" t="s">
        <v>601</v>
      </c>
      <c r="D152" s="795" t="s">
        <v>1527</v>
      </c>
      <c r="E152" s="795" t="s">
        <v>3374</v>
      </c>
      <c r="F152" s="795" t="s">
        <v>3461</v>
      </c>
      <c r="G152" s="795" t="s">
        <v>3462</v>
      </c>
      <c r="H152" s="812"/>
      <c r="I152" s="812"/>
      <c r="J152" s="795"/>
      <c r="K152" s="795"/>
      <c r="L152" s="812"/>
      <c r="M152" s="812"/>
      <c r="N152" s="795"/>
      <c r="O152" s="795"/>
      <c r="P152" s="812">
        <v>1</v>
      </c>
      <c r="Q152" s="812">
        <v>948</v>
      </c>
      <c r="R152" s="800"/>
      <c r="S152" s="813">
        <v>948</v>
      </c>
    </row>
    <row r="153" spans="1:19" ht="14.4" customHeight="1" x14ac:dyDescent="0.3">
      <c r="A153" s="794" t="s">
        <v>3363</v>
      </c>
      <c r="B153" s="795" t="s">
        <v>3364</v>
      </c>
      <c r="C153" s="795" t="s">
        <v>601</v>
      </c>
      <c r="D153" s="795" t="s">
        <v>1527</v>
      </c>
      <c r="E153" s="795" t="s">
        <v>3374</v>
      </c>
      <c r="F153" s="795" t="s">
        <v>3463</v>
      </c>
      <c r="G153" s="795" t="s">
        <v>3464</v>
      </c>
      <c r="H153" s="812">
        <v>3</v>
      </c>
      <c r="I153" s="812">
        <v>669</v>
      </c>
      <c r="J153" s="795">
        <v>0.98237885462555063</v>
      </c>
      <c r="K153" s="795">
        <v>223</v>
      </c>
      <c r="L153" s="812">
        <v>3</v>
      </c>
      <c r="M153" s="812">
        <v>681</v>
      </c>
      <c r="N153" s="795">
        <v>1</v>
      </c>
      <c r="O153" s="795">
        <v>227</v>
      </c>
      <c r="P153" s="812">
        <v>2</v>
      </c>
      <c r="Q153" s="812">
        <v>454</v>
      </c>
      <c r="R153" s="800">
        <v>0.66666666666666663</v>
      </c>
      <c r="S153" s="813">
        <v>227</v>
      </c>
    </row>
    <row r="154" spans="1:19" ht="14.4" customHeight="1" x14ac:dyDescent="0.3">
      <c r="A154" s="794" t="s">
        <v>3363</v>
      </c>
      <c r="B154" s="795" t="s">
        <v>3364</v>
      </c>
      <c r="C154" s="795" t="s">
        <v>601</v>
      </c>
      <c r="D154" s="795" t="s">
        <v>1527</v>
      </c>
      <c r="E154" s="795" t="s">
        <v>3374</v>
      </c>
      <c r="F154" s="795" t="s">
        <v>3465</v>
      </c>
      <c r="G154" s="795" t="s">
        <v>3466</v>
      </c>
      <c r="H154" s="812">
        <v>1</v>
      </c>
      <c r="I154" s="812">
        <v>82</v>
      </c>
      <c r="J154" s="795">
        <v>0.31782945736434109</v>
      </c>
      <c r="K154" s="795">
        <v>82</v>
      </c>
      <c r="L154" s="812">
        <v>3</v>
      </c>
      <c r="M154" s="812">
        <v>258</v>
      </c>
      <c r="N154" s="795">
        <v>1</v>
      </c>
      <c r="O154" s="795">
        <v>86</v>
      </c>
      <c r="P154" s="812"/>
      <c r="Q154" s="812"/>
      <c r="R154" s="800"/>
      <c r="S154" s="813"/>
    </row>
    <row r="155" spans="1:19" ht="14.4" customHeight="1" x14ac:dyDescent="0.3">
      <c r="A155" s="794" t="s">
        <v>3363</v>
      </c>
      <c r="B155" s="795" t="s">
        <v>3364</v>
      </c>
      <c r="C155" s="795" t="s">
        <v>601</v>
      </c>
      <c r="D155" s="795" t="s">
        <v>1527</v>
      </c>
      <c r="E155" s="795" t="s">
        <v>3374</v>
      </c>
      <c r="F155" s="795" t="s">
        <v>3473</v>
      </c>
      <c r="G155" s="795" t="s">
        <v>3474</v>
      </c>
      <c r="H155" s="812"/>
      <c r="I155" s="812"/>
      <c r="J155" s="795"/>
      <c r="K155" s="795"/>
      <c r="L155" s="812">
        <v>1</v>
      </c>
      <c r="M155" s="812">
        <v>1369</v>
      </c>
      <c r="N155" s="795">
        <v>1</v>
      </c>
      <c r="O155" s="795">
        <v>1369</v>
      </c>
      <c r="P155" s="812"/>
      <c r="Q155" s="812"/>
      <c r="R155" s="800"/>
      <c r="S155" s="813"/>
    </row>
    <row r="156" spans="1:19" ht="14.4" customHeight="1" x14ac:dyDescent="0.3">
      <c r="A156" s="794" t="s">
        <v>3363</v>
      </c>
      <c r="B156" s="795" t="s">
        <v>3364</v>
      </c>
      <c r="C156" s="795" t="s">
        <v>601</v>
      </c>
      <c r="D156" s="795" t="s">
        <v>1528</v>
      </c>
      <c r="E156" s="795" t="s">
        <v>3365</v>
      </c>
      <c r="F156" s="795" t="s">
        <v>3366</v>
      </c>
      <c r="G156" s="795" t="s">
        <v>3367</v>
      </c>
      <c r="H156" s="812">
        <v>0.5</v>
      </c>
      <c r="I156" s="812">
        <v>75.53</v>
      </c>
      <c r="J156" s="795"/>
      <c r="K156" s="795">
        <v>151.06</v>
      </c>
      <c r="L156" s="812"/>
      <c r="M156" s="812"/>
      <c r="N156" s="795"/>
      <c r="O156" s="795"/>
      <c r="P156" s="812"/>
      <c r="Q156" s="812"/>
      <c r="R156" s="800"/>
      <c r="S156" s="813"/>
    </row>
    <row r="157" spans="1:19" ht="14.4" customHeight="1" x14ac:dyDescent="0.3">
      <c r="A157" s="794" t="s">
        <v>3363</v>
      </c>
      <c r="B157" s="795" t="s">
        <v>3364</v>
      </c>
      <c r="C157" s="795" t="s">
        <v>601</v>
      </c>
      <c r="D157" s="795" t="s">
        <v>1528</v>
      </c>
      <c r="E157" s="795" t="s">
        <v>3374</v>
      </c>
      <c r="F157" s="795" t="s">
        <v>3375</v>
      </c>
      <c r="G157" s="795" t="s">
        <v>3376</v>
      </c>
      <c r="H157" s="812">
        <v>5</v>
      </c>
      <c r="I157" s="812">
        <v>405</v>
      </c>
      <c r="J157" s="795"/>
      <c r="K157" s="795">
        <v>81</v>
      </c>
      <c r="L157" s="812"/>
      <c r="M157" s="812"/>
      <c r="N157" s="795"/>
      <c r="O157" s="795"/>
      <c r="P157" s="812"/>
      <c r="Q157" s="812"/>
      <c r="R157" s="800"/>
      <c r="S157" s="813"/>
    </row>
    <row r="158" spans="1:19" ht="14.4" customHeight="1" x14ac:dyDescent="0.3">
      <c r="A158" s="794" t="s">
        <v>3363</v>
      </c>
      <c r="B158" s="795" t="s">
        <v>3364</v>
      </c>
      <c r="C158" s="795" t="s">
        <v>601</v>
      </c>
      <c r="D158" s="795" t="s">
        <v>1528</v>
      </c>
      <c r="E158" s="795" t="s">
        <v>3374</v>
      </c>
      <c r="F158" s="795" t="s">
        <v>3397</v>
      </c>
      <c r="G158" s="795" t="s">
        <v>3398</v>
      </c>
      <c r="H158" s="812">
        <v>145</v>
      </c>
      <c r="I158" s="812">
        <v>17110</v>
      </c>
      <c r="J158" s="795">
        <v>1.1222615768070314</v>
      </c>
      <c r="K158" s="795">
        <v>118</v>
      </c>
      <c r="L158" s="812">
        <v>121</v>
      </c>
      <c r="M158" s="812">
        <v>15246</v>
      </c>
      <c r="N158" s="795">
        <v>1</v>
      </c>
      <c r="O158" s="795">
        <v>126</v>
      </c>
      <c r="P158" s="812">
        <v>192</v>
      </c>
      <c r="Q158" s="812">
        <v>24192</v>
      </c>
      <c r="R158" s="800">
        <v>1.5867768595041323</v>
      </c>
      <c r="S158" s="813">
        <v>126</v>
      </c>
    </row>
    <row r="159" spans="1:19" ht="14.4" customHeight="1" x14ac:dyDescent="0.3">
      <c r="A159" s="794" t="s">
        <v>3363</v>
      </c>
      <c r="B159" s="795" t="s">
        <v>3364</v>
      </c>
      <c r="C159" s="795" t="s">
        <v>601</v>
      </c>
      <c r="D159" s="795" t="s">
        <v>1528</v>
      </c>
      <c r="E159" s="795" t="s">
        <v>3374</v>
      </c>
      <c r="F159" s="795" t="s">
        <v>3403</v>
      </c>
      <c r="G159" s="795" t="s">
        <v>3404</v>
      </c>
      <c r="H159" s="812">
        <v>1</v>
      </c>
      <c r="I159" s="812">
        <v>946</v>
      </c>
      <c r="J159" s="795"/>
      <c r="K159" s="795">
        <v>946</v>
      </c>
      <c r="L159" s="812"/>
      <c r="M159" s="812"/>
      <c r="N159" s="795"/>
      <c r="O159" s="795"/>
      <c r="P159" s="812"/>
      <c r="Q159" s="812"/>
      <c r="R159" s="800"/>
      <c r="S159" s="813"/>
    </row>
    <row r="160" spans="1:19" ht="14.4" customHeight="1" x14ac:dyDescent="0.3">
      <c r="A160" s="794" t="s">
        <v>3363</v>
      </c>
      <c r="B160" s="795" t="s">
        <v>3364</v>
      </c>
      <c r="C160" s="795" t="s">
        <v>601</v>
      </c>
      <c r="D160" s="795" t="s">
        <v>1528</v>
      </c>
      <c r="E160" s="795" t="s">
        <v>3374</v>
      </c>
      <c r="F160" s="795" t="s">
        <v>3407</v>
      </c>
      <c r="G160" s="795" t="s">
        <v>3408</v>
      </c>
      <c r="H160" s="812">
        <v>1</v>
      </c>
      <c r="I160" s="812">
        <v>1284</v>
      </c>
      <c r="J160" s="795"/>
      <c r="K160" s="795">
        <v>1284</v>
      </c>
      <c r="L160" s="812"/>
      <c r="M160" s="812"/>
      <c r="N160" s="795"/>
      <c r="O160" s="795"/>
      <c r="P160" s="812"/>
      <c r="Q160" s="812"/>
      <c r="R160" s="800"/>
      <c r="S160" s="813"/>
    </row>
    <row r="161" spans="1:19" ht="14.4" customHeight="1" x14ac:dyDescent="0.3">
      <c r="A161" s="794" t="s">
        <v>3363</v>
      </c>
      <c r="B161" s="795" t="s">
        <v>3364</v>
      </c>
      <c r="C161" s="795" t="s">
        <v>601</v>
      </c>
      <c r="D161" s="795" t="s">
        <v>1528</v>
      </c>
      <c r="E161" s="795" t="s">
        <v>3374</v>
      </c>
      <c r="F161" s="795" t="s">
        <v>3417</v>
      </c>
      <c r="G161" s="795" t="s">
        <v>3418</v>
      </c>
      <c r="H161" s="812"/>
      <c r="I161" s="812"/>
      <c r="J161" s="795"/>
      <c r="K161" s="795"/>
      <c r="L161" s="812">
        <v>106</v>
      </c>
      <c r="M161" s="812">
        <v>3533.31</v>
      </c>
      <c r="N161" s="795">
        <v>1</v>
      </c>
      <c r="O161" s="795">
        <v>33.333113207547171</v>
      </c>
      <c r="P161" s="812">
        <v>155</v>
      </c>
      <c r="Q161" s="812">
        <v>5166.66</v>
      </c>
      <c r="R161" s="800">
        <v>1.462271920663627</v>
      </c>
      <c r="S161" s="813">
        <v>33.333290322580645</v>
      </c>
    </row>
    <row r="162" spans="1:19" ht="14.4" customHeight="1" x14ac:dyDescent="0.3">
      <c r="A162" s="794" t="s">
        <v>3363</v>
      </c>
      <c r="B162" s="795" t="s">
        <v>3364</v>
      </c>
      <c r="C162" s="795" t="s">
        <v>601</v>
      </c>
      <c r="D162" s="795" t="s">
        <v>1528</v>
      </c>
      <c r="E162" s="795" t="s">
        <v>3374</v>
      </c>
      <c r="F162" s="795" t="s">
        <v>3423</v>
      </c>
      <c r="G162" s="795" t="s">
        <v>3424</v>
      </c>
      <c r="H162" s="812">
        <v>2</v>
      </c>
      <c r="I162" s="812">
        <v>164</v>
      </c>
      <c r="J162" s="795"/>
      <c r="K162" s="795">
        <v>82</v>
      </c>
      <c r="L162" s="812"/>
      <c r="M162" s="812"/>
      <c r="N162" s="795"/>
      <c r="O162" s="795"/>
      <c r="P162" s="812"/>
      <c r="Q162" s="812"/>
      <c r="R162" s="800"/>
      <c r="S162" s="813"/>
    </row>
    <row r="163" spans="1:19" ht="14.4" customHeight="1" x14ac:dyDescent="0.3">
      <c r="A163" s="794" t="s">
        <v>3363</v>
      </c>
      <c r="B163" s="795" t="s">
        <v>3364</v>
      </c>
      <c r="C163" s="795" t="s">
        <v>601</v>
      </c>
      <c r="D163" s="795" t="s">
        <v>1528</v>
      </c>
      <c r="E163" s="795" t="s">
        <v>3374</v>
      </c>
      <c r="F163" s="795" t="s">
        <v>3425</v>
      </c>
      <c r="G163" s="795" t="s">
        <v>3426</v>
      </c>
      <c r="H163" s="812">
        <v>1</v>
      </c>
      <c r="I163" s="812">
        <v>31</v>
      </c>
      <c r="J163" s="795"/>
      <c r="K163" s="795">
        <v>31</v>
      </c>
      <c r="L163" s="812"/>
      <c r="M163" s="812"/>
      <c r="N163" s="795"/>
      <c r="O163" s="795"/>
      <c r="P163" s="812"/>
      <c r="Q163" s="812"/>
      <c r="R163" s="800"/>
      <c r="S163" s="813"/>
    </row>
    <row r="164" spans="1:19" ht="14.4" customHeight="1" x14ac:dyDescent="0.3">
      <c r="A164" s="794" t="s">
        <v>3363</v>
      </c>
      <c r="B164" s="795" t="s">
        <v>3364</v>
      </c>
      <c r="C164" s="795" t="s">
        <v>601</v>
      </c>
      <c r="D164" s="795" t="s">
        <v>1528</v>
      </c>
      <c r="E164" s="795" t="s">
        <v>3374</v>
      </c>
      <c r="F164" s="795" t="s">
        <v>3435</v>
      </c>
      <c r="G164" s="795" t="s">
        <v>3436</v>
      </c>
      <c r="H164" s="812">
        <v>2</v>
      </c>
      <c r="I164" s="812">
        <v>470</v>
      </c>
      <c r="J164" s="795"/>
      <c r="K164" s="795">
        <v>235</v>
      </c>
      <c r="L164" s="812"/>
      <c r="M164" s="812"/>
      <c r="N164" s="795"/>
      <c r="O164" s="795"/>
      <c r="P164" s="812"/>
      <c r="Q164" s="812"/>
      <c r="R164" s="800"/>
      <c r="S164" s="813"/>
    </row>
    <row r="165" spans="1:19" ht="14.4" customHeight="1" x14ac:dyDescent="0.3">
      <c r="A165" s="794" t="s">
        <v>3363</v>
      </c>
      <c r="B165" s="795" t="s">
        <v>3364</v>
      </c>
      <c r="C165" s="795" t="s">
        <v>601</v>
      </c>
      <c r="D165" s="795" t="s">
        <v>1528</v>
      </c>
      <c r="E165" s="795" t="s">
        <v>3374</v>
      </c>
      <c r="F165" s="795" t="s">
        <v>3441</v>
      </c>
      <c r="G165" s="795" t="s">
        <v>3442</v>
      </c>
      <c r="H165" s="812">
        <v>1</v>
      </c>
      <c r="I165" s="812">
        <v>120</v>
      </c>
      <c r="J165" s="795"/>
      <c r="K165" s="795">
        <v>120</v>
      </c>
      <c r="L165" s="812"/>
      <c r="M165" s="812"/>
      <c r="N165" s="795"/>
      <c r="O165" s="795"/>
      <c r="P165" s="812"/>
      <c r="Q165" s="812"/>
      <c r="R165" s="800"/>
      <c r="S165" s="813"/>
    </row>
    <row r="166" spans="1:19" ht="14.4" customHeight="1" x14ac:dyDescent="0.3">
      <c r="A166" s="794" t="s">
        <v>3363</v>
      </c>
      <c r="B166" s="795" t="s">
        <v>3364</v>
      </c>
      <c r="C166" s="795" t="s">
        <v>601</v>
      </c>
      <c r="D166" s="795" t="s">
        <v>1529</v>
      </c>
      <c r="E166" s="795" t="s">
        <v>3365</v>
      </c>
      <c r="F166" s="795" t="s">
        <v>3366</v>
      </c>
      <c r="G166" s="795" t="s">
        <v>3367</v>
      </c>
      <c r="H166" s="812">
        <v>3.0999999999999996</v>
      </c>
      <c r="I166" s="812">
        <v>468.28</v>
      </c>
      <c r="J166" s="795">
        <v>2.5834712567582478</v>
      </c>
      <c r="K166" s="795">
        <v>151.05806451612904</v>
      </c>
      <c r="L166" s="812">
        <v>1.2000000000000002</v>
      </c>
      <c r="M166" s="812">
        <v>181.26</v>
      </c>
      <c r="N166" s="795">
        <v>1</v>
      </c>
      <c r="O166" s="795">
        <v>151.04999999999998</v>
      </c>
      <c r="P166" s="812">
        <v>2.7</v>
      </c>
      <c r="Q166" s="812">
        <v>407.84000000000003</v>
      </c>
      <c r="R166" s="800">
        <v>2.2500275846849833</v>
      </c>
      <c r="S166" s="813">
        <v>151.05185185185186</v>
      </c>
    </row>
    <row r="167" spans="1:19" ht="14.4" customHeight="1" x14ac:dyDescent="0.3">
      <c r="A167" s="794" t="s">
        <v>3363</v>
      </c>
      <c r="B167" s="795" t="s">
        <v>3364</v>
      </c>
      <c r="C167" s="795" t="s">
        <v>601</v>
      </c>
      <c r="D167" s="795" t="s">
        <v>1529</v>
      </c>
      <c r="E167" s="795" t="s">
        <v>3365</v>
      </c>
      <c r="F167" s="795" t="s">
        <v>3371</v>
      </c>
      <c r="G167" s="795" t="s">
        <v>1107</v>
      </c>
      <c r="H167" s="812"/>
      <c r="I167" s="812"/>
      <c r="J167" s="795"/>
      <c r="K167" s="795"/>
      <c r="L167" s="812">
        <v>0.4</v>
      </c>
      <c r="M167" s="812">
        <v>105.62</v>
      </c>
      <c r="N167" s="795">
        <v>1</v>
      </c>
      <c r="O167" s="795">
        <v>264.05</v>
      </c>
      <c r="P167" s="812">
        <v>0.74</v>
      </c>
      <c r="Q167" s="812">
        <v>156.07</v>
      </c>
      <c r="R167" s="800">
        <v>1.4776557470176102</v>
      </c>
      <c r="S167" s="813">
        <v>210.90540540540539</v>
      </c>
    </row>
    <row r="168" spans="1:19" ht="14.4" customHeight="1" x14ac:dyDescent="0.3">
      <c r="A168" s="794" t="s">
        <v>3363</v>
      </c>
      <c r="B168" s="795" t="s">
        <v>3364</v>
      </c>
      <c r="C168" s="795" t="s">
        <v>601</v>
      </c>
      <c r="D168" s="795" t="s">
        <v>1529</v>
      </c>
      <c r="E168" s="795" t="s">
        <v>3374</v>
      </c>
      <c r="F168" s="795" t="s">
        <v>3375</v>
      </c>
      <c r="G168" s="795" t="s">
        <v>3376</v>
      </c>
      <c r="H168" s="812">
        <v>27</v>
      </c>
      <c r="I168" s="812">
        <v>2187</v>
      </c>
      <c r="J168" s="795">
        <v>0.61277668814794062</v>
      </c>
      <c r="K168" s="795">
        <v>81</v>
      </c>
      <c r="L168" s="812">
        <v>43</v>
      </c>
      <c r="M168" s="812">
        <v>3569</v>
      </c>
      <c r="N168" s="795">
        <v>1</v>
      </c>
      <c r="O168" s="795">
        <v>83</v>
      </c>
      <c r="P168" s="812">
        <v>29</v>
      </c>
      <c r="Q168" s="812">
        <v>2407</v>
      </c>
      <c r="R168" s="800">
        <v>0.67441860465116277</v>
      </c>
      <c r="S168" s="813">
        <v>83</v>
      </c>
    </row>
    <row r="169" spans="1:19" ht="14.4" customHeight="1" x14ac:dyDescent="0.3">
      <c r="A169" s="794" t="s">
        <v>3363</v>
      </c>
      <c r="B169" s="795" t="s">
        <v>3364</v>
      </c>
      <c r="C169" s="795" t="s">
        <v>601</v>
      </c>
      <c r="D169" s="795" t="s">
        <v>1529</v>
      </c>
      <c r="E169" s="795" t="s">
        <v>3374</v>
      </c>
      <c r="F169" s="795" t="s">
        <v>3379</v>
      </c>
      <c r="G169" s="795" t="s">
        <v>3380</v>
      </c>
      <c r="H169" s="812">
        <v>1</v>
      </c>
      <c r="I169" s="812">
        <v>35</v>
      </c>
      <c r="J169" s="795">
        <v>0.47297297297297297</v>
      </c>
      <c r="K169" s="795">
        <v>35</v>
      </c>
      <c r="L169" s="812">
        <v>2</v>
      </c>
      <c r="M169" s="812">
        <v>74</v>
      </c>
      <c r="N169" s="795">
        <v>1</v>
      </c>
      <c r="O169" s="795">
        <v>37</v>
      </c>
      <c r="P169" s="812"/>
      <c r="Q169" s="812"/>
      <c r="R169" s="800"/>
      <c r="S169" s="813"/>
    </row>
    <row r="170" spans="1:19" ht="14.4" customHeight="1" x14ac:dyDescent="0.3">
      <c r="A170" s="794" t="s">
        <v>3363</v>
      </c>
      <c r="B170" s="795" t="s">
        <v>3364</v>
      </c>
      <c r="C170" s="795" t="s">
        <v>601</v>
      </c>
      <c r="D170" s="795" t="s">
        <v>1529</v>
      </c>
      <c r="E170" s="795" t="s">
        <v>3374</v>
      </c>
      <c r="F170" s="795" t="s">
        <v>3387</v>
      </c>
      <c r="G170" s="795" t="s">
        <v>3388</v>
      </c>
      <c r="H170" s="812">
        <v>1</v>
      </c>
      <c r="I170" s="812">
        <v>201</v>
      </c>
      <c r="J170" s="795">
        <v>0.32367149758454106</v>
      </c>
      <c r="K170" s="795">
        <v>201</v>
      </c>
      <c r="L170" s="812">
        <v>3</v>
      </c>
      <c r="M170" s="812">
        <v>621</v>
      </c>
      <c r="N170" s="795">
        <v>1</v>
      </c>
      <c r="O170" s="795">
        <v>207</v>
      </c>
      <c r="P170" s="812">
        <v>5</v>
      </c>
      <c r="Q170" s="812">
        <v>1035</v>
      </c>
      <c r="R170" s="800">
        <v>1.6666666666666667</v>
      </c>
      <c r="S170" s="813">
        <v>207</v>
      </c>
    </row>
    <row r="171" spans="1:19" ht="14.4" customHeight="1" x14ac:dyDescent="0.3">
      <c r="A171" s="794" t="s">
        <v>3363</v>
      </c>
      <c r="B171" s="795" t="s">
        <v>3364</v>
      </c>
      <c r="C171" s="795" t="s">
        <v>601</v>
      </c>
      <c r="D171" s="795" t="s">
        <v>1529</v>
      </c>
      <c r="E171" s="795" t="s">
        <v>3374</v>
      </c>
      <c r="F171" s="795" t="s">
        <v>3389</v>
      </c>
      <c r="G171" s="795" t="s">
        <v>3390</v>
      </c>
      <c r="H171" s="812"/>
      <c r="I171" s="812"/>
      <c r="J171" s="795"/>
      <c r="K171" s="795"/>
      <c r="L171" s="812">
        <v>1</v>
      </c>
      <c r="M171" s="812">
        <v>309</v>
      </c>
      <c r="N171" s="795">
        <v>1</v>
      </c>
      <c r="O171" s="795">
        <v>309</v>
      </c>
      <c r="P171" s="812"/>
      <c r="Q171" s="812"/>
      <c r="R171" s="800"/>
      <c r="S171" s="813"/>
    </row>
    <row r="172" spans="1:19" ht="14.4" customHeight="1" x14ac:dyDescent="0.3">
      <c r="A172" s="794" t="s">
        <v>3363</v>
      </c>
      <c r="B172" s="795" t="s">
        <v>3364</v>
      </c>
      <c r="C172" s="795" t="s">
        <v>601</v>
      </c>
      <c r="D172" s="795" t="s">
        <v>1529</v>
      </c>
      <c r="E172" s="795" t="s">
        <v>3374</v>
      </c>
      <c r="F172" s="795" t="s">
        <v>3393</v>
      </c>
      <c r="G172" s="795" t="s">
        <v>3394</v>
      </c>
      <c r="H172" s="812">
        <v>7</v>
      </c>
      <c r="I172" s="812">
        <v>665</v>
      </c>
      <c r="J172" s="795">
        <v>0.74635241301907973</v>
      </c>
      <c r="K172" s="795">
        <v>95</v>
      </c>
      <c r="L172" s="812">
        <v>9</v>
      </c>
      <c r="M172" s="812">
        <v>891</v>
      </c>
      <c r="N172" s="795">
        <v>1</v>
      </c>
      <c r="O172" s="795">
        <v>99</v>
      </c>
      <c r="P172" s="812">
        <v>11</v>
      </c>
      <c r="Q172" s="812">
        <v>1089</v>
      </c>
      <c r="R172" s="800">
        <v>1.2222222222222223</v>
      </c>
      <c r="S172" s="813">
        <v>99</v>
      </c>
    </row>
    <row r="173" spans="1:19" ht="14.4" customHeight="1" x14ac:dyDescent="0.3">
      <c r="A173" s="794" t="s">
        <v>3363</v>
      </c>
      <c r="B173" s="795" t="s">
        <v>3364</v>
      </c>
      <c r="C173" s="795" t="s">
        <v>601</v>
      </c>
      <c r="D173" s="795" t="s">
        <v>1529</v>
      </c>
      <c r="E173" s="795" t="s">
        <v>3374</v>
      </c>
      <c r="F173" s="795" t="s">
        <v>3395</v>
      </c>
      <c r="G173" s="795" t="s">
        <v>3396</v>
      </c>
      <c r="H173" s="812">
        <v>1</v>
      </c>
      <c r="I173" s="812">
        <v>93</v>
      </c>
      <c r="J173" s="795">
        <v>0.19175257731958764</v>
      </c>
      <c r="K173" s="795">
        <v>93</v>
      </c>
      <c r="L173" s="812">
        <v>5</v>
      </c>
      <c r="M173" s="812">
        <v>485</v>
      </c>
      <c r="N173" s="795">
        <v>1</v>
      </c>
      <c r="O173" s="795">
        <v>97</v>
      </c>
      <c r="P173" s="812">
        <v>8</v>
      </c>
      <c r="Q173" s="812">
        <v>776</v>
      </c>
      <c r="R173" s="800">
        <v>1.6</v>
      </c>
      <c r="S173" s="813">
        <v>97</v>
      </c>
    </row>
    <row r="174" spans="1:19" ht="14.4" customHeight="1" x14ac:dyDescent="0.3">
      <c r="A174" s="794" t="s">
        <v>3363</v>
      </c>
      <c r="B174" s="795" t="s">
        <v>3364</v>
      </c>
      <c r="C174" s="795" t="s">
        <v>601</v>
      </c>
      <c r="D174" s="795" t="s">
        <v>1529</v>
      </c>
      <c r="E174" s="795" t="s">
        <v>3374</v>
      </c>
      <c r="F174" s="795" t="s">
        <v>3397</v>
      </c>
      <c r="G174" s="795" t="s">
        <v>3398</v>
      </c>
      <c r="H174" s="812">
        <v>120</v>
      </c>
      <c r="I174" s="812">
        <v>14160</v>
      </c>
      <c r="J174" s="795">
        <v>0.4864976293547722</v>
      </c>
      <c r="K174" s="795">
        <v>118</v>
      </c>
      <c r="L174" s="812">
        <v>231</v>
      </c>
      <c r="M174" s="812">
        <v>29106</v>
      </c>
      <c r="N174" s="795">
        <v>1</v>
      </c>
      <c r="O174" s="795">
        <v>126</v>
      </c>
      <c r="P174" s="812">
        <v>203</v>
      </c>
      <c r="Q174" s="812">
        <v>25578</v>
      </c>
      <c r="R174" s="800">
        <v>0.87878787878787878</v>
      </c>
      <c r="S174" s="813">
        <v>126</v>
      </c>
    </row>
    <row r="175" spans="1:19" ht="14.4" customHeight="1" x14ac:dyDescent="0.3">
      <c r="A175" s="794" t="s">
        <v>3363</v>
      </c>
      <c r="B175" s="795" t="s">
        <v>3364</v>
      </c>
      <c r="C175" s="795" t="s">
        <v>601</v>
      </c>
      <c r="D175" s="795" t="s">
        <v>1529</v>
      </c>
      <c r="E175" s="795" t="s">
        <v>3374</v>
      </c>
      <c r="F175" s="795" t="s">
        <v>3405</v>
      </c>
      <c r="G175" s="795" t="s">
        <v>3406</v>
      </c>
      <c r="H175" s="812">
        <v>3</v>
      </c>
      <c r="I175" s="812">
        <v>4911</v>
      </c>
      <c r="J175" s="795"/>
      <c r="K175" s="795">
        <v>1637</v>
      </c>
      <c r="L175" s="812"/>
      <c r="M175" s="812"/>
      <c r="N175" s="795"/>
      <c r="O175" s="795"/>
      <c r="P175" s="812">
        <v>1</v>
      </c>
      <c r="Q175" s="812">
        <v>1678</v>
      </c>
      <c r="R175" s="800"/>
      <c r="S175" s="813">
        <v>1678</v>
      </c>
    </row>
    <row r="176" spans="1:19" ht="14.4" customHeight="1" x14ac:dyDescent="0.3">
      <c r="A176" s="794" t="s">
        <v>3363</v>
      </c>
      <c r="B176" s="795" t="s">
        <v>3364</v>
      </c>
      <c r="C176" s="795" t="s">
        <v>601</v>
      </c>
      <c r="D176" s="795" t="s">
        <v>1529</v>
      </c>
      <c r="E176" s="795" t="s">
        <v>3374</v>
      </c>
      <c r="F176" s="795" t="s">
        <v>3407</v>
      </c>
      <c r="G176" s="795" t="s">
        <v>3408</v>
      </c>
      <c r="H176" s="812">
        <v>8</v>
      </c>
      <c r="I176" s="812">
        <v>10272</v>
      </c>
      <c r="J176" s="795">
        <v>2.6157372039724982</v>
      </c>
      <c r="K176" s="795">
        <v>1284</v>
      </c>
      <c r="L176" s="812">
        <v>3</v>
      </c>
      <c r="M176" s="812">
        <v>3927</v>
      </c>
      <c r="N176" s="795">
        <v>1</v>
      </c>
      <c r="O176" s="795">
        <v>1309</v>
      </c>
      <c r="P176" s="812">
        <v>6</v>
      </c>
      <c r="Q176" s="812">
        <v>7860</v>
      </c>
      <c r="R176" s="800">
        <v>2.0015278838808253</v>
      </c>
      <c r="S176" s="813">
        <v>1310</v>
      </c>
    </row>
    <row r="177" spans="1:19" ht="14.4" customHeight="1" x14ac:dyDescent="0.3">
      <c r="A177" s="794" t="s">
        <v>3363</v>
      </c>
      <c r="B177" s="795" t="s">
        <v>3364</v>
      </c>
      <c r="C177" s="795" t="s">
        <v>601</v>
      </c>
      <c r="D177" s="795" t="s">
        <v>1529</v>
      </c>
      <c r="E177" s="795" t="s">
        <v>3374</v>
      </c>
      <c r="F177" s="795" t="s">
        <v>3409</v>
      </c>
      <c r="G177" s="795" t="s">
        <v>3410</v>
      </c>
      <c r="H177" s="812"/>
      <c r="I177" s="812"/>
      <c r="J177" s="795"/>
      <c r="K177" s="795"/>
      <c r="L177" s="812"/>
      <c r="M177" s="812"/>
      <c r="N177" s="795"/>
      <c r="O177" s="795"/>
      <c r="P177" s="812">
        <v>1</v>
      </c>
      <c r="Q177" s="812">
        <v>972</v>
      </c>
      <c r="R177" s="800"/>
      <c r="S177" s="813">
        <v>972</v>
      </c>
    </row>
    <row r="178" spans="1:19" ht="14.4" customHeight="1" x14ac:dyDescent="0.3">
      <c r="A178" s="794" t="s">
        <v>3363</v>
      </c>
      <c r="B178" s="795" t="s">
        <v>3364</v>
      </c>
      <c r="C178" s="795" t="s">
        <v>601</v>
      </c>
      <c r="D178" s="795" t="s">
        <v>1529</v>
      </c>
      <c r="E178" s="795" t="s">
        <v>3374</v>
      </c>
      <c r="F178" s="795" t="s">
        <v>3411</v>
      </c>
      <c r="G178" s="795" t="s">
        <v>3412</v>
      </c>
      <c r="H178" s="812"/>
      <c r="I178" s="812"/>
      <c r="J178" s="795"/>
      <c r="K178" s="795"/>
      <c r="L178" s="812"/>
      <c r="M178" s="812"/>
      <c r="N178" s="795"/>
      <c r="O178" s="795"/>
      <c r="P178" s="812">
        <v>2</v>
      </c>
      <c r="Q178" s="812">
        <v>1972</v>
      </c>
      <c r="R178" s="800"/>
      <c r="S178" s="813">
        <v>986</v>
      </c>
    </row>
    <row r="179" spans="1:19" ht="14.4" customHeight="1" x14ac:dyDescent="0.3">
      <c r="A179" s="794" t="s">
        <v>3363</v>
      </c>
      <c r="B179" s="795" t="s">
        <v>3364</v>
      </c>
      <c r="C179" s="795" t="s">
        <v>601</v>
      </c>
      <c r="D179" s="795" t="s">
        <v>1529</v>
      </c>
      <c r="E179" s="795" t="s">
        <v>3374</v>
      </c>
      <c r="F179" s="795" t="s">
        <v>3413</v>
      </c>
      <c r="G179" s="795" t="s">
        <v>3414</v>
      </c>
      <c r="H179" s="812">
        <v>2</v>
      </c>
      <c r="I179" s="812">
        <v>314</v>
      </c>
      <c r="J179" s="795">
        <v>0.27519719544259419</v>
      </c>
      <c r="K179" s="795">
        <v>157</v>
      </c>
      <c r="L179" s="812">
        <v>7</v>
      </c>
      <c r="M179" s="812">
        <v>1141</v>
      </c>
      <c r="N179" s="795">
        <v>1</v>
      </c>
      <c r="O179" s="795">
        <v>163</v>
      </c>
      <c r="P179" s="812">
        <v>7</v>
      </c>
      <c r="Q179" s="812">
        <v>1141</v>
      </c>
      <c r="R179" s="800">
        <v>1</v>
      </c>
      <c r="S179" s="813">
        <v>163</v>
      </c>
    </row>
    <row r="180" spans="1:19" ht="14.4" customHeight="1" x14ac:dyDescent="0.3">
      <c r="A180" s="794" t="s">
        <v>3363</v>
      </c>
      <c r="B180" s="795" t="s">
        <v>3364</v>
      </c>
      <c r="C180" s="795" t="s">
        <v>601</v>
      </c>
      <c r="D180" s="795" t="s">
        <v>1529</v>
      </c>
      <c r="E180" s="795" t="s">
        <v>3374</v>
      </c>
      <c r="F180" s="795" t="s">
        <v>3417</v>
      </c>
      <c r="G180" s="795" t="s">
        <v>3418</v>
      </c>
      <c r="H180" s="812"/>
      <c r="I180" s="812"/>
      <c r="J180" s="795"/>
      <c r="K180" s="795"/>
      <c r="L180" s="812">
        <v>218</v>
      </c>
      <c r="M180" s="812">
        <v>7266.67</v>
      </c>
      <c r="N180" s="795">
        <v>1</v>
      </c>
      <c r="O180" s="795">
        <v>33.333348623853212</v>
      </c>
      <c r="P180" s="812">
        <v>194</v>
      </c>
      <c r="Q180" s="812">
        <v>6466.6399999999994</v>
      </c>
      <c r="R180" s="800">
        <v>0.88990417894303708</v>
      </c>
      <c r="S180" s="813">
        <v>33.333195876288656</v>
      </c>
    </row>
    <row r="181" spans="1:19" ht="14.4" customHeight="1" x14ac:dyDescent="0.3">
      <c r="A181" s="794" t="s">
        <v>3363</v>
      </c>
      <c r="B181" s="795" t="s">
        <v>3364</v>
      </c>
      <c r="C181" s="795" t="s">
        <v>601</v>
      </c>
      <c r="D181" s="795" t="s">
        <v>1529</v>
      </c>
      <c r="E181" s="795" t="s">
        <v>3374</v>
      </c>
      <c r="F181" s="795" t="s">
        <v>3419</v>
      </c>
      <c r="G181" s="795" t="s">
        <v>3420</v>
      </c>
      <c r="H181" s="812"/>
      <c r="I181" s="812"/>
      <c r="J181" s="795"/>
      <c r="K181" s="795"/>
      <c r="L181" s="812">
        <v>2</v>
      </c>
      <c r="M181" s="812">
        <v>232</v>
      </c>
      <c r="N181" s="795">
        <v>1</v>
      </c>
      <c r="O181" s="795">
        <v>116</v>
      </c>
      <c r="P181" s="812">
        <v>1</v>
      </c>
      <c r="Q181" s="812">
        <v>116</v>
      </c>
      <c r="R181" s="800">
        <v>0.5</v>
      </c>
      <c r="S181" s="813">
        <v>116</v>
      </c>
    </row>
    <row r="182" spans="1:19" ht="14.4" customHeight="1" x14ac:dyDescent="0.3">
      <c r="A182" s="794" t="s">
        <v>3363</v>
      </c>
      <c r="B182" s="795" t="s">
        <v>3364</v>
      </c>
      <c r="C182" s="795" t="s">
        <v>601</v>
      </c>
      <c r="D182" s="795" t="s">
        <v>1529</v>
      </c>
      <c r="E182" s="795" t="s">
        <v>3374</v>
      </c>
      <c r="F182" s="795" t="s">
        <v>3423</v>
      </c>
      <c r="G182" s="795" t="s">
        <v>3424</v>
      </c>
      <c r="H182" s="812">
        <v>13</v>
      </c>
      <c r="I182" s="812">
        <v>1066</v>
      </c>
      <c r="J182" s="795">
        <v>3.0988372093023258</v>
      </c>
      <c r="K182" s="795">
        <v>82</v>
      </c>
      <c r="L182" s="812">
        <v>4</v>
      </c>
      <c r="M182" s="812">
        <v>344</v>
      </c>
      <c r="N182" s="795">
        <v>1</v>
      </c>
      <c r="O182" s="795">
        <v>86</v>
      </c>
      <c r="P182" s="812">
        <v>10</v>
      </c>
      <c r="Q182" s="812">
        <v>860</v>
      </c>
      <c r="R182" s="800">
        <v>2.5</v>
      </c>
      <c r="S182" s="813">
        <v>86</v>
      </c>
    </row>
    <row r="183" spans="1:19" ht="14.4" customHeight="1" x14ac:dyDescent="0.3">
      <c r="A183" s="794" t="s">
        <v>3363</v>
      </c>
      <c r="B183" s="795" t="s">
        <v>3364</v>
      </c>
      <c r="C183" s="795" t="s">
        <v>601</v>
      </c>
      <c r="D183" s="795" t="s">
        <v>1529</v>
      </c>
      <c r="E183" s="795" t="s">
        <v>3374</v>
      </c>
      <c r="F183" s="795" t="s">
        <v>3425</v>
      </c>
      <c r="G183" s="795" t="s">
        <v>3426</v>
      </c>
      <c r="H183" s="812">
        <v>10</v>
      </c>
      <c r="I183" s="812">
        <v>310</v>
      </c>
      <c r="J183" s="795">
        <v>3.2291666666666665</v>
      </c>
      <c r="K183" s="795">
        <v>31</v>
      </c>
      <c r="L183" s="812">
        <v>3</v>
      </c>
      <c r="M183" s="812">
        <v>96</v>
      </c>
      <c r="N183" s="795">
        <v>1</v>
      </c>
      <c r="O183" s="795">
        <v>32</v>
      </c>
      <c r="P183" s="812">
        <v>7</v>
      </c>
      <c r="Q183" s="812">
        <v>224</v>
      </c>
      <c r="R183" s="800">
        <v>2.3333333333333335</v>
      </c>
      <c r="S183" s="813">
        <v>32</v>
      </c>
    </row>
    <row r="184" spans="1:19" ht="14.4" customHeight="1" x14ac:dyDescent="0.3">
      <c r="A184" s="794" t="s">
        <v>3363</v>
      </c>
      <c r="B184" s="795" t="s">
        <v>3364</v>
      </c>
      <c r="C184" s="795" t="s">
        <v>601</v>
      </c>
      <c r="D184" s="795" t="s">
        <v>1529</v>
      </c>
      <c r="E184" s="795" t="s">
        <v>3374</v>
      </c>
      <c r="F184" s="795" t="s">
        <v>3427</v>
      </c>
      <c r="G184" s="795" t="s">
        <v>3428</v>
      </c>
      <c r="H184" s="812">
        <v>1</v>
      </c>
      <c r="I184" s="812">
        <v>384</v>
      </c>
      <c r="J184" s="795">
        <v>0.97461928934010156</v>
      </c>
      <c r="K184" s="795">
        <v>384</v>
      </c>
      <c r="L184" s="812">
        <v>1</v>
      </c>
      <c r="M184" s="812">
        <v>394</v>
      </c>
      <c r="N184" s="795">
        <v>1</v>
      </c>
      <c r="O184" s="795">
        <v>394</v>
      </c>
      <c r="P184" s="812">
        <v>1</v>
      </c>
      <c r="Q184" s="812">
        <v>395</v>
      </c>
      <c r="R184" s="800">
        <v>1.0025380710659899</v>
      </c>
      <c r="S184" s="813">
        <v>395</v>
      </c>
    </row>
    <row r="185" spans="1:19" ht="14.4" customHeight="1" x14ac:dyDescent="0.3">
      <c r="A185" s="794" t="s">
        <v>3363</v>
      </c>
      <c r="B185" s="795" t="s">
        <v>3364</v>
      </c>
      <c r="C185" s="795" t="s">
        <v>601</v>
      </c>
      <c r="D185" s="795" t="s">
        <v>1529</v>
      </c>
      <c r="E185" s="795" t="s">
        <v>3374</v>
      </c>
      <c r="F185" s="795" t="s">
        <v>3431</v>
      </c>
      <c r="G185" s="795" t="s">
        <v>3432</v>
      </c>
      <c r="H185" s="812"/>
      <c r="I185" s="812"/>
      <c r="J185" s="795"/>
      <c r="K185" s="795"/>
      <c r="L185" s="812">
        <v>3</v>
      </c>
      <c r="M185" s="812">
        <v>486</v>
      </c>
      <c r="N185" s="795">
        <v>1</v>
      </c>
      <c r="O185" s="795">
        <v>162</v>
      </c>
      <c r="P185" s="812">
        <v>2</v>
      </c>
      <c r="Q185" s="812">
        <v>324</v>
      </c>
      <c r="R185" s="800">
        <v>0.66666666666666663</v>
      </c>
      <c r="S185" s="813">
        <v>162</v>
      </c>
    </row>
    <row r="186" spans="1:19" ht="14.4" customHeight="1" x14ac:dyDescent="0.3">
      <c r="A186" s="794" t="s">
        <v>3363</v>
      </c>
      <c r="B186" s="795" t="s">
        <v>3364</v>
      </c>
      <c r="C186" s="795" t="s">
        <v>601</v>
      </c>
      <c r="D186" s="795" t="s">
        <v>1529</v>
      </c>
      <c r="E186" s="795" t="s">
        <v>3374</v>
      </c>
      <c r="F186" s="795" t="s">
        <v>3435</v>
      </c>
      <c r="G186" s="795" t="s">
        <v>3436</v>
      </c>
      <c r="H186" s="812">
        <v>20</v>
      </c>
      <c r="I186" s="812">
        <v>4700</v>
      </c>
      <c r="J186" s="795">
        <v>2.6750142287990895</v>
      </c>
      <c r="K186" s="795">
        <v>235</v>
      </c>
      <c r="L186" s="812">
        <v>7</v>
      </c>
      <c r="M186" s="812">
        <v>1757</v>
      </c>
      <c r="N186" s="795">
        <v>1</v>
      </c>
      <c r="O186" s="795">
        <v>251</v>
      </c>
      <c r="P186" s="812">
        <v>17</v>
      </c>
      <c r="Q186" s="812">
        <v>4267</v>
      </c>
      <c r="R186" s="800">
        <v>2.4285714285714284</v>
      </c>
      <c r="S186" s="813">
        <v>251</v>
      </c>
    </row>
    <row r="187" spans="1:19" ht="14.4" customHeight="1" x14ac:dyDescent="0.3">
      <c r="A187" s="794" t="s">
        <v>3363</v>
      </c>
      <c r="B187" s="795" t="s">
        <v>3364</v>
      </c>
      <c r="C187" s="795" t="s">
        <v>601</v>
      </c>
      <c r="D187" s="795" t="s">
        <v>1529</v>
      </c>
      <c r="E187" s="795" t="s">
        <v>3374</v>
      </c>
      <c r="F187" s="795" t="s">
        <v>3441</v>
      </c>
      <c r="G187" s="795" t="s">
        <v>3442</v>
      </c>
      <c r="H187" s="812"/>
      <c r="I187" s="812"/>
      <c r="J187" s="795"/>
      <c r="K187" s="795"/>
      <c r="L187" s="812"/>
      <c r="M187" s="812"/>
      <c r="N187" s="795"/>
      <c r="O187" s="795"/>
      <c r="P187" s="812">
        <v>1</v>
      </c>
      <c r="Q187" s="812">
        <v>123</v>
      </c>
      <c r="R187" s="800"/>
      <c r="S187" s="813">
        <v>123</v>
      </c>
    </row>
    <row r="188" spans="1:19" ht="14.4" customHeight="1" x14ac:dyDescent="0.3">
      <c r="A188" s="794" t="s">
        <v>3363</v>
      </c>
      <c r="B188" s="795" t="s">
        <v>3364</v>
      </c>
      <c r="C188" s="795" t="s">
        <v>601</v>
      </c>
      <c r="D188" s="795" t="s">
        <v>1529</v>
      </c>
      <c r="E188" s="795" t="s">
        <v>3374</v>
      </c>
      <c r="F188" s="795" t="s">
        <v>3447</v>
      </c>
      <c r="G188" s="795" t="s">
        <v>3448</v>
      </c>
      <c r="H188" s="812"/>
      <c r="I188" s="812"/>
      <c r="J188" s="795"/>
      <c r="K188" s="795"/>
      <c r="L188" s="812">
        <v>2</v>
      </c>
      <c r="M188" s="812">
        <v>638</v>
      </c>
      <c r="N188" s="795">
        <v>1</v>
      </c>
      <c r="O188" s="795">
        <v>319</v>
      </c>
      <c r="P188" s="812"/>
      <c r="Q188" s="812"/>
      <c r="R188" s="800"/>
      <c r="S188" s="813"/>
    </row>
    <row r="189" spans="1:19" ht="14.4" customHeight="1" x14ac:dyDescent="0.3">
      <c r="A189" s="794" t="s">
        <v>3363</v>
      </c>
      <c r="B189" s="795" t="s">
        <v>3364</v>
      </c>
      <c r="C189" s="795" t="s">
        <v>601</v>
      </c>
      <c r="D189" s="795" t="s">
        <v>1529</v>
      </c>
      <c r="E189" s="795" t="s">
        <v>3374</v>
      </c>
      <c r="F189" s="795" t="s">
        <v>3449</v>
      </c>
      <c r="G189" s="795" t="s">
        <v>3450</v>
      </c>
      <c r="H189" s="812">
        <v>1</v>
      </c>
      <c r="I189" s="812">
        <v>487</v>
      </c>
      <c r="J189" s="795"/>
      <c r="K189" s="795">
        <v>487</v>
      </c>
      <c r="L189" s="812"/>
      <c r="M189" s="812"/>
      <c r="N189" s="795"/>
      <c r="O189" s="795"/>
      <c r="P189" s="812"/>
      <c r="Q189" s="812"/>
      <c r="R189" s="800"/>
      <c r="S189" s="813"/>
    </row>
    <row r="190" spans="1:19" ht="14.4" customHeight="1" x14ac:dyDescent="0.3">
      <c r="A190" s="794" t="s">
        <v>3363</v>
      </c>
      <c r="B190" s="795" t="s">
        <v>3364</v>
      </c>
      <c r="C190" s="795" t="s">
        <v>601</v>
      </c>
      <c r="D190" s="795" t="s">
        <v>1529</v>
      </c>
      <c r="E190" s="795" t="s">
        <v>3374</v>
      </c>
      <c r="F190" s="795" t="s">
        <v>3453</v>
      </c>
      <c r="G190" s="795" t="s">
        <v>3454</v>
      </c>
      <c r="H190" s="812"/>
      <c r="I190" s="812"/>
      <c r="J190" s="795"/>
      <c r="K190" s="795"/>
      <c r="L190" s="812">
        <v>5</v>
      </c>
      <c r="M190" s="812">
        <v>575</v>
      </c>
      <c r="N190" s="795">
        <v>1</v>
      </c>
      <c r="O190" s="795">
        <v>115</v>
      </c>
      <c r="P190" s="812">
        <v>16</v>
      </c>
      <c r="Q190" s="812">
        <v>1840</v>
      </c>
      <c r="R190" s="800">
        <v>3.2</v>
      </c>
      <c r="S190" s="813">
        <v>115</v>
      </c>
    </row>
    <row r="191" spans="1:19" ht="14.4" customHeight="1" x14ac:dyDescent="0.3">
      <c r="A191" s="794" t="s">
        <v>3363</v>
      </c>
      <c r="B191" s="795" t="s">
        <v>3364</v>
      </c>
      <c r="C191" s="795" t="s">
        <v>601</v>
      </c>
      <c r="D191" s="795" t="s">
        <v>1529</v>
      </c>
      <c r="E191" s="795" t="s">
        <v>3374</v>
      </c>
      <c r="F191" s="795" t="s">
        <v>3461</v>
      </c>
      <c r="G191" s="795" t="s">
        <v>3462</v>
      </c>
      <c r="H191" s="812">
        <v>1</v>
      </c>
      <c r="I191" s="812">
        <v>935</v>
      </c>
      <c r="J191" s="795"/>
      <c r="K191" s="795">
        <v>935</v>
      </c>
      <c r="L191" s="812"/>
      <c r="M191" s="812"/>
      <c r="N191" s="795"/>
      <c r="O191" s="795"/>
      <c r="P191" s="812"/>
      <c r="Q191" s="812"/>
      <c r="R191" s="800"/>
      <c r="S191" s="813"/>
    </row>
    <row r="192" spans="1:19" ht="14.4" customHeight="1" x14ac:dyDescent="0.3">
      <c r="A192" s="794" t="s">
        <v>3363</v>
      </c>
      <c r="B192" s="795" t="s">
        <v>3364</v>
      </c>
      <c r="C192" s="795" t="s">
        <v>601</v>
      </c>
      <c r="D192" s="795" t="s">
        <v>1529</v>
      </c>
      <c r="E192" s="795" t="s">
        <v>3374</v>
      </c>
      <c r="F192" s="795" t="s">
        <v>3463</v>
      </c>
      <c r="G192" s="795" t="s">
        <v>3464</v>
      </c>
      <c r="H192" s="812">
        <v>1</v>
      </c>
      <c r="I192" s="812">
        <v>223</v>
      </c>
      <c r="J192" s="795">
        <v>0.98237885462555063</v>
      </c>
      <c r="K192" s="795">
        <v>223</v>
      </c>
      <c r="L192" s="812">
        <v>1</v>
      </c>
      <c r="M192" s="812">
        <v>227</v>
      </c>
      <c r="N192" s="795">
        <v>1</v>
      </c>
      <c r="O192" s="795">
        <v>227</v>
      </c>
      <c r="P192" s="812">
        <v>5</v>
      </c>
      <c r="Q192" s="812">
        <v>1135</v>
      </c>
      <c r="R192" s="800">
        <v>5</v>
      </c>
      <c r="S192" s="813">
        <v>227</v>
      </c>
    </row>
    <row r="193" spans="1:19" ht="14.4" customHeight="1" x14ac:dyDescent="0.3">
      <c r="A193" s="794" t="s">
        <v>3363</v>
      </c>
      <c r="B193" s="795" t="s">
        <v>3364</v>
      </c>
      <c r="C193" s="795" t="s">
        <v>601</v>
      </c>
      <c r="D193" s="795" t="s">
        <v>1529</v>
      </c>
      <c r="E193" s="795" t="s">
        <v>3374</v>
      </c>
      <c r="F193" s="795" t="s">
        <v>3467</v>
      </c>
      <c r="G193" s="795" t="s">
        <v>3468</v>
      </c>
      <c r="H193" s="812"/>
      <c r="I193" s="812"/>
      <c r="J193" s="795"/>
      <c r="K193" s="795"/>
      <c r="L193" s="812"/>
      <c r="M193" s="812"/>
      <c r="N193" s="795"/>
      <c r="O193" s="795"/>
      <c r="P193" s="812">
        <v>1</v>
      </c>
      <c r="Q193" s="812">
        <v>400</v>
      </c>
      <c r="R193" s="800"/>
      <c r="S193" s="813">
        <v>400</v>
      </c>
    </row>
    <row r="194" spans="1:19" ht="14.4" customHeight="1" x14ac:dyDescent="0.3">
      <c r="A194" s="794" t="s">
        <v>3363</v>
      </c>
      <c r="B194" s="795" t="s">
        <v>3364</v>
      </c>
      <c r="C194" s="795" t="s">
        <v>601</v>
      </c>
      <c r="D194" s="795" t="s">
        <v>1530</v>
      </c>
      <c r="E194" s="795" t="s">
        <v>3365</v>
      </c>
      <c r="F194" s="795" t="s">
        <v>3366</v>
      </c>
      <c r="G194" s="795" t="s">
        <v>3367</v>
      </c>
      <c r="H194" s="812">
        <v>0.30000000000000004</v>
      </c>
      <c r="I194" s="812">
        <v>45.3</v>
      </c>
      <c r="J194" s="795">
        <v>0.13038973000978643</v>
      </c>
      <c r="K194" s="795">
        <v>150.99999999999997</v>
      </c>
      <c r="L194" s="812">
        <v>2.2999999999999998</v>
      </c>
      <c r="M194" s="812">
        <v>347.41999999999996</v>
      </c>
      <c r="N194" s="795">
        <v>1</v>
      </c>
      <c r="O194" s="795">
        <v>151.05217391304348</v>
      </c>
      <c r="P194" s="812">
        <v>1.2</v>
      </c>
      <c r="Q194" s="812">
        <v>181.28</v>
      </c>
      <c r="R194" s="800">
        <v>0.52178918887801518</v>
      </c>
      <c r="S194" s="813">
        <v>151.06666666666666</v>
      </c>
    </row>
    <row r="195" spans="1:19" ht="14.4" customHeight="1" x14ac:dyDescent="0.3">
      <c r="A195" s="794" t="s">
        <v>3363</v>
      </c>
      <c r="B195" s="795" t="s">
        <v>3364</v>
      </c>
      <c r="C195" s="795" t="s">
        <v>601</v>
      </c>
      <c r="D195" s="795" t="s">
        <v>1530</v>
      </c>
      <c r="E195" s="795" t="s">
        <v>3374</v>
      </c>
      <c r="F195" s="795" t="s">
        <v>3375</v>
      </c>
      <c r="G195" s="795" t="s">
        <v>3376</v>
      </c>
      <c r="H195" s="812"/>
      <c r="I195" s="812"/>
      <c r="J195" s="795"/>
      <c r="K195" s="795"/>
      <c r="L195" s="812">
        <v>2</v>
      </c>
      <c r="M195" s="812">
        <v>166</v>
      </c>
      <c r="N195" s="795">
        <v>1</v>
      </c>
      <c r="O195" s="795">
        <v>83</v>
      </c>
      <c r="P195" s="812">
        <v>1</v>
      </c>
      <c r="Q195" s="812">
        <v>83</v>
      </c>
      <c r="R195" s="800">
        <v>0.5</v>
      </c>
      <c r="S195" s="813">
        <v>83</v>
      </c>
    </row>
    <row r="196" spans="1:19" ht="14.4" customHeight="1" x14ac:dyDescent="0.3">
      <c r="A196" s="794" t="s">
        <v>3363</v>
      </c>
      <c r="B196" s="795" t="s">
        <v>3364</v>
      </c>
      <c r="C196" s="795" t="s">
        <v>601</v>
      </c>
      <c r="D196" s="795" t="s">
        <v>1530</v>
      </c>
      <c r="E196" s="795" t="s">
        <v>3374</v>
      </c>
      <c r="F196" s="795" t="s">
        <v>3387</v>
      </c>
      <c r="G196" s="795" t="s">
        <v>3388</v>
      </c>
      <c r="H196" s="812">
        <v>1</v>
      </c>
      <c r="I196" s="812">
        <v>201</v>
      </c>
      <c r="J196" s="795"/>
      <c r="K196" s="795">
        <v>201</v>
      </c>
      <c r="L196" s="812"/>
      <c r="M196" s="812"/>
      <c r="N196" s="795"/>
      <c r="O196" s="795"/>
      <c r="P196" s="812"/>
      <c r="Q196" s="812"/>
      <c r="R196" s="800"/>
      <c r="S196" s="813"/>
    </row>
    <row r="197" spans="1:19" ht="14.4" customHeight="1" x14ac:dyDescent="0.3">
      <c r="A197" s="794" t="s">
        <v>3363</v>
      </c>
      <c r="B197" s="795" t="s">
        <v>3364</v>
      </c>
      <c r="C197" s="795" t="s">
        <v>601</v>
      </c>
      <c r="D197" s="795" t="s">
        <v>1530</v>
      </c>
      <c r="E197" s="795" t="s">
        <v>3374</v>
      </c>
      <c r="F197" s="795" t="s">
        <v>3389</v>
      </c>
      <c r="G197" s="795" t="s">
        <v>3390</v>
      </c>
      <c r="H197" s="812">
        <v>3</v>
      </c>
      <c r="I197" s="812">
        <v>903</v>
      </c>
      <c r="J197" s="795">
        <v>2.9223300970873787</v>
      </c>
      <c r="K197" s="795">
        <v>301</v>
      </c>
      <c r="L197" s="812">
        <v>1</v>
      </c>
      <c r="M197" s="812">
        <v>309</v>
      </c>
      <c r="N197" s="795">
        <v>1</v>
      </c>
      <c r="O197" s="795">
        <v>309</v>
      </c>
      <c r="P197" s="812">
        <v>3</v>
      </c>
      <c r="Q197" s="812">
        <v>927</v>
      </c>
      <c r="R197" s="800">
        <v>3</v>
      </c>
      <c r="S197" s="813">
        <v>309</v>
      </c>
    </row>
    <row r="198" spans="1:19" ht="14.4" customHeight="1" x14ac:dyDescent="0.3">
      <c r="A198" s="794" t="s">
        <v>3363</v>
      </c>
      <c r="B198" s="795" t="s">
        <v>3364</v>
      </c>
      <c r="C198" s="795" t="s">
        <v>601</v>
      </c>
      <c r="D198" s="795" t="s">
        <v>1530</v>
      </c>
      <c r="E198" s="795" t="s">
        <v>3374</v>
      </c>
      <c r="F198" s="795" t="s">
        <v>3391</v>
      </c>
      <c r="G198" s="795" t="s">
        <v>3392</v>
      </c>
      <c r="H198" s="812"/>
      <c r="I198" s="812"/>
      <c r="J198" s="795"/>
      <c r="K198" s="795"/>
      <c r="L198" s="812">
        <v>1</v>
      </c>
      <c r="M198" s="812">
        <v>488</v>
      </c>
      <c r="N198" s="795">
        <v>1</v>
      </c>
      <c r="O198" s="795">
        <v>488</v>
      </c>
      <c r="P198" s="812"/>
      <c r="Q198" s="812"/>
      <c r="R198" s="800"/>
      <c r="S198" s="813"/>
    </row>
    <row r="199" spans="1:19" ht="14.4" customHeight="1" x14ac:dyDescent="0.3">
      <c r="A199" s="794" t="s">
        <v>3363</v>
      </c>
      <c r="B199" s="795" t="s">
        <v>3364</v>
      </c>
      <c r="C199" s="795" t="s">
        <v>601</v>
      </c>
      <c r="D199" s="795" t="s">
        <v>1530</v>
      </c>
      <c r="E199" s="795" t="s">
        <v>3374</v>
      </c>
      <c r="F199" s="795" t="s">
        <v>3393</v>
      </c>
      <c r="G199" s="795" t="s">
        <v>3394</v>
      </c>
      <c r="H199" s="812">
        <v>4</v>
      </c>
      <c r="I199" s="812">
        <v>380</v>
      </c>
      <c r="J199" s="795">
        <v>0.38383838383838381</v>
      </c>
      <c r="K199" s="795">
        <v>95</v>
      </c>
      <c r="L199" s="812">
        <v>10</v>
      </c>
      <c r="M199" s="812">
        <v>990</v>
      </c>
      <c r="N199" s="795">
        <v>1</v>
      </c>
      <c r="O199" s="795">
        <v>99</v>
      </c>
      <c r="P199" s="812">
        <v>5</v>
      </c>
      <c r="Q199" s="812">
        <v>495</v>
      </c>
      <c r="R199" s="800">
        <v>0.5</v>
      </c>
      <c r="S199" s="813">
        <v>99</v>
      </c>
    </row>
    <row r="200" spans="1:19" ht="14.4" customHeight="1" x14ac:dyDescent="0.3">
      <c r="A200" s="794" t="s">
        <v>3363</v>
      </c>
      <c r="B200" s="795" t="s">
        <v>3364</v>
      </c>
      <c r="C200" s="795" t="s">
        <v>601</v>
      </c>
      <c r="D200" s="795" t="s">
        <v>1530</v>
      </c>
      <c r="E200" s="795" t="s">
        <v>3374</v>
      </c>
      <c r="F200" s="795" t="s">
        <v>3395</v>
      </c>
      <c r="G200" s="795" t="s">
        <v>3396</v>
      </c>
      <c r="H200" s="812">
        <v>6</v>
      </c>
      <c r="I200" s="812">
        <v>558</v>
      </c>
      <c r="J200" s="795">
        <v>2.8762886597938144</v>
      </c>
      <c r="K200" s="795">
        <v>93</v>
      </c>
      <c r="L200" s="812">
        <v>2</v>
      </c>
      <c r="M200" s="812">
        <v>194</v>
      </c>
      <c r="N200" s="795">
        <v>1</v>
      </c>
      <c r="O200" s="795">
        <v>97</v>
      </c>
      <c r="P200" s="812">
        <v>4</v>
      </c>
      <c r="Q200" s="812">
        <v>388</v>
      </c>
      <c r="R200" s="800">
        <v>2</v>
      </c>
      <c r="S200" s="813">
        <v>97</v>
      </c>
    </row>
    <row r="201" spans="1:19" ht="14.4" customHeight="1" x14ac:dyDescent="0.3">
      <c r="A201" s="794" t="s">
        <v>3363</v>
      </c>
      <c r="B201" s="795" t="s">
        <v>3364</v>
      </c>
      <c r="C201" s="795" t="s">
        <v>601</v>
      </c>
      <c r="D201" s="795" t="s">
        <v>1530</v>
      </c>
      <c r="E201" s="795" t="s">
        <v>3374</v>
      </c>
      <c r="F201" s="795" t="s">
        <v>3397</v>
      </c>
      <c r="G201" s="795" t="s">
        <v>3398</v>
      </c>
      <c r="H201" s="812">
        <v>163</v>
      </c>
      <c r="I201" s="812">
        <v>19234</v>
      </c>
      <c r="J201" s="795">
        <v>0.79505621693121697</v>
      </c>
      <c r="K201" s="795">
        <v>118</v>
      </c>
      <c r="L201" s="812">
        <v>192</v>
      </c>
      <c r="M201" s="812">
        <v>24192</v>
      </c>
      <c r="N201" s="795">
        <v>1</v>
      </c>
      <c r="O201" s="795">
        <v>126</v>
      </c>
      <c r="P201" s="812">
        <v>147</v>
      </c>
      <c r="Q201" s="812">
        <v>18522</v>
      </c>
      <c r="R201" s="800">
        <v>0.765625</v>
      </c>
      <c r="S201" s="813">
        <v>126</v>
      </c>
    </row>
    <row r="202" spans="1:19" ht="14.4" customHeight="1" x14ac:dyDescent="0.3">
      <c r="A202" s="794" t="s">
        <v>3363</v>
      </c>
      <c r="B202" s="795" t="s">
        <v>3364</v>
      </c>
      <c r="C202" s="795" t="s">
        <v>601</v>
      </c>
      <c r="D202" s="795" t="s">
        <v>1530</v>
      </c>
      <c r="E202" s="795" t="s">
        <v>3374</v>
      </c>
      <c r="F202" s="795" t="s">
        <v>3405</v>
      </c>
      <c r="G202" s="795" t="s">
        <v>3406</v>
      </c>
      <c r="H202" s="812">
        <v>2</v>
      </c>
      <c r="I202" s="812">
        <v>3274</v>
      </c>
      <c r="J202" s="795">
        <v>0.39045915324985092</v>
      </c>
      <c r="K202" s="795">
        <v>1637</v>
      </c>
      <c r="L202" s="812">
        <v>5</v>
      </c>
      <c r="M202" s="812">
        <v>8385</v>
      </c>
      <c r="N202" s="795">
        <v>1</v>
      </c>
      <c r="O202" s="795">
        <v>1677</v>
      </c>
      <c r="P202" s="812"/>
      <c r="Q202" s="812"/>
      <c r="R202" s="800"/>
      <c r="S202" s="813"/>
    </row>
    <row r="203" spans="1:19" ht="14.4" customHeight="1" x14ac:dyDescent="0.3">
      <c r="A203" s="794" t="s">
        <v>3363</v>
      </c>
      <c r="B203" s="795" t="s">
        <v>3364</v>
      </c>
      <c r="C203" s="795" t="s">
        <v>601</v>
      </c>
      <c r="D203" s="795" t="s">
        <v>1530</v>
      </c>
      <c r="E203" s="795" t="s">
        <v>3374</v>
      </c>
      <c r="F203" s="795" t="s">
        <v>3407</v>
      </c>
      <c r="G203" s="795" t="s">
        <v>3408</v>
      </c>
      <c r="H203" s="812"/>
      <c r="I203" s="812"/>
      <c r="J203" s="795"/>
      <c r="K203" s="795"/>
      <c r="L203" s="812">
        <v>8</v>
      </c>
      <c r="M203" s="812">
        <v>10472</v>
      </c>
      <c r="N203" s="795">
        <v>1</v>
      </c>
      <c r="O203" s="795">
        <v>1309</v>
      </c>
      <c r="P203" s="812">
        <v>5</v>
      </c>
      <c r="Q203" s="812">
        <v>6550</v>
      </c>
      <c r="R203" s="800">
        <v>0.62547746371275781</v>
      </c>
      <c r="S203" s="813">
        <v>1310</v>
      </c>
    </row>
    <row r="204" spans="1:19" ht="14.4" customHeight="1" x14ac:dyDescent="0.3">
      <c r="A204" s="794" t="s">
        <v>3363</v>
      </c>
      <c r="B204" s="795" t="s">
        <v>3364</v>
      </c>
      <c r="C204" s="795" t="s">
        <v>601</v>
      </c>
      <c r="D204" s="795" t="s">
        <v>1530</v>
      </c>
      <c r="E204" s="795" t="s">
        <v>3374</v>
      </c>
      <c r="F204" s="795" t="s">
        <v>3409</v>
      </c>
      <c r="G204" s="795" t="s">
        <v>3410</v>
      </c>
      <c r="H204" s="812"/>
      <c r="I204" s="812"/>
      <c r="J204" s="795"/>
      <c r="K204" s="795"/>
      <c r="L204" s="812">
        <v>1</v>
      </c>
      <c r="M204" s="812">
        <v>971</v>
      </c>
      <c r="N204" s="795">
        <v>1</v>
      </c>
      <c r="O204" s="795">
        <v>971</v>
      </c>
      <c r="P204" s="812"/>
      <c r="Q204" s="812"/>
      <c r="R204" s="800"/>
      <c r="S204" s="813"/>
    </row>
    <row r="205" spans="1:19" ht="14.4" customHeight="1" x14ac:dyDescent="0.3">
      <c r="A205" s="794" t="s">
        <v>3363</v>
      </c>
      <c r="B205" s="795" t="s">
        <v>3364</v>
      </c>
      <c r="C205" s="795" t="s">
        <v>601</v>
      </c>
      <c r="D205" s="795" t="s">
        <v>1530</v>
      </c>
      <c r="E205" s="795" t="s">
        <v>3374</v>
      </c>
      <c r="F205" s="795" t="s">
        <v>3413</v>
      </c>
      <c r="G205" s="795" t="s">
        <v>3414</v>
      </c>
      <c r="H205" s="812">
        <v>1</v>
      </c>
      <c r="I205" s="812">
        <v>157</v>
      </c>
      <c r="J205" s="795">
        <v>0.96319018404907975</v>
      </c>
      <c r="K205" s="795">
        <v>157</v>
      </c>
      <c r="L205" s="812">
        <v>1</v>
      </c>
      <c r="M205" s="812">
        <v>163</v>
      </c>
      <c r="N205" s="795">
        <v>1</v>
      </c>
      <c r="O205" s="795">
        <v>163</v>
      </c>
      <c r="P205" s="812">
        <v>2</v>
      </c>
      <c r="Q205" s="812">
        <v>326</v>
      </c>
      <c r="R205" s="800">
        <v>2</v>
      </c>
      <c r="S205" s="813">
        <v>163</v>
      </c>
    </row>
    <row r="206" spans="1:19" ht="14.4" customHeight="1" x14ac:dyDescent="0.3">
      <c r="A206" s="794" t="s">
        <v>3363</v>
      </c>
      <c r="B206" s="795" t="s">
        <v>3364</v>
      </c>
      <c r="C206" s="795" t="s">
        <v>601</v>
      </c>
      <c r="D206" s="795" t="s">
        <v>1530</v>
      </c>
      <c r="E206" s="795" t="s">
        <v>3374</v>
      </c>
      <c r="F206" s="795" t="s">
        <v>3415</v>
      </c>
      <c r="G206" s="795" t="s">
        <v>3416</v>
      </c>
      <c r="H206" s="812">
        <v>1</v>
      </c>
      <c r="I206" s="812">
        <v>318</v>
      </c>
      <c r="J206" s="795"/>
      <c r="K206" s="795">
        <v>318</v>
      </c>
      <c r="L206" s="812"/>
      <c r="M206" s="812"/>
      <c r="N206" s="795"/>
      <c r="O206" s="795"/>
      <c r="P206" s="812"/>
      <c r="Q206" s="812"/>
      <c r="R206" s="800"/>
      <c r="S206" s="813"/>
    </row>
    <row r="207" spans="1:19" ht="14.4" customHeight="1" x14ac:dyDescent="0.3">
      <c r="A207" s="794" t="s">
        <v>3363</v>
      </c>
      <c r="B207" s="795" t="s">
        <v>3364</v>
      </c>
      <c r="C207" s="795" t="s">
        <v>601</v>
      </c>
      <c r="D207" s="795" t="s">
        <v>1530</v>
      </c>
      <c r="E207" s="795" t="s">
        <v>3374</v>
      </c>
      <c r="F207" s="795" t="s">
        <v>3417</v>
      </c>
      <c r="G207" s="795" t="s">
        <v>3418</v>
      </c>
      <c r="H207" s="812"/>
      <c r="I207" s="812"/>
      <c r="J207" s="795"/>
      <c r="K207" s="795"/>
      <c r="L207" s="812">
        <v>176</v>
      </c>
      <c r="M207" s="812">
        <v>5866.6399999999994</v>
      </c>
      <c r="N207" s="795">
        <v>1</v>
      </c>
      <c r="O207" s="795">
        <v>33.333181818181814</v>
      </c>
      <c r="P207" s="812">
        <v>141</v>
      </c>
      <c r="Q207" s="812">
        <v>4699.99</v>
      </c>
      <c r="R207" s="800">
        <v>0.80113830062863922</v>
      </c>
      <c r="S207" s="813">
        <v>33.333262411347519</v>
      </c>
    </row>
    <row r="208" spans="1:19" ht="14.4" customHeight="1" x14ac:dyDescent="0.3">
      <c r="A208" s="794" t="s">
        <v>3363</v>
      </c>
      <c r="B208" s="795" t="s">
        <v>3364</v>
      </c>
      <c r="C208" s="795" t="s">
        <v>601</v>
      </c>
      <c r="D208" s="795" t="s">
        <v>1530</v>
      </c>
      <c r="E208" s="795" t="s">
        <v>3374</v>
      </c>
      <c r="F208" s="795" t="s">
        <v>3423</v>
      </c>
      <c r="G208" s="795" t="s">
        <v>3424</v>
      </c>
      <c r="H208" s="812">
        <v>2</v>
      </c>
      <c r="I208" s="812">
        <v>164</v>
      </c>
      <c r="J208" s="795">
        <v>0.17336152219873149</v>
      </c>
      <c r="K208" s="795">
        <v>82</v>
      </c>
      <c r="L208" s="812">
        <v>11</v>
      </c>
      <c r="M208" s="812">
        <v>946</v>
      </c>
      <c r="N208" s="795">
        <v>1</v>
      </c>
      <c r="O208" s="795">
        <v>86</v>
      </c>
      <c r="P208" s="812">
        <v>4</v>
      </c>
      <c r="Q208" s="812">
        <v>344</v>
      </c>
      <c r="R208" s="800">
        <v>0.36363636363636365</v>
      </c>
      <c r="S208" s="813">
        <v>86</v>
      </c>
    </row>
    <row r="209" spans="1:19" ht="14.4" customHeight="1" x14ac:dyDescent="0.3">
      <c r="A209" s="794" t="s">
        <v>3363</v>
      </c>
      <c r="B209" s="795" t="s">
        <v>3364</v>
      </c>
      <c r="C209" s="795" t="s">
        <v>601</v>
      </c>
      <c r="D209" s="795" t="s">
        <v>1530</v>
      </c>
      <c r="E209" s="795" t="s">
        <v>3374</v>
      </c>
      <c r="F209" s="795" t="s">
        <v>3425</v>
      </c>
      <c r="G209" s="795" t="s">
        <v>3426</v>
      </c>
      <c r="H209" s="812"/>
      <c r="I209" s="812"/>
      <c r="J209" s="795"/>
      <c r="K209" s="795"/>
      <c r="L209" s="812">
        <v>6</v>
      </c>
      <c r="M209" s="812">
        <v>192</v>
      </c>
      <c r="N209" s="795">
        <v>1</v>
      </c>
      <c r="O209" s="795">
        <v>32</v>
      </c>
      <c r="P209" s="812">
        <v>4</v>
      </c>
      <c r="Q209" s="812">
        <v>128</v>
      </c>
      <c r="R209" s="800">
        <v>0.66666666666666663</v>
      </c>
      <c r="S209" s="813">
        <v>32</v>
      </c>
    </row>
    <row r="210" spans="1:19" ht="14.4" customHeight="1" x14ac:dyDescent="0.3">
      <c r="A210" s="794" t="s">
        <v>3363</v>
      </c>
      <c r="B210" s="795" t="s">
        <v>3364</v>
      </c>
      <c r="C210" s="795" t="s">
        <v>601</v>
      </c>
      <c r="D210" s="795" t="s">
        <v>1530</v>
      </c>
      <c r="E210" s="795" t="s">
        <v>3374</v>
      </c>
      <c r="F210" s="795" t="s">
        <v>3431</v>
      </c>
      <c r="G210" s="795" t="s">
        <v>3432</v>
      </c>
      <c r="H210" s="812">
        <v>6</v>
      </c>
      <c r="I210" s="812">
        <v>948</v>
      </c>
      <c r="J210" s="795">
        <v>1.9506172839506173</v>
      </c>
      <c r="K210" s="795">
        <v>158</v>
      </c>
      <c r="L210" s="812">
        <v>3</v>
      </c>
      <c r="M210" s="812">
        <v>486</v>
      </c>
      <c r="N210" s="795">
        <v>1</v>
      </c>
      <c r="O210" s="795">
        <v>162</v>
      </c>
      <c r="P210" s="812">
        <v>3</v>
      </c>
      <c r="Q210" s="812">
        <v>486</v>
      </c>
      <c r="R210" s="800">
        <v>1</v>
      </c>
      <c r="S210" s="813">
        <v>162</v>
      </c>
    </row>
    <row r="211" spans="1:19" ht="14.4" customHeight="1" x14ac:dyDescent="0.3">
      <c r="A211" s="794" t="s">
        <v>3363</v>
      </c>
      <c r="B211" s="795" t="s">
        <v>3364</v>
      </c>
      <c r="C211" s="795" t="s">
        <v>601</v>
      </c>
      <c r="D211" s="795" t="s">
        <v>1530</v>
      </c>
      <c r="E211" s="795" t="s">
        <v>3374</v>
      </c>
      <c r="F211" s="795" t="s">
        <v>3435</v>
      </c>
      <c r="G211" s="795" t="s">
        <v>3436</v>
      </c>
      <c r="H211" s="812">
        <v>2</v>
      </c>
      <c r="I211" s="812">
        <v>470</v>
      </c>
      <c r="J211" s="795">
        <v>0.17022817819630567</v>
      </c>
      <c r="K211" s="795">
        <v>235</v>
      </c>
      <c r="L211" s="812">
        <v>11</v>
      </c>
      <c r="M211" s="812">
        <v>2761</v>
      </c>
      <c r="N211" s="795">
        <v>1</v>
      </c>
      <c r="O211" s="795">
        <v>251</v>
      </c>
      <c r="P211" s="812">
        <v>15</v>
      </c>
      <c r="Q211" s="812">
        <v>3765</v>
      </c>
      <c r="R211" s="800">
        <v>1.3636363636363635</v>
      </c>
      <c r="S211" s="813">
        <v>251</v>
      </c>
    </row>
    <row r="212" spans="1:19" ht="14.4" customHeight="1" x14ac:dyDescent="0.3">
      <c r="A212" s="794" t="s">
        <v>3363</v>
      </c>
      <c r="B212" s="795" t="s">
        <v>3364</v>
      </c>
      <c r="C212" s="795" t="s">
        <v>601</v>
      </c>
      <c r="D212" s="795" t="s">
        <v>1530</v>
      </c>
      <c r="E212" s="795" t="s">
        <v>3374</v>
      </c>
      <c r="F212" s="795" t="s">
        <v>3453</v>
      </c>
      <c r="G212" s="795" t="s">
        <v>3454</v>
      </c>
      <c r="H212" s="812">
        <v>4</v>
      </c>
      <c r="I212" s="812">
        <v>444</v>
      </c>
      <c r="J212" s="795">
        <v>1.9304347826086956</v>
      </c>
      <c r="K212" s="795">
        <v>111</v>
      </c>
      <c r="L212" s="812">
        <v>2</v>
      </c>
      <c r="M212" s="812">
        <v>230</v>
      </c>
      <c r="N212" s="795">
        <v>1</v>
      </c>
      <c r="O212" s="795">
        <v>115</v>
      </c>
      <c r="P212" s="812">
        <v>1</v>
      </c>
      <c r="Q212" s="812">
        <v>115</v>
      </c>
      <c r="R212" s="800">
        <v>0.5</v>
      </c>
      <c r="S212" s="813">
        <v>115</v>
      </c>
    </row>
    <row r="213" spans="1:19" ht="14.4" customHeight="1" x14ac:dyDescent="0.3">
      <c r="A213" s="794" t="s">
        <v>3363</v>
      </c>
      <c r="B213" s="795" t="s">
        <v>3364</v>
      </c>
      <c r="C213" s="795" t="s">
        <v>601</v>
      </c>
      <c r="D213" s="795" t="s">
        <v>1530</v>
      </c>
      <c r="E213" s="795" t="s">
        <v>3374</v>
      </c>
      <c r="F213" s="795" t="s">
        <v>3465</v>
      </c>
      <c r="G213" s="795" t="s">
        <v>3466</v>
      </c>
      <c r="H213" s="812"/>
      <c r="I213" s="812"/>
      <c r="J213" s="795"/>
      <c r="K213" s="795"/>
      <c r="L213" s="812"/>
      <c r="M213" s="812"/>
      <c r="N213" s="795"/>
      <c r="O213" s="795"/>
      <c r="P213" s="812">
        <v>2</v>
      </c>
      <c r="Q213" s="812">
        <v>172</v>
      </c>
      <c r="R213" s="800"/>
      <c r="S213" s="813">
        <v>86</v>
      </c>
    </row>
    <row r="214" spans="1:19" ht="14.4" customHeight="1" x14ac:dyDescent="0.3">
      <c r="A214" s="794" t="s">
        <v>3363</v>
      </c>
      <c r="B214" s="795" t="s">
        <v>3364</v>
      </c>
      <c r="C214" s="795" t="s">
        <v>601</v>
      </c>
      <c r="D214" s="795" t="s">
        <v>1530</v>
      </c>
      <c r="E214" s="795" t="s">
        <v>3374</v>
      </c>
      <c r="F214" s="795" t="s">
        <v>3477</v>
      </c>
      <c r="G214" s="795"/>
      <c r="H214" s="812"/>
      <c r="I214" s="812"/>
      <c r="J214" s="795"/>
      <c r="K214" s="795"/>
      <c r="L214" s="812"/>
      <c r="M214" s="812"/>
      <c r="N214" s="795"/>
      <c r="O214" s="795"/>
      <c r="P214" s="812">
        <v>1</v>
      </c>
      <c r="Q214" s="812">
        <v>86</v>
      </c>
      <c r="R214" s="800"/>
      <c r="S214" s="813">
        <v>86</v>
      </c>
    </row>
    <row r="215" spans="1:19" ht="14.4" customHeight="1" x14ac:dyDescent="0.3">
      <c r="A215" s="794" t="s">
        <v>3363</v>
      </c>
      <c r="B215" s="795" t="s">
        <v>3364</v>
      </c>
      <c r="C215" s="795" t="s">
        <v>601</v>
      </c>
      <c r="D215" s="795" t="s">
        <v>1531</v>
      </c>
      <c r="E215" s="795" t="s">
        <v>3365</v>
      </c>
      <c r="F215" s="795" t="s">
        <v>3366</v>
      </c>
      <c r="G215" s="795" t="s">
        <v>3367</v>
      </c>
      <c r="H215" s="812">
        <v>0.3</v>
      </c>
      <c r="I215" s="812">
        <v>45.32</v>
      </c>
      <c r="J215" s="795">
        <v>0.75008275405494873</v>
      </c>
      <c r="K215" s="795">
        <v>151.06666666666666</v>
      </c>
      <c r="L215" s="812">
        <v>0.4</v>
      </c>
      <c r="M215" s="812">
        <v>60.42</v>
      </c>
      <c r="N215" s="795">
        <v>1</v>
      </c>
      <c r="O215" s="795">
        <v>151.04999999999998</v>
      </c>
      <c r="P215" s="812">
        <v>0.5</v>
      </c>
      <c r="Q215" s="812">
        <v>75.52</v>
      </c>
      <c r="R215" s="800">
        <v>1.2499172459450512</v>
      </c>
      <c r="S215" s="813">
        <v>151.04</v>
      </c>
    </row>
    <row r="216" spans="1:19" ht="14.4" customHeight="1" x14ac:dyDescent="0.3">
      <c r="A216" s="794" t="s">
        <v>3363</v>
      </c>
      <c r="B216" s="795" t="s">
        <v>3364</v>
      </c>
      <c r="C216" s="795" t="s">
        <v>601</v>
      </c>
      <c r="D216" s="795" t="s">
        <v>1531</v>
      </c>
      <c r="E216" s="795" t="s">
        <v>3365</v>
      </c>
      <c r="F216" s="795" t="s">
        <v>3368</v>
      </c>
      <c r="G216" s="795" t="s">
        <v>1455</v>
      </c>
      <c r="H216" s="812">
        <v>0.2</v>
      </c>
      <c r="I216" s="812">
        <v>14.75</v>
      </c>
      <c r="J216" s="795"/>
      <c r="K216" s="795">
        <v>73.75</v>
      </c>
      <c r="L216" s="812"/>
      <c r="M216" s="812"/>
      <c r="N216" s="795"/>
      <c r="O216" s="795"/>
      <c r="P216" s="812"/>
      <c r="Q216" s="812"/>
      <c r="R216" s="800"/>
      <c r="S216" s="813"/>
    </row>
    <row r="217" spans="1:19" ht="14.4" customHeight="1" x14ac:dyDescent="0.3">
      <c r="A217" s="794" t="s">
        <v>3363</v>
      </c>
      <c r="B217" s="795" t="s">
        <v>3364</v>
      </c>
      <c r="C217" s="795" t="s">
        <v>601</v>
      </c>
      <c r="D217" s="795" t="s">
        <v>1531</v>
      </c>
      <c r="E217" s="795" t="s">
        <v>3374</v>
      </c>
      <c r="F217" s="795" t="s">
        <v>3375</v>
      </c>
      <c r="G217" s="795" t="s">
        <v>3376</v>
      </c>
      <c r="H217" s="812"/>
      <c r="I217" s="812"/>
      <c r="J217" s="795"/>
      <c r="K217" s="795"/>
      <c r="L217" s="812">
        <v>7</v>
      </c>
      <c r="M217" s="812">
        <v>581</v>
      </c>
      <c r="N217" s="795">
        <v>1</v>
      </c>
      <c r="O217" s="795">
        <v>83</v>
      </c>
      <c r="P217" s="812"/>
      <c r="Q217" s="812"/>
      <c r="R217" s="800"/>
      <c r="S217" s="813"/>
    </row>
    <row r="218" spans="1:19" ht="14.4" customHeight="1" x14ac:dyDescent="0.3">
      <c r="A218" s="794" t="s">
        <v>3363</v>
      </c>
      <c r="B218" s="795" t="s">
        <v>3364</v>
      </c>
      <c r="C218" s="795" t="s">
        <v>601</v>
      </c>
      <c r="D218" s="795" t="s">
        <v>1531</v>
      </c>
      <c r="E218" s="795" t="s">
        <v>3374</v>
      </c>
      <c r="F218" s="795" t="s">
        <v>3389</v>
      </c>
      <c r="G218" s="795" t="s">
        <v>3390</v>
      </c>
      <c r="H218" s="812"/>
      <c r="I218" s="812"/>
      <c r="J218" s="795"/>
      <c r="K218" s="795"/>
      <c r="L218" s="812">
        <v>1</v>
      </c>
      <c r="M218" s="812">
        <v>309</v>
      </c>
      <c r="N218" s="795">
        <v>1</v>
      </c>
      <c r="O218" s="795">
        <v>309</v>
      </c>
      <c r="P218" s="812">
        <v>1</v>
      </c>
      <c r="Q218" s="812">
        <v>309</v>
      </c>
      <c r="R218" s="800">
        <v>1</v>
      </c>
      <c r="S218" s="813">
        <v>309</v>
      </c>
    </row>
    <row r="219" spans="1:19" ht="14.4" customHeight="1" x14ac:dyDescent="0.3">
      <c r="A219" s="794" t="s">
        <v>3363</v>
      </c>
      <c r="B219" s="795" t="s">
        <v>3364</v>
      </c>
      <c r="C219" s="795" t="s">
        <v>601</v>
      </c>
      <c r="D219" s="795" t="s">
        <v>1531</v>
      </c>
      <c r="E219" s="795" t="s">
        <v>3374</v>
      </c>
      <c r="F219" s="795" t="s">
        <v>3393</v>
      </c>
      <c r="G219" s="795" t="s">
        <v>3394</v>
      </c>
      <c r="H219" s="812">
        <v>8</v>
      </c>
      <c r="I219" s="812">
        <v>760</v>
      </c>
      <c r="J219" s="795">
        <v>0.85297418630751964</v>
      </c>
      <c r="K219" s="795">
        <v>95</v>
      </c>
      <c r="L219" s="812">
        <v>9</v>
      </c>
      <c r="M219" s="812">
        <v>891</v>
      </c>
      <c r="N219" s="795">
        <v>1</v>
      </c>
      <c r="O219" s="795">
        <v>99</v>
      </c>
      <c r="P219" s="812">
        <v>5</v>
      </c>
      <c r="Q219" s="812">
        <v>495</v>
      </c>
      <c r="R219" s="800">
        <v>0.55555555555555558</v>
      </c>
      <c r="S219" s="813">
        <v>99</v>
      </c>
    </row>
    <row r="220" spans="1:19" ht="14.4" customHeight="1" x14ac:dyDescent="0.3">
      <c r="A220" s="794" t="s">
        <v>3363</v>
      </c>
      <c r="B220" s="795" t="s">
        <v>3364</v>
      </c>
      <c r="C220" s="795" t="s">
        <v>601</v>
      </c>
      <c r="D220" s="795" t="s">
        <v>1531</v>
      </c>
      <c r="E220" s="795" t="s">
        <v>3374</v>
      </c>
      <c r="F220" s="795" t="s">
        <v>3395</v>
      </c>
      <c r="G220" s="795" t="s">
        <v>3396</v>
      </c>
      <c r="H220" s="812"/>
      <c r="I220" s="812"/>
      <c r="J220" s="795"/>
      <c r="K220" s="795"/>
      <c r="L220" s="812">
        <v>5</v>
      </c>
      <c r="M220" s="812">
        <v>485</v>
      </c>
      <c r="N220" s="795">
        <v>1</v>
      </c>
      <c r="O220" s="795">
        <v>97</v>
      </c>
      <c r="P220" s="812">
        <v>5</v>
      </c>
      <c r="Q220" s="812">
        <v>485</v>
      </c>
      <c r="R220" s="800">
        <v>1</v>
      </c>
      <c r="S220" s="813">
        <v>97</v>
      </c>
    </row>
    <row r="221" spans="1:19" ht="14.4" customHeight="1" x14ac:dyDescent="0.3">
      <c r="A221" s="794" t="s">
        <v>3363</v>
      </c>
      <c r="B221" s="795" t="s">
        <v>3364</v>
      </c>
      <c r="C221" s="795" t="s">
        <v>601</v>
      </c>
      <c r="D221" s="795" t="s">
        <v>1531</v>
      </c>
      <c r="E221" s="795" t="s">
        <v>3374</v>
      </c>
      <c r="F221" s="795" t="s">
        <v>3397</v>
      </c>
      <c r="G221" s="795" t="s">
        <v>3398</v>
      </c>
      <c r="H221" s="812">
        <v>133</v>
      </c>
      <c r="I221" s="812">
        <v>15694</v>
      </c>
      <c r="J221" s="795">
        <v>0.67693236714975846</v>
      </c>
      <c r="K221" s="795">
        <v>118</v>
      </c>
      <c r="L221" s="812">
        <v>184</v>
      </c>
      <c r="M221" s="812">
        <v>23184</v>
      </c>
      <c r="N221" s="795">
        <v>1</v>
      </c>
      <c r="O221" s="795">
        <v>126</v>
      </c>
      <c r="P221" s="812">
        <v>213</v>
      </c>
      <c r="Q221" s="812">
        <v>26838</v>
      </c>
      <c r="R221" s="800">
        <v>1.1576086956521738</v>
      </c>
      <c r="S221" s="813">
        <v>126</v>
      </c>
    </row>
    <row r="222" spans="1:19" ht="14.4" customHeight="1" x14ac:dyDescent="0.3">
      <c r="A222" s="794" t="s">
        <v>3363</v>
      </c>
      <c r="B222" s="795" t="s">
        <v>3364</v>
      </c>
      <c r="C222" s="795" t="s">
        <v>601</v>
      </c>
      <c r="D222" s="795" t="s">
        <v>1531</v>
      </c>
      <c r="E222" s="795" t="s">
        <v>3374</v>
      </c>
      <c r="F222" s="795" t="s">
        <v>3407</v>
      </c>
      <c r="G222" s="795" t="s">
        <v>3408</v>
      </c>
      <c r="H222" s="812">
        <v>2</v>
      </c>
      <c r="I222" s="812">
        <v>2568</v>
      </c>
      <c r="J222" s="795">
        <v>0.65393430099312455</v>
      </c>
      <c r="K222" s="795">
        <v>1284</v>
      </c>
      <c r="L222" s="812">
        <v>3</v>
      </c>
      <c r="M222" s="812">
        <v>3927</v>
      </c>
      <c r="N222" s="795">
        <v>1</v>
      </c>
      <c r="O222" s="795">
        <v>1309</v>
      </c>
      <c r="P222" s="812">
        <v>4</v>
      </c>
      <c r="Q222" s="812">
        <v>5240</v>
      </c>
      <c r="R222" s="800">
        <v>1.3343519225872167</v>
      </c>
      <c r="S222" s="813">
        <v>1310</v>
      </c>
    </row>
    <row r="223" spans="1:19" ht="14.4" customHeight="1" x14ac:dyDescent="0.3">
      <c r="A223" s="794" t="s">
        <v>3363</v>
      </c>
      <c r="B223" s="795" t="s">
        <v>3364</v>
      </c>
      <c r="C223" s="795" t="s">
        <v>601</v>
      </c>
      <c r="D223" s="795" t="s">
        <v>1531</v>
      </c>
      <c r="E223" s="795" t="s">
        <v>3374</v>
      </c>
      <c r="F223" s="795" t="s">
        <v>3411</v>
      </c>
      <c r="G223" s="795" t="s">
        <v>3412</v>
      </c>
      <c r="H223" s="812"/>
      <c r="I223" s="812"/>
      <c r="J223" s="795"/>
      <c r="K223" s="795"/>
      <c r="L223" s="812">
        <v>1</v>
      </c>
      <c r="M223" s="812">
        <v>985</v>
      </c>
      <c r="N223" s="795">
        <v>1</v>
      </c>
      <c r="O223" s="795">
        <v>985</v>
      </c>
      <c r="P223" s="812"/>
      <c r="Q223" s="812"/>
      <c r="R223" s="800"/>
      <c r="S223" s="813"/>
    </row>
    <row r="224" spans="1:19" ht="14.4" customHeight="1" x14ac:dyDescent="0.3">
      <c r="A224" s="794" t="s">
        <v>3363</v>
      </c>
      <c r="B224" s="795" t="s">
        <v>3364</v>
      </c>
      <c r="C224" s="795" t="s">
        <v>601</v>
      </c>
      <c r="D224" s="795" t="s">
        <v>1531</v>
      </c>
      <c r="E224" s="795" t="s">
        <v>3374</v>
      </c>
      <c r="F224" s="795" t="s">
        <v>3413</v>
      </c>
      <c r="G224" s="795" t="s">
        <v>3414</v>
      </c>
      <c r="H224" s="812">
        <v>1</v>
      </c>
      <c r="I224" s="812">
        <v>157</v>
      </c>
      <c r="J224" s="795">
        <v>0.24079754601226994</v>
      </c>
      <c r="K224" s="795">
        <v>157</v>
      </c>
      <c r="L224" s="812">
        <v>4</v>
      </c>
      <c r="M224" s="812">
        <v>652</v>
      </c>
      <c r="N224" s="795">
        <v>1</v>
      </c>
      <c r="O224" s="795">
        <v>163</v>
      </c>
      <c r="P224" s="812">
        <v>3</v>
      </c>
      <c r="Q224" s="812">
        <v>489</v>
      </c>
      <c r="R224" s="800">
        <v>0.75</v>
      </c>
      <c r="S224" s="813">
        <v>163</v>
      </c>
    </row>
    <row r="225" spans="1:19" ht="14.4" customHeight="1" x14ac:dyDescent="0.3">
      <c r="A225" s="794" t="s">
        <v>3363</v>
      </c>
      <c r="B225" s="795" t="s">
        <v>3364</v>
      </c>
      <c r="C225" s="795" t="s">
        <v>601</v>
      </c>
      <c r="D225" s="795" t="s">
        <v>1531</v>
      </c>
      <c r="E225" s="795" t="s">
        <v>3374</v>
      </c>
      <c r="F225" s="795" t="s">
        <v>3417</v>
      </c>
      <c r="G225" s="795" t="s">
        <v>3418</v>
      </c>
      <c r="H225" s="812"/>
      <c r="I225" s="812"/>
      <c r="J225" s="795"/>
      <c r="K225" s="795"/>
      <c r="L225" s="812">
        <v>170</v>
      </c>
      <c r="M225" s="812">
        <v>5666.6399999999994</v>
      </c>
      <c r="N225" s="795">
        <v>1</v>
      </c>
      <c r="O225" s="795">
        <v>33.333176470588235</v>
      </c>
      <c r="P225" s="812">
        <v>190</v>
      </c>
      <c r="Q225" s="812">
        <v>6333.32</v>
      </c>
      <c r="R225" s="800">
        <v>1.1176499654116021</v>
      </c>
      <c r="S225" s="813">
        <v>33.333263157894734</v>
      </c>
    </row>
    <row r="226" spans="1:19" ht="14.4" customHeight="1" x14ac:dyDescent="0.3">
      <c r="A226" s="794" t="s">
        <v>3363</v>
      </c>
      <c r="B226" s="795" t="s">
        <v>3364</v>
      </c>
      <c r="C226" s="795" t="s">
        <v>601</v>
      </c>
      <c r="D226" s="795" t="s">
        <v>1531</v>
      </c>
      <c r="E226" s="795" t="s">
        <v>3374</v>
      </c>
      <c r="F226" s="795" t="s">
        <v>3423</v>
      </c>
      <c r="G226" s="795" t="s">
        <v>3424</v>
      </c>
      <c r="H226" s="812">
        <v>2</v>
      </c>
      <c r="I226" s="812">
        <v>164</v>
      </c>
      <c r="J226" s="795">
        <v>0.63565891472868219</v>
      </c>
      <c r="K226" s="795">
        <v>82</v>
      </c>
      <c r="L226" s="812">
        <v>3</v>
      </c>
      <c r="M226" s="812">
        <v>258</v>
      </c>
      <c r="N226" s="795">
        <v>1</v>
      </c>
      <c r="O226" s="795">
        <v>86</v>
      </c>
      <c r="P226" s="812">
        <v>2</v>
      </c>
      <c r="Q226" s="812">
        <v>172</v>
      </c>
      <c r="R226" s="800">
        <v>0.66666666666666663</v>
      </c>
      <c r="S226" s="813">
        <v>86</v>
      </c>
    </row>
    <row r="227" spans="1:19" ht="14.4" customHeight="1" x14ac:dyDescent="0.3">
      <c r="A227" s="794" t="s">
        <v>3363</v>
      </c>
      <c r="B227" s="795" t="s">
        <v>3364</v>
      </c>
      <c r="C227" s="795" t="s">
        <v>601</v>
      </c>
      <c r="D227" s="795" t="s">
        <v>1531</v>
      </c>
      <c r="E227" s="795" t="s">
        <v>3374</v>
      </c>
      <c r="F227" s="795" t="s">
        <v>3425</v>
      </c>
      <c r="G227" s="795" t="s">
        <v>3426</v>
      </c>
      <c r="H227" s="812">
        <v>2</v>
      </c>
      <c r="I227" s="812">
        <v>62</v>
      </c>
      <c r="J227" s="795">
        <v>1.9375</v>
      </c>
      <c r="K227" s="795">
        <v>31</v>
      </c>
      <c r="L227" s="812">
        <v>1</v>
      </c>
      <c r="M227" s="812">
        <v>32</v>
      </c>
      <c r="N227" s="795">
        <v>1</v>
      </c>
      <c r="O227" s="795">
        <v>32</v>
      </c>
      <c r="P227" s="812">
        <v>3</v>
      </c>
      <c r="Q227" s="812">
        <v>96</v>
      </c>
      <c r="R227" s="800">
        <v>3</v>
      </c>
      <c r="S227" s="813">
        <v>32</v>
      </c>
    </row>
    <row r="228" spans="1:19" ht="14.4" customHeight="1" x14ac:dyDescent="0.3">
      <c r="A228" s="794" t="s">
        <v>3363</v>
      </c>
      <c r="B228" s="795" t="s">
        <v>3364</v>
      </c>
      <c r="C228" s="795" t="s">
        <v>601</v>
      </c>
      <c r="D228" s="795" t="s">
        <v>1531</v>
      </c>
      <c r="E228" s="795" t="s">
        <v>3374</v>
      </c>
      <c r="F228" s="795" t="s">
        <v>3427</v>
      </c>
      <c r="G228" s="795" t="s">
        <v>3428</v>
      </c>
      <c r="H228" s="812"/>
      <c r="I228" s="812"/>
      <c r="J228" s="795"/>
      <c r="K228" s="795"/>
      <c r="L228" s="812"/>
      <c r="M228" s="812"/>
      <c r="N228" s="795"/>
      <c r="O228" s="795"/>
      <c r="P228" s="812">
        <v>1</v>
      </c>
      <c r="Q228" s="812">
        <v>395</v>
      </c>
      <c r="R228" s="800"/>
      <c r="S228" s="813">
        <v>395</v>
      </c>
    </row>
    <row r="229" spans="1:19" ht="14.4" customHeight="1" x14ac:dyDescent="0.3">
      <c r="A229" s="794" t="s">
        <v>3363</v>
      </c>
      <c r="B229" s="795" t="s">
        <v>3364</v>
      </c>
      <c r="C229" s="795" t="s">
        <v>601</v>
      </c>
      <c r="D229" s="795" t="s">
        <v>1531</v>
      </c>
      <c r="E229" s="795" t="s">
        <v>3374</v>
      </c>
      <c r="F229" s="795" t="s">
        <v>3431</v>
      </c>
      <c r="G229" s="795" t="s">
        <v>3432</v>
      </c>
      <c r="H229" s="812">
        <v>2</v>
      </c>
      <c r="I229" s="812">
        <v>316</v>
      </c>
      <c r="J229" s="795"/>
      <c r="K229" s="795">
        <v>158</v>
      </c>
      <c r="L229" s="812"/>
      <c r="M229" s="812"/>
      <c r="N229" s="795"/>
      <c r="O229" s="795"/>
      <c r="P229" s="812">
        <v>1</v>
      </c>
      <c r="Q229" s="812">
        <v>162</v>
      </c>
      <c r="R229" s="800"/>
      <c r="S229" s="813">
        <v>162</v>
      </c>
    </row>
    <row r="230" spans="1:19" ht="14.4" customHeight="1" x14ac:dyDescent="0.3">
      <c r="A230" s="794" t="s">
        <v>3363</v>
      </c>
      <c r="B230" s="795" t="s">
        <v>3364</v>
      </c>
      <c r="C230" s="795" t="s">
        <v>601</v>
      </c>
      <c r="D230" s="795" t="s">
        <v>1531</v>
      </c>
      <c r="E230" s="795" t="s">
        <v>3374</v>
      </c>
      <c r="F230" s="795" t="s">
        <v>3435</v>
      </c>
      <c r="G230" s="795" t="s">
        <v>3436</v>
      </c>
      <c r="H230" s="812">
        <v>25</v>
      </c>
      <c r="I230" s="812">
        <v>5875</v>
      </c>
      <c r="J230" s="795">
        <v>1.950531208499336</v>
      </c>
      <c r="K230" s="795">
        <v>235</v>
      </c>
      <c r="L230" s="812">
        <v>12</v>
      </c>
      <c r="M230" s="812">
        <v>3012</v>
      </c>
      <c r="N230" s="795">
        <v>1</v>
      </c>
      <c r="O230" s="795">
        <v>251</v>
      </c>
      <c r="P230" s="812">
        <v>1</v>
      </c>
      <c r="Q230" s="812">
        <v>251</v>
      </c>
      <c r="R230" s="800">
        <v>8.3333333333333329E-2</v>
      </c>
      <c r="S230" s="813">
        <v>251</v>
      </c>
    </row>
    <row r="231" spans="1:19" ht="14.4" customHeight="1" x14ac:dyDescent="0.3">
      <c r="A231" s="794" t="s">
        <v>3363</v>
      </c>
      <c r="B231" s="795" t="s">
        <v>3364</v>
      </c>
      <c r="C231" s="795" t="s">
        <v>601</v>
      </c>
      <c r="D231" s="795" t="s">
        <v>1531</v>
      </c>
      <c r="E231" s="795" t="s">
        <v>3374</v>
      </c>
      <c r="F231" s="795" t="s">
        <v>3437</v>
      </c>
      <c r="G231" s="795" t="s">
        <v>3438</v>
      </c>
      <c r="H231" s="812">
        <v>1</v>
      </c>
      <c r="I231" s="812">
        <v>114</v>
      </c>
      <c r="J231" s="795"/>
      <c r="K231" s="795">
        <v>114</v>
      </c>
      <c r="L231" s="812"/>
      <c r="M231" s="812"/>
      <c r="N231" s="795"/>
      <c r="O231" s="795"/>
      <c r="P231" s="812"/>
      <c r="Q231" s="812"/>
      <c r="R231" s="800"/>
      <c r="S231" s="813"/>
    </row>
    <row r="232" spans="1:19" ht="14.4" customHeight="1" x14ac:dyDescent="0.3">
      <c r="A232" s="794" t="s">
        <v>3363</v>
      </c>
      <c r="B232" s="795" t="s">
        <v>3364</v>
      </c>
      <c r="C232" s="795" t="s">
        <v>601</v>
      </c>
      <c r="D232" s="795" t="s">
        <v>1531</v>
      </c>
      <c r="E232" s="795" t="s">
        <v>3374</v>
      </c>
      <c r="F232" s="795" t="s">
        <v>3441</v>
      </c>
      <c r="G232" s="795" t="s">
        <v>3442</v>
      </c>
      <c r="H232" s="812"/>
      <c r="I232" s="812"/>
      <c r="J232" s="795"/>
      <c r="K232" s="795"/>
      <c r="L232" s="812">
        <v>1</v>
      </c>
      <c r="M232" s="812">
        <v>123</v>
      </c>
      <c r="N232" s="795">
        <v>1</v>
      </c>
      <c r="O232" s="795">
        <v>123</v>
      </c>
      <c r="P232" s="812"/>
      <c r="Q232" s="812"/>
      <c r="R232" s="800"/>
      <c r="S232" s="813"/>
    </row>
    <row r="233" spans="1:19" ht="14.4" customHeight="1" x14ac:dyDescent="0.3">
      <c r="A233" s="794" t="s">
        <v>3363</v>
      </c>
      <c r="B233" s="795" t="s">
        <v>3364</v>
      </c>
      <c r="C233" s="795" t="s">
        <v>601</v>
      </c>
      <c r="D233" s="795" t="s">
        <v>1531</v>
      </c>
      <c r="E233" s="795" t="s">
        <v>3374</v>
      </c>
      <c r="F233" s="795" t="s">
        <v>3445</v>
      </c>
      <c r="G233" s="795" t="s">
        <v>3446</v>
      </c>
      <c r="H233" s="812"/>
      <c r="I233" s="812"/>
      <c r="J233" s="795"/>
      <c r="K233" s="795"/>
      <c r="L233" s="812"/>
      <c r="M233" s="812"/>
      <c r="N233" s="795"/>
      <c r="O233" s="795"/>
      <c r="P233" s="812">
        <v>1</v>
      </c>
      <c r="Q233" s="812">
        <v>183</v>
      </c>
      <c r="R233" s="800"/>
      <c r="S233" s="813">
        <v>183</v>
      </c>
    </row>
    <row r="234" spans="1:19" ht="14.4" customHeight="1" x14ac:dyDescent="0.3">
      <c r="A234" s="794" t="s">
        <v>3363</v>
      </c>
      <c r="B234" s="795" t="s">
        <v>3364</v>
      </c>
      <c r="C234" s="795" t="s">
        <v>601</v>
      </c>
      <c r="D234" s="795" t="s">
        <v>1531</v>
      </c>
      <c r="E234" s="795" t="s">
        <v>3374</v>
      </c>
      <c r="F234" s="795" t="s">
        <v>3453</v>
      </c>
      <c r="G234" s="795" t="s">
        <v>3454</v>
      </c>
      <c r="H234" s="812">
        <v>3</v>
      </c>
      <c r="I234" s="812">
        <v>333</v>
      </c>
      <c r="J234" s="795">
        <v>0.24130434782608695</v>
      </c>
      <c r="K234" s="795">
        <v>111</v>
      </c>
      <c r="L234" s="812">
        <v>12</v>
      </c>
      <c r="M234" s="812">
        <v>1380</v>
      </c>
      <c r="N234" s="795">
        <v>1</v>
      </c>
      <c r="O234" s="795">
        <v>115</v>
      </c>
      <c r="P234" s="812">
        <v>4</v>
      </c>
      <c r="Q234" s="812">
        <v>460</v>
      </c>
      <c r="R234" s="800">
        <v>0.33333333333333331</v>
      </c>
      <c r="S234" s="813">
        <v>115</v>
      </c>
    </row>
    <row r="235" spans="1:19" ht="14.4" customHeight="1" x14ac:dyDescent="0.3">
      <c r="A235" s="794" t="s">
        <v>3363</v>
      </c>
      <c r="B235" s="795" t="s">
        <v>3364</v>
      </c>
      <c r="C235" s="795" t="s">
        <v>601</v>
      </c>
      <c r="D235" s="795" t="s">
        <v>1531</v>
      </c>
      <c r="E235" s="795" t="s">
        <v>3374</v>
      </c>
      <c r="F235" s="795" t="s">
        <v>3459</v>
      </c>
      <c r="G235" s="795" t="s">
        <v>3460</v>
      </c>
      <c r="H235" s="812">
        <v>1</v>
      </c>
      <c r="I235" s="812">
        <v>594</v>
      </c>
      <c r="J235" s="795"/>
      <c r="K235" s="795">
        <v>594</v>
      </c>
      <c r="L235" s="812"/>
      <c r="M235" s="812"/>
      <c r="N235" s="795"/>
      <c r="O235" s="795"/>
      <c r="P235" s="812"/>
      <c r="Q235" s="812"/>
      <c r="R235" s="800"/>
      <c r="S235" s="813"/>
    </row>
    <row r="236" spans="1:19" ht="14.4" customHeight="1" x14ac:dyDescent="0.3">
      <c r="A236" s="794" t="s">
        <v>3363</v>
      </c>
      <c r="B236" s="795" t="s">
        <v>3364</v>
      </c>
      <c r="C236" s="795" t="s">
        <v>601</v>
      </c>
      <c r="D236" s="795" t="s">
        <v>1531</v>
      </c>
      <c r="E236" s="795" t="s">
        <v>3374</v>
      </c>
      <c r="F236" s="795" t="s">
        <v>3463</v>
      </c>
      <c r="G236" s="795" t="s">
        <v>3464</v>
      </c>
      <c r="H236" s="812">
        <v>2</v>
      </c>
      <c r="I236" s="812">
        <v>446</v>
      </c>
      <c r="J236" s="795">
        <v>0.98237885462555063</v>
      </c>
      <c r="K236" s="795">
        <v>223</v>
      </c>
      <c r="L236" s="812">
        <v>2</v>
      </c>
      <c r="M236" s="812">
        <v>454</v>
      </c>
      <c r="N236" s="795">
        <v>1</v>
      </c>
      <c r="O236" s="795">
        <v>227</v>
      </c>
      <c r="P236" s="812">
        <v>1</v>
      </c>
      <c r="Q236" s="812">
        <v>227</v>
      </c>
      <c r="R236" s="800">
        <v>0.5</v>
      </c>
      <c r="S236" s="813">
        <v>227</v>
      </c>
    </row>
    <row r="237" spans="1:19" ht="14.4" customHeight="1" x14ac:dyDescent="0.3">
      <c r="A237" s="794" t="s">
        <v>3363</v>
      </c>
      <c r="B237" s="795" t="s">
        <v>3364</v>
      </c>
      <c r="C237" s="795" t="s">
        <v>601</v>
      </c>
      <c r="D237" s="795" t="s">
        <v>1532</v>
      </c>
      <c r="E237" s="795" t="s">
        <v>3374</v>
      </c>
      <c r="F237" s="795" t="s">
        <v>3375</v>
      </c>
      <c r="G237" s="795" t="s">
        <v>3376</v>
      </c>
      <c r="H237" s="812"/>
      <c r="I237" s="812"/>
      <c r="J237" s="795"/>
      <c r="K237" s="795"/>
      <c r="L237" s="812">
        <v>1</v>
      </c>
      <c r="M237" s="812">
        <v>83</v>
      </c>
      <c r="N237" s="795">
        <v>1</v>
      </c>
      <c r="O237" s="795">
        <v>83</v>
      </c>
      <c r="P237" s="812">
        <v>1</v>
      </c>
      <c r="Q237" s="812">
        <v>83</v>
      </c>
      <c r="R237" s="800">
        <v>1</v>
      </c>
      <c r="S237" s="813">
        <v>83</v>
      </c>
    </row>
    <row r="238" spans="1:19" ht="14.4" customHeight="1" x14ac:dyDescent="0.3">
      <c r="A238" s="794" t="s">
        <v>3363</v>
      </c>
      <c r="B238" s="795" t="s">
        <v>3364</v>
      </c>
      <c r="C238" s="795" t="s">
        <v>601</v>
      </c>
      <c r="D238" s="795" t="s">
        <v>1532</v>
      </c>
      <c r="E238" s="795" t="s">
        <v>3374</v>
      </c>
      <c r="F238" s="795" t="s">
        <v>3379</v>
      </c>
      <c r="G238" s="795" t="s">
        <v>3380</v>
      </c>
      <c r="H238" s="812">
        <v>1</v>
      </c>
      <c r="I238" s="812">
        <v>35</v>
      </c>
      <c r="J238" s="795"/>
      <c r="K238" s="795">
        <v>35</v>
      </c>
      <c r="L238" s="812"/>
      <c r="M238" s="812"/>
      <c r="N238" s="795"/>
      <c r="O238" s="795"/>
      <c r="P238" s="812">
        <v>1</v>
      </c>
      <c r="Q238" s="812">
        <v>37</v>
      </c>
      <c r="R238" s="800"/>
      <c r="S238" s="813">
        <v>37</v>
      </c>
    </row>
    <row r="239" spans="1:19" ht="14.4" customHeight="1" x14ac:dyDescent="0.3">
      <c r="A239" s="794" t="s">
        <v>3363</v>
      </c>
      <c r="B239" s="795" t="s">
        <v>3364</v>
      </c>
      <c r="C239" s="795" t="s">
        <v>601</v>
      </c>
      <c r="D239" s="795" t="s">
        <v>1532</v>
      </c>
      <c r="E239" s="795" t="s">
        <v>3374</v>
      </c>
      <c r="F239" s="795" t="s">
        <v>3393</v>
      </c>
      <c r="G239" s="795" t="s">
        <v>3394</v>
      </c>
      <c r="H239" s="812">
        <v>1</v>
      </c>
      <c r="I239" s="812">
        <v>95</v>
      </c>
      <c r="J239" s="795"/>
      <c r="K239" s="795">
        <v>95</v>
      </c>
      <c r="L239" s="812"/>
      <c r="M239" s="812"/>
      <c r="N239" s="795"/>
      <c r="O239" s="795"/>
      <c r="P239" s="812"/>
      <c r="Q239" s="812"/>
      <c r="R239" s="800"/>
      <c r="S239" s="813"/>
    </row>
    <row r="240" spans="1:19" ht="14.4" customHeight="1" x14ac:dyDescent="0.3">
      <c r="A240" s="794" t="s">
        <v>3363</v>
      </c>
      <c r="B240" s="795" t="s">
        <v>3364</v>
      </c>
      <c r="C240" s="795" t="s">
        <v>601</v>
      </c>
      <c r="D240" s="795" t="s">
        <v>1532</v>
      </c>
      <c r="E240" s="795" t="s">
        <v>3374</v>
      </c>
      <c r="F240" s="795" t="s">
        <v>3395</v>
      </c>
      <c r="G240" s="795" t="s">
        <v>3396</v>
      </c>
      <c r="H240" s="812">
        <v>4</v>
      </c>
      <c r="I240" s="812">
        <v>372</v>
      </c>
      <c r="J240" s="795"/>
      <c r="K240" s="795">
        <v>93</v>
      </c>
      <c r="L240" s="812"/>
      <c r="M240" s="812"/>
      <c r="N240" s="795"/>
      <c r="O240" s="795"/>
      <c r="P240" s="812"/>
      <c r="Q240" s="812"/>
      <c r="R240" s="800"/>
      <c r="S240" s="813"/>
    </row>
    <row r="241" spans="1:19" ht="14.4" customHeight="1" x14ac:dyDescent="0.3">
      <c r="A241" s="794" t="s">
        <v>3363</v>
      </c>
      <c r="B241" s="795" t="s">
        <v>3364</v>
      </c>
      <c r="C241" s="795" t="s">
        <v>601</v>
      </c>
      <c r="D241" s="795" t="s">
        <v>1532</v>
      </c>
      <c r="E241" s="795" t="s">
        <v>3374</v>
      </c>
      <c r="F241" s="795" t="s">
        <v>3397</v>
      </c>
      <c r="G241" s="795" t="s">
        <v>3398</v>
      </c>
      <c r="H241" s="812">
        <v>190</v>
      </c>
      <c r="I241" s="812">
        <v>22420</v>
      </c>
      <c r="J241" s="795">
        <v>1.0405643738977073</v>
      </c>
      <c r="K241" s="795">
        <v>118</v>
      </c>
      <c r="L241" s="812">
        <v>171</v>
      </c>
      <c r="M241" s="812">
        <v>21546</v>
      </c>
      <c r="N241" s="795">
        <v>1</v>
      </c>
      <c r="O241" s="795">
        <v>126</v>
      </c>
      <c r="P241" s="812">
        <v>221</v>
      </c>
      <c r="Q241" s="812">
        <v>27846</v>
      </c>
      <c r="R241" s="800">
        <v>1.2923976608187135</v>
      </c>
      <c r="S241" s="813">
        <v>126</v>
      </c>
    </row>
    <row r="242" spans="1:19" ht="14.4" customHeight="1" x14ac:dyDescent="0.3">
      <c r="A242" s="794" t="s">
        <v>3363</v>
      </c>
      <c r="B242" s="795" t="s">
        <v>3364</v>
      </c>
      <c r="C242" s="795" t="s">
        <v>601</v>
      </c>
      <c r="D242" s="795" t="s">
        <v>1532</v>
      </c>
      <c r="E242" s="795" t="s">
        <v>3374</v>
      </c>
      <c r="F242" s="795" t="s">
        <v>3413</v>
      </c>
      <c r="G242" s="795" t="s">
        <v>3414</v>
      </c>
      <c r="H242" s="812">
        <v>2</v>
      </c>
      <c r="I242" s="812">
        <v>314</v>
      </c>
      <c r="J242" s="795"/>
      <c r="K242" s="795">
        <v>157</v>
      </c>
      <c r="L242" s="812"/>
      <c r="M242" s="812"/>
      <c r="N242" s="795"/>
      <c r="O242" s="795"/>
      <c r="P242" s="812">
        <v>1</v>
      </c>
      <c r="Q242" s="812">
        <v>163</v>
      </c>
      <c r="R242" s="800"/>
      <c r="S242" s="813">
        <v>163</v>
      </c>
    </row>
    <row r="243" spans="1:19" ht="14.4" customHeight="1" x14ac:dyDescent="0.3">
      <c r="A243" s="794" t="s">
        <v>3363</v>
      </c>
      <c r="B243" s="795" t="s">
        <v>3364</v>
      </c>
      <c r="C243" s="795" t="s">
        <v>601</v>
      </c>
      <c r="D243" s="795" t="s">
        <v>1532</v>
      </c>
      <c r="E243" s="795" t="s">
        <v>3374</v>
      </c>
      <c r="F243" s="795" t="s">
        <v>3417</v>
      </c>
      <c r="G243" s="795" t="s">
        <v>3418</v>
      </c>
      <c r="H243" s="812"/>
      <c r="I243" s="812"/>
      <c r="J243" s="795"/>
      <c r="K243" s="795"/>
      <c r="L243" s="812">
        <v>181</v>
      </c>
      <c r="M243" s="812">
        <v>6033.33</v>
      </c>
      <c r="N243" s="795">
        <v>1</v>
      </c>
      <c r="O243" s="795">
        <v>33.333314917127069</v>
      </c>
      <c r="P243" s="812">
        <v>201</v>
      </c>
      <c r="Q243" s="812">
        <v>6699.99</v>
      </c>
      <c r="R243" s="800">
        <v>1.1104961936443059</v>
      </c>
      <c r="S243" s="813">
        <v>33.33328358208955</v>
      </c>
    </row>
    <row r="244" spans="1:19" ht="14.4" customHeight="1" x14ac:dyDescent="0.3">
      <c r="A244" s="794" t="s">
        <v>3363</v>
      </c>
      <c r="B244" s="795" t="s">
        <v>3364</v>
      </c>
      <c r="C244" s="795" t="s">
        <v>601</v>
      </c>
      <c r="D244" s="795" t="s">
        <v>1532</v>
      </c>
      <c r="E244" s="795" t="s">
        <v>3374</v>
      </c>
      <c r="F244" s="795" t="s">
        <v>3423</v>
      </c>
      <c r="G244" s="795" t="s">
        <v>3424</v>
      </c>
      <c r="H244" s="812"/>
      <c r="I244" s="812"/>
      <c r="J244" s="795"/>
      <c r="K244" s="795"/>
      <c r="L244" s="812"/>
      <c r="M244" s="812"/>
      <c r="N244" s="795"/>
      <c r="O244" s="795"/>
      <c r="P244" s="812">
        <v>1</v>
      </c>
      <c r="Q244" s="812">
        <v>86</v>
      </c>
      <c r="R244" s="800"/>
      <c r="S244" s="813">
        <v>86</v>
      </c>
    </row>
    <row r="245" spans="1:19" ht="14.4" customHeight="1" x14ac:dyDescent="0.3">
      <c r="A245" s="794" t="s">
        <v>3363</v>
      </c>
      <c r="B245" s="795" t="s">
        <v>3364</v>
      </c>
      <c r="C245" s="795" t="s">
        <v>601</v>
      </c>
      <c r="D245" s="795" t="s">
        <v>1532</v>
      </c>
      <c r="E245" s="795" t="s">
        <v>3374</v>
      </c>
      <c r="F245" s="795" t="s">
        <v>3427</v>
      </c>
      <c r="G245" s="795" t="s">
        <v>3428</v>
      </c>
      <c r="H245" s="812"/>
      <c r="I245" s="812"/>
      <c r="J245" s="795"/>
      <c r="K245" s="795"/>
      <c r="L245" s="812">
        <v>1</v>
      </c>
      <c r="M245" s="812">
        <v>394</v>
      </c>
      <c r="N245" s="795">
        <v>1</v>
      </c>
      <c r="O245" s="795">
        <v>394</v>
      </c>
      <c r="P245" s="812"/>
      <c r="Q245" s="812"/>
      <c r="R245" s="800"/>
      <c r="S245" s="813"/>
    </row>
    <row r="246" spans="1:19" ht="14.4" customHeight="1" x14ac:dyDescent="0.3">
      <c r="A246" s="794" t="s">
        <v>3363</v>
      </c>
      <c r="B246" s="795" t="s">
        <v>3364</v>
      </c>
      <c r="C246" s="795" t="s">
        <v>601</v>
      </c>
      <c r="D246" s="795" t="s">
        <v>1532</v>
      </c>
      <c r="E246" s="795" t="s">
        <v>3374</v>
      </c>
      <c r="F246" s="795" t="s">
        <v>3435</v>
      </c>
      <c r="G246" s="795" t="s">
        <v>3436</v>
      </c>
      <c r="H246" s="812">
        <v>19</v>
      </c>
      <c r="I246" s="812">
        <v>4465</v>
      </c>
      <c r="J246" s="795">
        <v>0.57383369746819179</v>
      </c>
      <c r="K246" s="795">
        <v>235</v>
      </c>
      <c r="L246" s="812">
        <v>31</v>
      </c>
      <c r="M246" s="812">
        <v>7781</v>
      </c>
      <c r="N246" s="795">
        <v>1</v>
      </c>
      <c r="O246" s="795">
        <v>251</v>
      </c>
      <c r="P246" s="812">
        <v>15</v>
      </c>
      <c r="Q246" s="812">
        <v>3765</v>
      </c>
      <c r="R246" s="800">
        <v>0.4838709677419355</v>
      </c>
      <c r="S246" s="813">
        <v>251</v>
      </c>
    </row>
    <row r="247" spans="1:19" ht="14.4" customHeight="1" x14ac:dyDescent="0.3">
      <c r="A247" s="794" t="s">
        <v>3363</v>
      </c>
      <c r="B247" s="795" t="s">
        <v>3364</v>
      </c>
      <c r="C247" s="795" t="s">
        <v>601</v>
      </c>
      <c r="D247" s="795" t="s">
        <v>1533</v>
      </c>
      <c r="E247" s="795" t="s">
        <v>3374</v>
      </c>
      <c r="F247" s="795" t="s">
        <v>3387</v>
      </c>
      <c r="G247" s="795" t="s">
        <v>3388</v>
      </c>
      <c r="H247" s="812">
        <v>1</v>
      </c>
      <c r="I247" s="812">
        <v>201</v>
      </c>
      <c r="J247" s="795"/>
      <c r="K247" s="795">
        <v>201</v>
      </c>
      <c r="L247" s="812"/>
      <c r="M247" s="812"/>
      <c r="N247" s="795"/>
      <c r="O247" s="795"/>
      <c r="P247" s="812"/>
      <c r="Q247" s="812"/>
      <c r="R247" s="800"/>
      <c r="S247" s="813"/>
    </row>
    <row r="248" spans="1:19" ht="14.4" customHeight="1" x14ac:dyDescent="0.3">
      <c r="A248" s="794" t="s">
        <v>3363</v>
      </c>
      <c r="B248" s="795" t="s">
        <v>3364</v>
      </c>
      <c r="C248" s="795" t="s">
        <v>601</v>
      </c>
      <c r="D248" s="795" t="s">
        <v>1533</v>
      </c>
      <c r="E248" s="795" t="s">
        <v>3374</v>
      </c>
      <c r="F248" s="795" t="s">
        <v>3389</v>
      </c>
      <c r="G248" s="795" t="s">
        <v>3390</v>
      </c>
      <c r="H248" s="812"/>
      <c r="I248" s="812"/>
      <c r="J248" s="795"/>
      <c r="K248" s="795"/>
      <c r="L248" s="812">
        <v>1</v>
      </c>
      <c r="M248" s="812">
        <v>309</v>
      </c>
      <c r="N248" s="795">
        <v>1</v>
      </c>
      <c r="O248" s="795">
        <v>309</v>
      </c>
      <c r="P248" s="812"/>
      <c r="Q248" s="812"/>
      <c r="R248" s="800"/>
      <c r="S248" s="813"/>
    </row>
    <row r="249" spans="1:19" ht="14.4" customHeight="1" x14ac:dyDescent="0.3">
      <c r="A249" s="794" t="s">
        <v>3363</v>
      </c>
      <c r="B249" s="795" t="s">
        <v>3364</v>
      </c>
      <c r="C249" s="795" t="s">
        <v>601</v>
      </c>
      <c r="D249" s="795" t="s">
        <v>1533</v>
      </c>
      <c r="E249" s="795" t="s">
        <v>3374</v>
      </c>
      <c r="F249" s="795" t="s">
        <v>3393</v>
      </c>
      <c r="G249" s="795" t="s">
        <v>3394</v>
      </c>
      <c r="H249" s="812">
        <v>33</v>
      </c>
      <c r="I249" s="812">
        <v>3135</v>
      </c>
      <c r="J249" s="795">
        <v>0.87962962962962965</v>
      </c>
      <c r="K249" s="795">
        <v>95</v>
      </c>
      <c r="L249" s="812">
        <v>36</v>
      </c>
      <c r="M249" s="812">
        <v>3564</v>
      </c>
      <c r="N249" s="795">
        <v>1</v>
      </c>
      <c r="O249" s="795">
        <v>99</v>
      </c>
      <c r="P249" s="812">
        <v>22</v>
      </c>
      <c r="Q249" s="812">
        <v>2178</v>
      </c>
      <c r="R249" s="800">
        <v>0.61111111111111116</v>
      </c>
      <c r="S249" s="813">
        <v>99</v>
      </c>
    </row>
    <row r="250" spans="1:19" ht="14.4" customHeight="1" x14ac:dyDescent="0.3">
      <c r="A250" s="794" t="s">
        <v>3363</v>
      </c>
      <c r="B250" s="795" t="s">
        <v>3364</v>
      </c>
      <c r="C250" s="795" t="s">
        <v>601</v>
      </c>
      <c r="D250" s="795" t="s">
        <v>1533</v>
      </c>
      <c r="E250" s="795" t="s">
        <v>3374</v>
      </c>
      <c r="F250" s="795" t="s">
        <v>3395</v>
      </c>
      <c r="G250" s="795" t="s">
        <v>3396</v>
      </c>
      <c r="H250" s="812">
        <v>2</v>
      </c>
      <c r="I250" s="812">
        <v>186</v>
      </c>
      <c r="J250" s="795">
        <v>0.38350515463917528</v>
      </c>
      <c r="K250" s="795">
        <v>93</v>
      </c>
      <c r="L250" s="812">
        <v>5</v>
      </c>
      <c r="M250" s="812">
        <v>485</v>
      </c>
      <c r="N250" s="795">
        <v>1</v>
      </c>
      <c r="O250" s="795">
        <v>97</v>
      </c>
      <c r="P250" s="812">
        <v>3</v>
      </c>
      <c r="Q250" s="812">
        <v>291</v>
      </c>
      <c r="R250" s="800">
        <v>0.6</v>
      </c>
      <c r="S250" s="813">
        <v>97</v>
      </c>
    </row>
    <row r="251" spans="1:19" ht="14.4" customHeight="1" x14ac:dyDescent="0.3">
      <c r="A251" s="794" t="s">
        <v>3363</v>
      </c>
      <c r="B251" s="795" t="s">
        <v>3364</v>
      </c>
      <c r="C251" s="795" t="s">
        <v>601</v>
      </c>
      <c r="D251" s="795" t="s">
        <v>1533</v>
      </c>
      <c r="E251" s="795" t="s">
        <v>3374</v>
      </c>
      <c r="F251" s="795" t="s">
        <v>3397</v>
      </c>
      <c r="G251" s="795" t="s">
        <v>3398</v>
      </c>
      <c r="H251" s="812">
        <v>147</v>
      </c>
      <c r="I251" s="812">
        <v>17346</v>
      </c>
      <c r="J251" s="795">
        <v>0.79118773946360155</v>
      </c>
      <c r="K251" s="795">
        <v>118</v>
      </c>
      <c r="L251" s="812">
        <v>174</v>
      </c>
      <c r="M251" s="812">
        <v>21924</v>
      </c>
      <c r="N251" s="795">
        <v>1</v>
      </c>
      <c r="O251" s="795">
        <v>126</v>
      </c>
      <c r="P251" s="812">
        <v>161</v>
      </c>
      <c r="Q251" s="812">
        <v>20286</v>
      </c>
      <c r="R251" s="800">
        <v>0.92528735632183912</v>
      </c>
      <c r="S251" s="813">
        <v>126</v>
      </c>
    </row>
    <row r="252" spans="1:19" ht="14.4" customHeight="1" x14ac:dyDescent="0.3">
      <c r="A252" s="794" t="s">
        <v>3363</v>
      </c>
      <c r="B252" s="795" t="s">
        <v>3364</v>
      </c>
      <c r="C252" s="795" t="s">
        <v>601</v>
      </c>
      <c r="D252" s="795" t="s">
        <v>1533</v>
      </c>
      <c r="E252" s="795" t="s">
        <v>3374</v>
      </c>
      <c r="F252" s="795" t="s">
        <v>3417</v>
      </c>
      <c r="G252" s="795" t="s">
        <v>3418</v>
      </c>
      <c r="H252" s="812"/>
      <c r="I252" s="812"/>
      <c r="J252" s="795"/>
      <c r="K252" s="795"/>
      <c r="L252" s="812">
        <v>149</v>
      </c>
      <c r="M252" s="812">
        <v>4966.6499999999996</v>
      </c>
      <c r="N252" s="795">
        <v>1</v>
      </c>
      <c r="O252" s="795">
        <v>33.333221476510062</v>
      </c>
      <c r="P252" s="812">
        <v>135</v>
      </c>
      <c r="Q252" s="812">
        <v>4500</v>
      </c>
      <c r="R252" s="800">
        <v>0.90604330887016404</v>
      </c>
      <c r="S252" s="813">
        <v>33.333333333333336</v>
      </c>
    </row>
    <row r="253" spans="1:19" ht="14.4" customHeight="1" x14ac:dyDescent="0.3">
      <c r="A253" s="794" t="s">
        <v>3363</v>
      </c>
      <c r="B253" s="795" t="s">
        <v>3364</v>
      </c>
      <c r="C253" s="795" t="s">
        <v>601</v>
      </c>
      <c r="D253" s="795" t="s">
        <v>1533</v>
      </c>
      <c r="E253" s="795" t="s">
        <v>3374</v>
      </c>
      <c r="F253" s="795" t="s">
        <v>3431</v>
      </c>
      <c r="G253" s="795" t="s">
        <v>3432</v>
      </c>
      <c r="H253" s="812">
        <v>3</v>
      </c>
      <c r="I253" s="812">
        <v>474</v>
      </c>
      <c r="J253" s="795">
        <v>1.462962962962963</v>
      </c>
      <c r="K253" s="795">
        <v>158</v>
      </c>
      <c r="L253" s="812">
        <v>2</v>
      </c>
      <c r="M253" s="812">
        <v>324</v>
      </c>
      <c r="N253" s="795">
        <v>1</v>
      </c>
      <c r="O253" s="795">
        <v>162</v>
      </c>
      <c r="P253" s="812">
        <v>2</v>
      </c>
      <c r="Q253" s="812">
        <v>324</v>
      </c>
      <c r="R253" s="800">
        <v>1</v>
      </c>
      <c r="S253" s="813">
        <v>162</v>
      </c>
    </row>
    <row r="254" spans="1:19" ht="14.4" customHeight="1" x14ac:dyDescent="0.3">
      <c r="A254" s="794" t="s">
        <v>3363</v>
      </c>
      <c r="B254" s="795" t="s">
        <v>3364</v>
      </c>
      <c r="C254" s="795" t="s">
        <v>601</v>
      </c>
      <c r="D254" s="795" t="s">
        <v>1533</v>
      </c>
      <c r="E254" s="795" t="s">
        <v>3374</v>
      </c>
      <c r="F254" s="795" t="s">
        <v>3435</v>
      </c>
      <c r="G254" s="795" t="s">
        <v>3436</v>
      </c>
      <c r="H254" s="812">
        <v>5</v>
      </c>
      <c r="I254" s="812">
        <v>1175</v>
      </c>
      <c r="J254" s="795">
        <v>0.93625498007968122</v>
      </c>
      <c r="K254" s="795">
        <v>235</v>
      </c>
      <c r="L254" s="812">
        <v>5</v>
      </c>
      <c r="M254" s="812">
        <v>1255</v>
      </c>
      <c r="N254" s="795">
        <v>1</v>
      </c>
      <c r="O254" s="795">
        <v>251</v>
      </c>
      <c r="P254" s="812">
        <v>1</v>
      </c>
      <c r="Q254" s="812">
        <v>251</v>
      </c>
      <c r="R254" s="800">
        <v>0.2</v>
      </c>
      <c r="S254" s="813">
        <v>251</v>
      </c>
    </row>
    <row r="255" spans="1:19" ht="14.4" customHeight="1" x14ac:dyDescent="0.3">
      <c r="A255" s="794" t="s">
        <v>3363</v>
      </c>
      <c r="B255" s="795" t="s">
        <v>3364</v>
      </c>
      <c r="C255" s="795" t="s">
        <v>601</v>
      </c>
      <c r="D255" s="795" t="s">
        <v>1533</v>
      </c>
      <c r="E255" s="795" t="s">
        <v>3374</v>
      </c>
      <c r="F255" s="795" t="s">
        <v>3451</v>
      </c>
      <c r="G255" s="795" t="s">
        <v>3452</v>
      </c>
      <c r="H255" s="812"/>
      <c r="I255" s="812"/>
      <c r="J255" s="795"/>
      <c r="K255" s="795"/>
      <c r="L255" s="812"/>
      <c r="M255" s="812"/>
      <c r="N255" s="795"/>
      <c r="O255" s="795"/>
      <c r="P255" s="812">
        <v>1</v>
      </c>
      <c r="Q255" s="812">
        <v>132</v>
      </c>
      <c r="R255" s="800"/>
      <c r="S255" s="813">
        <v>132</v>
      </c>
    </row>
    <row r="256" spans="1:19" ht="14.4" customHeight="1" x14ac:dyDescent="0.3">
      <c r="A256" s="794" t="s">
        <v>3363</v>
      </c>
      <c r="B256" s="795" t="s">
        <v>3364</v>
      </c>
      <c r="C256" s="795" t="s">
        <v>601</v>
      </c>
      <c r="D256" s="795" t="s">
        <v>1533</v>
      </c>
      <c r="E256" s="795" t="s">
        <v>3374</v>
      </c>
      <c r="F256" s="795" t="s">
        <v>3453</v>
      </c>
      <c r="G256" s="795" t="s">
        <v>3454</v>
      </c>
      <c r="H256" s="812">
        <v>19</v>
      </c>
      <c r="I256" s="812">
        <v>2109</v>
      </c>
      <c r="J256" s="795">
        <v>0.53938618925831205</v>
      </c>
      <c r="K256" s="795">
        <v>111</v>
      </c>
      <c r="L256" s="812">
        <v>34</v>
      </c>
      <c r="M256" s="812">
        <v>3910</v>
      </c>
      <c r="N256" s="795">
        <v>1</v>
      </c>
      <c r="O256" s="795">
        <v>115</v>
      </c>
      <c r="P256" s="812">
        <v>12</v>
      </c>
      <c r="Q256" s="812">
        <v>1380</v>
      </c>
      <c r="R256" s="800">
        <v>0.35294117647058826</v>
      </c>
      <c r="S256" s="813">
        <v>115</v>
      </c>
    </row>
    <row r="257" spans="1:19" ht="14.4" customHeight="1" x14ac:dyDescent="0.3">
      <c r="A257" s="794" t="s">
        <v>3363</v>
      </c>
      <c r="B257" s="795" t="s">
        <v>3364</v>
      </c>
      <c r="C257" s="795" t="s">
        <v>601</v>
      </c>
      <c r="D257" s="795" t="s">
        <v>1533</v>
      </c>
      <c r="E257" s="795" t="s">
        <v>3374</v>
      </c>
      <c r="F257" s="795" t="s">
        <v>3463</v>
      </c>
      <c r="G257" s="795" t="s">
        <v>3464</v>
      </c>
      <c r="H257" s="812">
        <v>9</v>
      </c>
      <c r="I257" s="812">
        <v>2007</v>
      </c>
      <c r="J257" s="795">
        <v>0.631529263687854</v>
      </c>
      <c r="K257" s="795">
        <v>223</v>
      </c>
      <c r="L257" s="812">
        <v>14</v>
      </c>
      <c r="M257" s="812">
        <v>3178</v>
      </c>
      <c r="N257" s="795">
        <v>1</v>
      </c>
      <c r="O257" s="795">
        <v>227</v>
      </c>
      <c r="P257" s="812">
        <v>6</v>
      </c>
      <c r="Q257" s="812">
        <v>1362</v>
      </c>
      <c r="R257" s="800">
        <v>0.42857142857142855</v>
      </c>
      <c r="S257" s="813">
        <v>227</v>
      </c>
    </row>
    <row r="258" spans="1:19" ht="14.4" customHeight="1" x14ac:dyDescent="0.3">
      <c r="A258" s="794" t="s">
        <v>3363</v>
      </c>
      <c r="B258" s="795" t="s">
        <v>3364</v>
      </c>
      <c r="C258" s="795" t="s">
        <v>601</v>
      </c>
      <c r="D258" s="795" t="s">
        <v>1534</v>
      </c>
      <c r="E258" s="795" t="s">
        <v>3365</v>
      </c>
      <c r="F258" s="795" t="s">
        <v>3366</v>
      </c>
      <c r="G258" s="795" t="s">
        <v>3367</v>
      </c>
      <c r="H258" s="812">
        <v>0.8</v>
      </c>
      <c r="I258" s="812">
        <v>120.85</v>
      </c>
      <c r="J258" s="795">
        <v>1.0000827540549488</v>
      </c>
      <c r="K258" s="795">
        <v>151.06249999999997</v>
      </c>
      <c r="L258" s="812">
        <v>0.79999999999999993</v>
      </c>
      <c r="M258" s="812">
        <v>120.83999999999999</v>
      </c>
      <c r="N258" s="795">
        <v>1</v>
      </c>
      <c r="O258" s="795">
        <v>151.05000000000001</v>
      </c>
      <c r="P258" s="812">
        <v>1.5</v>
      </c>
      <c r="Q258" s="812">
        <v>226.58999999999997</v>
      </c>
      <c r="R258" s="800">
        <v>1.8751241310824229</v>
      </c>
      <c r="S258" s="813">
        <v>151.05999999999997</v>
      </c>
    </row>
    <row r="259" spans="1:19" ht="14.4" customHeight="1" x14ac:dyDescent="0.3">
      <c r="A259" s="794" t="s">
        <v>3363</v>
      </c>
      <c r="B259" s="795" t="s">
        <v>3364</v>
      </c>
      <c r="C259" s="795" t="s">
        <v>601</v>
      </c>
      <c r="D259" s="795" t="s">
        <v>1534</v>
      </c>
      <c r="E259" s="795" t="s">
        <v>3374</v>
      </c>
      <c r="F259" s="795" t="s">
        <v>3375</v>
      </c>
      <c r="G259" s="795" t="s">
        <v>3376</v>
      </c>
      <c r="H259" s="812">
        <v>40</v>
      </c>
      <c r="I259" s="812">
        <v>3240</v>
      </c>
      <c r="J259" s="795">
        <v>1.1153184165232357</v>
      </c>
      <c r="K259" s="795">
        <v>81</v>
      </c>
      <c r="L259" s="812">
        <v>35</v>
      </c>
      <c r="M259" s="812">
        <v>2905</v>
      </c>
      <c r="N259" s="795">
        <v>1</v>
      </c>
      <c r="O259" s="795">
        <v>83</v>
      </c>
      <c r="P259" s="812">
        <v>41</v>
      </c>
      <c r="Q259" s="812">
        <v>3403</v>
      </c>
      <c r="R259" s="800">
        <v>1.1714285714285715</v>
      </c>
      <c r="S259" s="813">
        <v>83</v>
      </c>
    </row>
    <row r="260" spans="1:19" ht="14.4" customHeight="1" x14ac:dyDescent="0.3">
      <c r="A260" s="794" t="s">
        <v>3363</v>
      </c>
      <c r="B260" s="795" t="s">
        <v>3364</v>
      </c>
      <c r="C260" s="795" t="s">
        <v>601</v>
      </c>
      <c r="D260" s="795" t="s">
        <v>1534</v>
      </c>
      <c r="E260" s="795" t="s">
        <v>3374</v>
      </c>
      <c r="F260" s="795" t="s">
        <v>3377</v>
      </c>
      <c r="G260" s="795" t="s">
        <v>3378</v>
      </c>
      <c r="H260" s="812">
        <v>2</v>
      </c>
      <c r="I260" s="812">
        <v>208</v>
      </c>
      <c r="J260" s="795"/>
      <c r="K260" s="795">
        <v>104</v>
      </c>
      <c r="L260" s="812"/>
      <c r="M260" s="812"/>
      <c r="N260" s="795"/>
      <c r="O260" s="795"/>
      <c r="P260" s="812">
        <v>1</v>
      </c>
      <c r="Q260" s="812">
        <v>106</v>
      </c>
      <c r="R260" s="800"/>
      <c r="S260" s="813">
        <v>106</v>
      </c>
    </row>
    <row r="261" spans="1:19" ht="14.4" customHeight="1" x14ac:dyDescent="0.3">
      <c r="A261" s="794" t="s">
        <v>3363</v>
      </c>
      <c r="B261" s="795" t="s">
        <v>3364</v>
      </c>
      <c r="C261" s="795" t="s">
        <v>601</v>
      </c>
      <c r="D261" s="795" t="s">
        <v>1534</v>
      </c>
      <c r="E261" s="795" t="s">
        <v>3374</v>
      </c>
      <c r="F261" s="795" t="s">
        <v>3379</v>
      </c>
      <c r="G261" s="795" t="s">
        <v>3380</v>
      </c>
      <c r="H261" s="812">
        <v>10</v>
      </c>
      <c r="I261" s="812">
        <v>350</v>
      </c>
      <c r="J261" s="795">
        <v>1.0510510510510511</v>
      </c>
      <c r="K261" s="795">
        <v>35</v>
      </c>
      <c r="L261" s="812">
        <v>9</v>
      </c>
      <c r="M261" s="812">
        <v>333</v>
      </c>
      <c r="N261" s="795">
        <v>1</v>
      </c>
      <c r="O261" s="795">
        <v>37</v>
      </c>
      <c r="P261" s="812">
        <v>10</v>
      </c>
      <c r="Q261" s="812">
        <v>370</v>
      </c>
      <c r="R261" s="800">
        <v>1.1111111111111112</v>
      </c>
      <c r="S261" s="813">
        <v>37</v>
      </c>
    </row>
    <row r="262" spans="1:19" ht="14.4" customHeight="1" x14ac:dyDescent="0.3">
      <c r="A262" s="794" t="s">
        <v>3363</v>
      </c>
      <c r="B262" s="795" t="s">
        <v>3364</v>
      </c>
      <c r="C262" s="795" t="s">
        <v>601</v>
      </c>
      <c r="D262" s="795" t="s">
        <v>1534</v>
      </c>
      <c r="E262" s="795" t="s">
        <v>3374</v>
      </c>
      <c r="F262" s="795" t="s">
        <v>3381</v>
      </c>
      <c r="G262" s="795" t="s">
        <v>3382</v>
      </c>
      <c r="H262" s="812">
        <v>1</v>
      </c>
      <c r="I262" s="812">
        <v>5</v>
      </c>
      <c r="J262" s="795">
        <v>0.33333333333333331</v>
      </c>
      <c r="K262" s="795">
        <v>5</v>
      </c>
      <c r="L262" s="812">
        <v>3</v>
      </c>
      <c r="M262" s="812">
        <v>15</v>
      </c>
      <c r="N262" s="795">
        <v>1</v>
      </c>
      <c r="O262" s="795">
        <v>5</v>
      </c>
      <c r="P262" s="812">
        <v>1</v>
      </c>
      <c r="Q262" s="812">
        <v>5</v>
      </c>
      <c r="R262" s="800">
        <v>0.33333333333333331</v>
      </c>
      <c r="S262" s="813">
        <v>5</v>
      </c>
    </row>
    <row r="263" spans="1:19" ht="14.4" customHeight="1" x14ac:dyDescent="0.3">
      <c r="A263" s="794" t="s">
        <v>3363</v>
      </c>
      <c r="B263" s="795" t="s">
        <v>3364</v>
      </c>
      <c r="C263" s="795" t="s">
        <v>601</v>
      </c>
      <c r="D263" s="795" t="s">
        <v>1534</v>
      </c>
      <c r="E263" s="795" t="s">
        <v>3374</v>
      </c>
      <c r="F263" s="795" t="s">
        <v>3383</v>
      </c>
      <c r="G263" s="795" t="s">
        <v>3384</v>
      </c>
      <c r="H263" s="812"/>
      <c r="I263" s="812"/>
      <c r="J263" s="795"/>
      <c r="K263" s="795"/>
      <c r="L263" s="812">
        <v>2</v>
      </c>
      <c r="M263" s="812">
        <v>10</v>
      </c>
      <c r="N263" s="795">
        <v>1</v>
      </c>
      <c r="O263" s="795">
        <v>5</v>
      </c>
      <c r="P263" s="812"/>
      <c r="Q263" s="812"/>
      <c r="R263" s="800"/>
      <c r="S263" s="813"/>
    </row>
    <row r="264" spans="1:19" ht="14.4" customHeight="1" x14ac:dyDescent="0.3">
      <c r="A264" s="794" t="s">
        <v>3363</v>
      </c>
      <c r="B264" s="795" t="s">
        <v>3364</v>
      </c>
      <c r="C264" s="795" t="s">
        <v>601</v>
      </c>
      <c r="D264" s="795" t="s">
        <v>1534</v>
      </c>
      <c r="E264" s="795" t="s">
        <v>3374</v>
      </c>
      <c r="F264" s="795" t="s">
        <v>3387</v>
      </c>
      <c r="G264" s="795" t="s">
        <v>3388</v>
      </c>
      <c r="H264" s="812">
        <v>3</v>
      </c>
      <c r="I264" s="812">
        <v>603</v>
      </c>
      <c r="J264" s="795">
        <v>0.29130434782608694</v>
      </c>
      <c r="K264" s="795">
        <v>201</v>
      </c>
      <c r="L264" s="812">
        <v>10</v>
      </c>
      <c r="M264" s="812">
        <v>2070</v>
      </c>
      <c r="N264" s="795">
        <v>1</v>
      </c>
      <c r="O264" s="795">
        <v>207</v>
      </c>
      <c r="P264" s="812"/>
      <c r="Q264" s="812"/>
      <c r="R264" s="800"/>
      <c r="S264" s="813"/>
    </row>
    <row r="265" spans="1:19" ht="14.4" customHeight="1" x14ac:dyDescent="0.3">
      <c r="A265" s="794" t="s">
        <v>3363</v>
      </c>
      <c r="B265" s="795" t="s">
        <v>3364</v>
      </c>
      <c r="C265" s="795" t="s">
        <v>601</v>
      </c>
      <c r="D265" s="795" t="s">
        <v>1534</v>
      </c>
      <c r="E265" s="795" t="s">
        <v>3374</v>
      </c>
      <c r="F265" s="795" t="s">
        <v>3389</v>
      </c>
      <c r="G265" s="795" t="s">
        <v>3390</v>
      </c>
      <c r="H265" s="812"/>
      <c r="I265" s="812"/>
      <c r="J265" s="795"/>
      <c r="K265" s="795"/>
      <c r="L265" s="812"/>
      <c r="M265" s="812"/>
      <c r="N265" s="795"/>
      <c r="O265" s="795"/>
      <c r="P265" s="812">
        <v>2</v>
      </c>
      <c r="Q265" s="812">
        <v>618</v>
      </c>
      <c r="R265" s="800"/>
      <c r="S265" s="813">
        <v>309</v>
      </c>
    </row>
    <row r="266" spans="1:19" ht="14.4" customHeight="1" x14ac:dyDescent="0.3">
      <c r="A266" s="794" t="s">
        <v>3363</v>
      </c>
      <c r="B266" s="795" t="s">
        <v>3364</v>
      </c>
      <c r="C266" s="795" t="s">
        <v>601</v>
      </c>
      <c r="D266" s="795" t="s">
        <v>1534</v>
      </c>
      <c r="E266" s="795" t="s">
        <v>3374</v>
      </c>
      <c r="F266" s="795" t="s">
        <v>3393</v>
      </c>
      <c r="G266" s="795" t="s">
        <v>3394</v>
      </c>
      <c r="H266" s="812">
        <v>12</v>
      </c>
      <c r="I266" s="812">
        <v>1140</v>
      </c>
      <c r="J266" s="795">
        <v>0.60606060606060608</v>
      </c>
      <c r="K266" s="795">
        <v>95</v>
      </c>
      <c r="L266" s="812">
        <v>19</v>
      </c>
      <c r="M266" s="812">
        <v>1881</v>
      </c>
      <c r="N266" s="795">
        <v>1</v>
      </c>
      <c r="O266" s="795">
        <v>99</v>
      </c>
      <c r="P266" s="812">
        <v>12</v>
      </c>
      <c r="Q266" s="812">
        <v>1188</v>
      </c>
      <c r="R266" s="800">
        <v>0.63157894736842102</v>
      </c>
      <c r="S266" s="813">
        <v>99</v>
      </c>
    </row>
    <row r="267" spans="1:19" ht="14.4" customHeight="1" x14ac:dyDescent="0.3">
      <c r="A267" s="794" t="s">
        <v>3363</v>
      </c>
      <c r="B267" s="795" t="s">
        <v>3364</v>
      </c>
      <c r="C267" s="795" t="s">
        <v>601</v>
      </c>
      <c r="D267" s="795" t="s">
        <v>1534</v>
      </c>
      <c r="E267" s="795" t="s">
        <v>3374</v>
      </c>
      <c r="F267" s="795" t="s">
        <v>3395</v>
      </c>
      <c r="G267" s="795" t="s">
        <v>3396</v>
      </c>
      <c r="H267" s="812">
        <v>2</v>
      </c>
  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</v>
      </c>
      <c r="N267" s="795">
        <v>1</v>
      </c>
      <c r="O267" s="795">
        <v>97</v>
      </c>
      <c r="P267" s="812">
        <v>2</v>
      </c>
      <c r="Q267" s="812">
        <v>194</v>
      </c>
      <c r="R267" s="800">
        <v>0.33333333333333331</v>
      </c>
      <c r="S267" s="813">
        <v>97</v>
      </c>
    </row>
    <row r="268" spans="1:19" ht="14.4" customHeight="1" x14ac:dyDescent="0.3">
      <c r="A268" s="794" t="s">
        <v>3363</v>
      </c>
      <c r="B268" s="795" t="s">
        <v>3364</v>
      </c>
      <c r="C268" s="795" t="s">
        <v>601</v>
      </c>
      <c r="D268" s="795" t="s">
        <v>1534</v>
      </c>
      <c r="E268" s="795" t="s">
        <v>3374</v>
      </c>
      <c r="F268" s="795" t="s">
        <v>3397</v>
      </c>
      <c r="G268" s="795" t="s">
        <v>3398</v>
      </c>
      <c r="H268" s="812">
        <v>117</v>
      </c>
      <c r="I268" s="812">
        <v>13806</v>
      </c>
      <c r="J268" s="795">
        <v>0.7716297786720322</v>
      </c>
      <c r="K268" s="795">
        <v>118</v>
      </c>
      <c r="L268" s="812">
        <v>142</v>
      </c>
      <c r="M268" s="812">
        <v>17892</v>
      </c>
      <c r="N268" s="795">
        <v>1</v>
      </c>
      <c r="O268" s="795">
        <v>126</v>
      </c>
      <c r="P268" s="812">
        <v>140</v>
      </c>
      <c r="Q268" s="812">
        <v>17640</v>
      </c>
      <c r="R268" s="800">
        <v>0.9859154929577465</v>
      </c>
      <c r="S268" s="813">
        <v>126</v>
      </c>
    </row>
    <row r="269" spans="1:19" ht="14.4" customHeight="1" x14ac:dyDescent="0.3">
      <c r="A269" s="794" t="s">
        <v>3363</v>
      </c>
      <c r="B269" s="795" t="s">
        <v>3364</v>
      </c>
      <c r="C269" s="795" t="s">
        <v>601</v>
      </c>
      <c r="D269" s="795" t="s">
        <v>1534</v>
      </c>
      <c r="E269" s="795" t="s">
        <v>3374</v>
      </c>
      <c r="F269" s="795" t="s">
        <v>3399</v>
      </c>
      <c r="G269" s="795" t="s">
        <v>3400</v>
      </c>
      <c r="H269" s="812"/>
      <c r="I269" s="812"/>
      <c r="J269" s="795"/>
      <c r="K269" s="795"/>
      <c r="L269" s="812">
        <v>1</v>
      </c>
      <c r="M269" s="812">
        <v>679</v>
      </c>
      <c r="N269" s="795">
        <v>1</v>
      </c>
      <c r="O269" s="795">
        <v>679</v>
      </c>
      <c r="P269" s="812"/>
      <c r="Q269" s="812"/>
      <c r="R269" s="800"/>
      <c r="S269" s="813"/>
    </row>
    <row r="270" spans="1:19" ht="14.4" customHeight="1" x14ac:dyDescent="0.3">
      <c r="A270" s="794" t="s">
        <v>3363</v>
      </c>
      <c r="B270" s="795" t="s">
        <v>3364</v>
      </c>
      <c r="C270" s="795" t="s">
        <v>601</v>
      </c>
      <c r="D270" s="795" t="s">
        <v>1534</v>
      </c>
      <c r="E270" s="795" t="s">
        <v>3374</v>
      </c>
      <c r="F270" s="795" t="s">
        <v>3407</v>
      </c>
      <c r="G270" s="795" t="s">
        <v>3408</v>
      </c>
      <c r="H270" s="812">
        <v>2</v>
      </c>
      <c r="I270" s="812">
        <v>2568</v>
      </c>
      <c r="J270" s="795">
        <v>0.98090145148968677</v>
      </c>
      <c r="K270" s="795">
        <v>1284</v>
      </c>
      <c r="L270" s="812">
        <v>2</v>
      </c>
      <c r="M270" s="812">
        <v>2618</v>
      </c>
      <c r="N270" s="795">
        <v>1</v>
      </c>
      <c r="O270" s="795">
        <v>1309</v>
      </c>
      <c r="P270" s="812">
        <v>3</v>
      </c>
      <c r="Q270" s="812">
        <v>3930</v>
      </c>
      <c r="R270" s="800">
        <v>1.5011459129106188</v>
      </c>
      <c r="S270" s="813">
        <v>1310</v>
      </c>
    </row>
    <row r="271" spans="1:19" ht="14.4" customHeight="1" x14ac:dyDescent="0.3">
      <c r="A271" s="794" t="s">
        <v>3363</v>
      </c>
      <c r="B271" s="795" t="s">
        <v>3364</v>
      </c>
      <c r="C271" s="795" t="s">
        <v>601</v>
      </c>
      <c r="D271" s="795" t="s">
        <v>1534</v>
      </c>
      <c r="E271" s="795" t="s">
        <v>3374</v>
      </c>
      <c r="F271" s="795" t="s">
        <v>3409</v>
      </c>
      <c r="G271" s="795" t="s">
        <v>3410</v>
      </c>
      <c r="H271" s="812"/>
      <c r="I271" s="812"/>
      <c r="J271" s="795"/>
      <c r="K271" s="795"/>
      <c r="L271" s="812"/>
      <c r="M271" s="812"/>
      <c r="N271" s="795"/>
      <c r="O271" s="795"/>
      <c r="P271" s="812">
        <v>1</v>
      </c>
      <c r="Q271" s="812">
        <v>972</v>
      </c>
      <c r="R271" s="800"/>
      <c r="S271" s="813">
        <v>972</v>
      </c>
    </row>
    <row r="272" spans="1:19" ht="14.4" customHeight="1" x14ac:dyDescent="0.3">
      <c r="A272" s="794" t="s">
        <v>3363</v>
      </c>
      <c r="B272" s="795" t="s">
        <v>3364</v>
      </c>
      <c r="C272" s="795" t="s">
        <v>601</v>
      </c>
      <c r="D272" s="795" t="s">
        <v>1534</v>
      </c>
      <c r="E272" s="795" t="s">
        <v>3374</v>
      </c>
      <c r="F272" s="795" t="s">
        <v>3413</v>
      </c>
      <c r="G272" s="795" t="s">
        <v>3414</v>
      </c>
      <c r="H272" s="812">
        <v>1</v>
      </c>
      <c r="I272" s="812">
        <v>157</v>
      </c>
      <c r="J272" s="795">
        <v>0.96319018404907975</v>
      </c>
      <c r="K272" s="795">
        <v>157</v>
      </c>
      <c r="L272" s="812">
        <v>1</v>
      </c>
      <c r="M272" s="812">
        <v>163</v>
      </c>
      <c r="N272" s="795">
        <v>1</v>
      </c>
      <c r="O272" s="795">
        <v>163</v>
      </c>
      <c r="P272" s="812"/>
      <c r="Q272" s="812"/>
      <c r="R272" s="800"/>
      <c r="S272" s="813"/>
    </row>
    <row r="273" spans="1:19" ht="14.4" customHeight="1" x14ac:dyDescent="0.3">
      <c r="A273" s="794" t="s">
        <v>3363</v>
      </c>
      <c r="B273" s="795" t="s">
        <v>3364</v>
      </c>
      <c r="C273" s="795" t="s">
        <v>601</v>
      </c>
      <c r="D273" s="795" t="s">
        <v>1534</v>
      </c>
      <c r="E273" s="795" t="s">
        <v>3374</v>
      </c>
      <c r="F273" s="795" t="s">
        <v>3417</v>
      </c>
      <c r="G273" s="795" t="s">
        <v>3418</v>
      </c>
      <c r="H273" s="812"/>
      <c r="I273" s="812"/>
      <c r="J273" s="795"/>
      <c r="K273" s="795"/>
      <c r="L273" s="812">
        <v>160</v>
      </c>
      <c r="M273" s="812">
        <v>5333.32</v>
      </c>
      <c r="N273" s="795">
        <v>1</v>
      </c>
      <c r="O273" s="795">
        <v>33.33325</v>
      </c>
      <c r="P273" s="812">
        <v>151</v>
      </c>
      <c r="Q273" s="812">
        <v>5033.33</v>
      </c>
      <c r="R273" s="800">
        <v>0.94375173437933602</v>
      </c>
      <c r="S273" s="813">
        <v>33.333311258278144</v>
      </c>
    </row>
    <row r="274" spans="1:19" ht="14.4" customHeight="1" x14ac:dyDescent="0.3">
      <c r="A274" s="794" t="s">
        <v>3363</v>
      </c>
      <c r="B274" s="795" t="s">
        <v>3364</v>
      </c>
      <c r="C274" s="795" t="s">
        <v>601</v>
      </c>
      <c r="D274" s="795" t="s">
        <v>1534</v>
      </c>
      <c r="E274" s="795" t="s">
        <v>3374</v>
      </c>
      <c r="F274" s="795" t="s">
        <v>3419</v>
      </c>
      <c r="G274" s="795" t="s">
        <v>3420</v>
      </c>
      <c r="H274" s="812"/>
      <c r="I274" s="812"/>
      <c r="J274" s="795"/>
      <c r="K274" s="795"/>
      <c r="L274" s="812">
        <v>2</v>
      </c>
      <c r="M274" s="812">
        <v>232</v>
      </c>
      <c r="N274" s="795">
        <v>1</v>
      </c>
      <c r="O274" s="795">
        <v>116</v>
      </c>
      <c r="P274" s="812"/>
      <c r="Q274" s="812"/>
      <c r="R274" s="800"/>
      <c r="S274" s="813"/>
    </row>
    <row r="275" spans="1:19" ht="14.4" customHeight="1" x14ac:dyDescent="0.3">
      <c r="A275" s="794" t="s">
        <v>3363</v>
      </c>
      <c r="B275" s="795" t="s">
        <v>3364</v>
      </c>
      <c r="C275" s="795" t="s">
        <v>601</v>
      </c>
      <c r="D275" s="795" t="s">
        <v>1534</v>
      </c>
      <c r="E275" s="795" t="s">
        <v>3374</v>
      </c>
      <c r="F275" s="795" t="s">
        <v>3421</v>
      </c>
      <c r="G275" s="795" t="s">
        <v>3422</v>
      </c>
      <c r="H275" s="812">
        <v>1</v>
      </c>
      <c r="I275" s="812">
        <v>36</v>
      </c>
      <c r="J275" s="795"/>
      <c r="K275" s="795">
        <v>36</v>
      </c>
      <c r="L275" s="812"/>
      <c r="M275" s="812"/>
      <c r="N275" s="795"/>
      <c r="O275" s="795"/>
      <c r="P275" s="812"/>
      <c r="Q275" s="812"/>
      <c r="R275" s="800"/>
      <c r="S275" s="813"/>
    </row>
    <row r="276" spans="1:19" ht="14.4" customHeight="1" x14ac:dyDescent="0.3">
      <c r="A276" s="794" t="s">
        <v>3363</v>
      </c>
      <c r="B276" s="795" t="s">
        <v>3364</v>
      </c>
      <c r="C276" s="795" t="s">
        <v>601</v>
      </c>
      <c r="D276" s="795" t="s">
        <v>1534</v>
      </c>
      <c r="E276" s="795" t="s">
        <v>3374</v>
      </c>
      <c r="F276" s="795" t="s">
        <v>3423</v>
      </c>
      <c r="G276" s="795" t="s">
        <v>3424</v>
      </c>
      <c r="H276" s="812">
        <v>3</v>
      </c>
      <c r="I276" s="812">
        <v>246</v>
      </c>
      <c r="J276" s="795">
        <v>0.95348837209302328</v>
      </c>
      <c r="K276" s="795">
        <v>82</v>
      </c>
      <c r="L276" s="812">
        <v>3</v>
      </c>
      <c r="M276" s="812">
        <v>258</v>
      </c>
      <c r="N276" s="795">
        <v>1</v>
      </c>
      <c r="O276" s="795">
        <v>86</v>
      </c>
      <c r="P276" s="812">
        <v>6</v>
      </c>
      <c r="Q276" s="812">
        <v>516</v>
      </c>
      <c r="R276" s="800">
        <v>2</v>
      </c>
      <c r="S276" s="813">
        <v>86</v>
      </c>
    </row>
    <row r="277" spans="1:19" ht="14.4" customHeight="1" x14ac:dyDescent="0.3">
      <c r="A277" s="794" t="s">
        <v>3363</v>
      </c>
      <c r="B277" s="795" t="s">
        <v>3364</v>
      </c>
      <c r="C277" s="795" t="s">
        <v>601</v>
      </c>
      <c r="D277" s="795" t="s">
        <v>1534</v>
      </c>
      <c r="E277" s="795" t="s">
        <v>3374</v>
      </c>
      <c r="F277" s="795" t="s">
        <v>3425</v>
      </c>
      <c r="G277" s="795" t="s">
        <v>3426</v>
      </c>
      <c r="H277" s="812">
        <v>3</v>
      </c>
      <c r="I277" s="812">
        <v>93</v>
      </c>
      <c r="J277" s="795">
        <v>1.453125</v>
      </c>
      <c r="K277" s="795">
        <v>31</v>
      </c>
      <c r="L277" s="812">
        <v>2</v>
      </c>
      <c r="M277" s="812">
        <v>64</v>
      </c>
      <c r="N277" s="795">
        <v>1</v>
      </c>
      <c r="O277" s="795">
        <v>32</v>
      </c>
      <c r="P277" s="812">
        <v>5</v>
      </c>
      <c r="Q277" s="812">
        <v>160</v>
      </c>
      <c r="R277" s="800">
        <v>2.5</v>
      </c>
      <c r="S277" s="813">
        <v>32</v>
      </c>
    </row>
    <row r="278" spans="1:19" ht="14.4" customHeight="1" x14ac:dyDescent="0.3">
      <c r="A278" s="794" t="s">
        <v>3363</v>
      </c>
      <c r="B278" s="795" t="s">
        <v>3364</v>
      </c>
      <c r="C278" s="795" t="s">
        <v>601</v>
      </c>
      <c r="D278" s="795" t="s">
        <v>1534</v>
      </c>
      <c r="E278" s="795" t="s">
        <v>3374</v>
      </c>
      <c r="F278" s="795" t="s">
        <v>3427</v>
      </c>
      <c r="G278" s="795" t="s">
        <v>3428</v>
      </c>
      <c r="H278" s="812">
        <v>4</v>
      </c>
      <c r="I278" s="812">
        <v>1536</v>
      </c>
      <c r="J278" s="795">
        <v>0.55692530819434372</v>
      </c>
      <c r="K278" s="795">
        <v>384</v>
      </c>
      <c r="L278" s="812">
        <v>7</v>
      </c>
      <c r="M278" s="812">
        <v>2758</v>
      </c>
      <c r="N278" s="795">
        <v>1</v>
      </c>
      <c r="O278" s="795">
        <v>394</v>
      </c>
      <c r="P278" s="812">
        <v>4</v>
      </c>
      <c r="Q278" s="812">
        <v>1580</v>
      </c>
      <c r="R278" s="800">
        <v>0.57287889775199419</v>
      </c>
      <c r="S278" s="813">
        <v>395</v>
      </c>
    </row>
    <row r="279" spans="1:19" ht="14.4" customHeight="1" x14ac:dyDescent="0.3">
      <c r="A279" s="794" t="s">
        <v>3363</v>
      </c>
      <c r="B279" s="795" t="s">
        <v>3364</v>
      </c>
      <c r="C279" s="795" t="s">
        <v>601</v>
      </c>
      <c r="D279" s="795" t="s">
        <v>1534</v>
      </c>
      <c r="E279" s="795" t="s">
        <v>3374</v>
      </c>
      <c r="F279" s="795" t="s">
        <v>3429</v>
      </c>
      <c r="G279" s="795" t="s">
        <v>3430</v>
      </c>
      <c r="H279" s="812">
        <v>1</v>
      </c>
      <c r="I279" s="812">
        <v>675</v>
      </c>
      <c r="J279" s="795"/>
      <c r="K279" s="795">
        <v>675</v>
      </c>
      <c r="L279" s="812"/>
      <c r="M279" s="812"/>
      <c r="N279" s="795"/>
      <c r="O279" s="795"/>
      <c r="P279" s="812"/>
      <c r="Q279" s="812"/>
      <c r="R279" s="800"/>
      <c r="S279" s="813"/>
    </row>
    <row r="280" spans="1:19" ht="14.4" customHeight="1" x14ac:dyDescent="0.3">
      <c r="A280" s="794" t="s">
        <v>3363</v>
      </c>
      <c r="B280" s="795" t="s">
        <v>3364</v>
      </c>
      <c r="C280" s="795" t="s">
        <v>601</v>
      </c>
      <c r="D280" s="795" t="s">
        <v>1534</v>
      </c>
      <c r="E280" s="795" t="s">
        <v>3374</v>
      </c>
      <c r="F280" s="795" t="s">
        <v>3431</v>
      </c>
      <c r="G280" s="795" t="s">
        <v>3432</v>
      </c>
      <c r="H280" s="812"/>
      <c r="I280" s="812"/>
      <c r="J280" s="795"/>
      <c r="K280" s="795"/>
      <c r="L280" s="812"/>
      <c r="M280" s="812"/>
      <c r="N280" s="795"/>
      <c r="O280" s="795"/>
      <c r="P280" s="812">
        <v>1</v>
      </c>
      <c r="Q280" s="812">
        <v>162</v>
      </c>
      <c r="R280" s="800"/>
      <c r="S280" s="813">
        <v>162</v>
      </c>
    </row>
    <row r="281" spans="1:19" ht="14.4" customHeight="1" x14ac:dyDescent="0.3">
      <c r="A281" s="794" t="s">
        <v>3363</v>
      </c>
      <c r="B281" s="795" t="s">
        <v>3364</v>
      </c>
      <c r="C281" s="795" t="s">
        <v>601</v>
      </c>
      <c r="D281" s="795" t="s">
        <v>1534</v>
      </c>
      <c r="E281" s="795" t="s">
        <v>3374</v>
      </c>
      <c r="F281" s="795" t="s">
        <v>3435</v>
      </c>
      <c r="G281" s="795" t="s">
        <v>3436</v>
      </c>
      <c r="H281" s="812">
        <v>41</v>
      </c>
      <c r="I281" s="812">
        <v>9635</v>
      </c>
      <c r="J281" s="795">
        <v>1.2382727155892559</v>
      </c>
      <c r="K281" s="795">
        <v>235</v>
      </c>
      <c r="L281" s="812">
        <v>31</v>
      </c>
      <c r="M281" s="812">
        <v>7781</v>
      </c>
      <c r="N281" s="795">
        <v>1</v>
      </c>
      <c r="O281" s="795">
        <v>251</v>
      </c>
      <c r="P281" s="812">
        <v>22</v>
      </c>
      <c r="Q281" s="812">
        <v>5522</v>
      </c>
      <c r="R281" s="800">
        <v>0.70967741935483875</v>
      </c>
      <c r="S281" s="813">
        <v>251</v>
      </c>
    </row>
    <row r="282" spans="1:19" ht="14.4" customHeight="1" x14ac:dyDescent="0.3">
      <c r="A282" s="794" t="s">
        <v>3363</v>
      </c>
      <c r="B282" s="795" t="s">
        <v>3364</v>
      </c>
      <c r="C282" s="795" t="s">
        <v>601</v>
      </c>
      <c r="D282" s="795" t="s">
        <v>1534</v>
      </c>
      <c r="E282" s="795" t="s">
        <v>3374</v>
      </c>
      <c r="F282" s="795" t="s">
        <v>3445</v>
      </c>
      <c r="G282" s="795" t="s">
        <v>3446</v>
      </c>
      <c r="H282" s="812"/>
      <c r="I282" s="812"/>
      <c r="J282" s="795"/>
      <c r="K282" s="795"/>
      <c r="L282" s="812"/>
      <c r="M282" s="812"/>
      <c r="N282" s="795"/>
      <c r="O282" s="795"/>
      <c r="P282" s="812">
        <v>2</v>
      </c>
      <c r="Q282" s="812">
        <v>366</v>
      </c>
      <c r="R282" s="800"/>
      <c r="S282" s="813">
        <v>183</v>
      </c>
    </row>
    <row r="283" spans="1:19" ht="14.4" customHeight="1" x14ac:dyDescent="0.3">
      <c r="A283" s="794" t="s">
        <v>3363</v>
      </c>
      <c r="B283" s="795" t="s">
        <v>3364</v>
      </c>
      <c r="C283" s="795" t="s">
        <v>601</v>
      </c>
      <c r="D283" s="795" t="s">
        <v>1534</v>
      </c>
      <c r="E283" s="795" t="s">
        <v>3374</v>
      </c>
      <c r="F283" s="795" t="s">
        <v>3449</v>
      </c>
      <c r="G283" s="795" t="s">
        <v>3450</v>
      </c>
      <c r="H283" s="812"/>
      <c r="I283" s="812"/>
      <c r="J283" s="795"/>
      <c r="K283" s="795"/>
      <c r="L283" s="812"/>
      <c r="M283" s="812"/>
      <c r="N283" s="795"/>
      <c r="O283" s="795"/>
      <c r="P283" s="812">
        <v>1</v>
      </c>
      <c r="Q283" s="812">
        <v>500</v>
      </c>
      <c r="R283" s="800"/>
      <c r="S283" s="813">
        <v>500</v>
      </c>
    </row>
    <row r="284" spans="1:19" ht="14.4" customHeight="1" x14ac:dyDescent="0.3">
      <c r="A284" s="794" t="s">
        <v>3363</v>
      </c>
      <c r="B284" s="795" t="s">
        <v>3364</v>
      </c>
      <c r="C284" s="795" t="s">
        <v>601</v>
      </c>
      <c r="D284" s="795" t="s">
        <v>1534</v>
      </c>
      <c r="E284" s="795" t="s">
        <v>3374</v>
      </c>
      <c r="F284" s="795" t="s">
        <v>3461</v>
      </c>
      <c r="G284" s="795" t="s">
        <v>3462</v>
      </c>
      <c r="H284" s="812">
        <v>1</v>
      </c>
      <c r="I284" s="812">
        <v>935</v>
      </c>
      <c r="J284" s="795"/>
      <c r="K284" s="795">
        <v>935</v>
      </c>
      <c r="L284" s="812"/>
      <c r="M284" s="812"/>
      <c r="N284" s="795"/>
      <c r="O284" s="795"/>
      <c r="P284" s="812"/>
      <c r="Q284" s="812"/>
      <c r="R284" s="800"/>
      <c r="S284" s="813"/>
    </row>
    <row r="285" spans="1:19" ht="14.4" customHeight="1" x14ac:dyDescent="0.3">
      <c r="A285" s="794" t="s">
        <v>3363</v>
      </c>
      <c r="B285" s="795" t="s">
        <v>3364</v>
      </c>
      <c r="C285" s="795" t="s">
        <v>601</v>
      </c>
      <c r="D285" s="795" t="s">
        <v>1534</v>
      </c>
      <c r="E285" s="795" t="s">
        <v>3374</v>
      </c>
      <c r="F285" s="795" t="s">
        <v>3463</v>
      </c>
      <c r="G285" s="795" t="s">
        <v>3464</v>
      </c>
      <c r="H285" s="812">
        <v>3</v>
      </c>
      <c r="I285" s="812">
        <v>669</v>
      </c>
      <c r="J285" s="795">
        <v>0.421019509125236</v>
      </c>
      <c r="K285" s="795">
        <v>223</v>
      </c>
      <c r="L285" s="812">
        <v>7</v>
      </c>
      <c r="M285" s="812">
        <v>1589</v>
      </c>
      <c r="N285" s="795">
        <v>1</v>
      </c>
      <c r="O285" s="795">
        <v>227</v>
      </c>
      <c r="P285" s="812">
        <v>4</v>
      </c>
      <c r="Q285" s="812">
        <v>908</v>
      </c>
      <c r="R285" s="800">
        <v>0.5714285714285714</v>
      </c>
      <c r="S285" s="813">
        <v>227</v>
      </c>
    </row>
    <row r="286" spans="1:19" ht="14.4" customHeight="1" x14ac:dyDescent="0.3">
      <c r="A286" s="794" t="s">
        <v>3363</v>
      </c>
      <c r="B286" s="795" t="s">
        <v>3364</v>
      </c>
      <c r="C286" s="795" t="s">
        <v>601</v>
      </c>
      <c r="D286" s="795" t="s">
        <v>1534</v>
      </c>
      <c r="E286" s="795" t="s">
        <v>3374</v>
      </c>
      <c r="F286" s="795" t="s">
        <v>3467</v>
      </c>
      <c r="G286" s="795" t="s">
        <v>3468</v>
      </c>
      <c r="H286" s="812">
        <v>1</v>
      </c>
      <c r="I286" s="812">
        <v>389</v>
      </c>
      <c r="J286" s="795">
        <v>0.97493734335839599</v>
      </c>
      <c r="K286" s="795">
        <v>389</v>
      </c>
      <c r="L286" s="812">
        <v>1</v>
      </c>
      <c r="M286" s="812">
        <v>399</v>
      </c>
      <c r="N286" s="795">
        <v>1</v>
      </c>
      <c r="O286" s="795">
        <v>399</v>
      </c>
      <c r="P286" s="812">
        <v>1</v>
      </c>
      <c r="Q286" s="812">
        <v>400</v>
      </c>
      <c r="R286" s="800">
        <v>1.0025062656641603</v>
      </c>
      <c r="S286" s="813">
        <v>400</v>
      </c>
    </row>
    <row r="287" spans="1:19" ht="14.4" customHeight="1" x14ac:dyDescent="0.3">
      <c r="A287" s="794" t="s">
        <v>3363</v>
      </c>
      <c r="B287" s="795" t="s">
        <v>3364</v>
      </c>
      <c r="C287" s="795" t="s">
        <v>601</v>
      </c>
      <c r="D287" s="795" t="s">
        <v>1535</v>
      </c>
      <c r="E287" s="795" t="s">
        <v>3365</v>
      </c>
      <c r="F287" s="795" t="s">
        <v>3366</v>
      </c>
      <c r="G287" s="795" t="s">
        <v>3367</v>
      </c>
      <c r="H287" s="812">
        <v>1</v>
      </c>
      <c r="I287" s="812">
        <v>150.99999999999997</v>
      </c>
      <c r="J287" s="795">
        <v>1.2499999999999998</v>
      </c>
      <c r="K287" s="795">
        <v>150.99999999999997</v>
      </c>
      <c r="L287" s="812">
        <v>0.8</v>
      </c>
      <c r="M287" s="812">
        <v>120.8</v>
      </c>
      <c r="N287" s="795">
        <v>1</v>
      </c>
      <c r="O287" s="795">
        <v>151</v>
      </c>
      <c r="P287" s="812">
        <v>1.7000000000000002</v>
      </c>
      <c r="Q287" s="812">
        <v>256.7</v>
      </c>
      <c r="R287" s="800">
        <v>2.125</v>
      </c>
      <c r="S287" s="813">
        <v>150.99999999999997</v>
      </c>
    </row>
    <row r="288" spans="1:19" ht="14.4" customHeight="1" x14ac:dyDescent="0.3">
      <c r="A288" s="794" t="s">
        <v>3363</v>
      </c>
      <c r="B288" s="795" t="s">
        <v>3364</v>
      </c>
      <c r="C288" s="795" t="s">
        <v>601</v>
      </c>
      <c r="D288" s="795" t="s">
        <v>1535</v>
      </c>
      <c r="E288" s="795" t="s">
        <v>3374</v>
      </c>
      <c r="F288" s="795" t="s">
        <v>3375</v>
      </c>
      <c r="G288" s="795" t="s">
        <v>3376</v>
      </c>
      <c r="H288" s="812"/>
      <c r="I288" s="812"/>
      <c r="J288" s="795"/>
      <c r="K288" s="795"/>
      <c r="L288" s="812"/>
      <c r="M288" s="812"/>
      <c r="N288" s="795"/>
      <c r="O288" s="795"/>
      <c r="P288" s="812">
        <v>1</v>
      </c>
      <c r="Q288" s="812">
        <v>83</v>
      </c>
      <c r="R288" s="800"/>
      <c r="S288" s="813">
        <v>83</v>
      </c>
    </row>
    <row r="289" spans="1:19" ht="14.4" customHeight="1" x14ac:dyDescent="0.3">
      <c r="A289" s="794" t="s">
        <v>3363</v>
      </c>
      <c r="B289" s="795" t="s">
        <v>3364</v>
      </c>
      <c r="C289" s="795" t="s">
        <v>601</v>
      </c>
      <c r="D289" s="795" t="s">
        <v>1535</v>
      </c>
      <c r="E289" s="795" t="s">
        <v>3374</v>
      </c>
      <c r="F289" s="795" t="s">
        <v>3379</v>
      </c>
      <c r="G289" s="795" t="s">
        <v>3380</v>
      </c>
      <c r="H289" s="812">
        <v>1</v>
      </c>
      <c r="I289" s="812">
        <v>35</v>
      </c>
      <c r="J289" s="795"/>
      <c r="K289" s="795">
        <v>35</v>
      </c>
      <c r="L289" s="812"/>
      <c r="M289" s="812"/>
      <c r="N289" s="795"/>
      <c r="O289" s="795"/>
      <c r="P289" s="812"/>
      <c r="Q289" s="812"/>
      <c r="R289" s="800"/>
      <c r="S289" s="813"/>
    </row>
    <row r="290" spans="1:19" ht="14.4" customHeight="1" x14ac:dyDescent="0.3">
      <c r="A290" s="794" t="s">
        <v>3363</v>
      </c>
      <c r="B290" s="795" t="s">
        <v>3364</v>
      </c>
      <c r="C290" s="795" t="s">
        <v>601</v>
      </c>
      <c r="D290" s="795" t="s">
        <v>1535</v>
      </c>
      <c r="E290" s="795" t="s">
        <v>3374</v>
      </c>
      <c r="F290" s="795" t="s">
        <v>3387</v>
      </c>
      <c r="G290" s="795" t="s">
        <v>3388</v>
      </c>
      <c r="H290" s="812"/>
      <c r="I290" s="812"/>
      <c r="J290" s="795"/>
      <c r="K290" s="795"/>
      <c r="L290" s="812">
        <v>1</v>
      </c>
      <c r="M290" s="812">
        <v>207</v>
      </c>
      <c r="N290" s="795">
        <v>1</v>
      </c>
      <c r="O290" s="795">
        <v>207</v>
      </c>
      <c r="P290" s="812"/>
      <c r="Q290" s="812"/>
      <c r="R290" s="800"/>
      <c r="S290" s="813"/>
    </row>
    <row r="291" spans="1:19" ht="14.4" customHeight="1" x14ac:dyDescent="0.3">
      <c r="A291" s="794" t="s">
        <v>3363</v>
      </c>
      <c r="B291" s="795" t="s">
        <v>3364</v>
      </c>
      <c r="C291" s="795" t="s">
        <v>601</v>
      </c>
      <c r="D291" s="795" t="s">
        <v>1535</v>
      </c>
      <c r="E291" s="795" t="s">
        <v>3374</v>
      </c>
      <c r="F291" s="795" t="s">
        <v>3391</v>
      </c>
      <c r="G291" s="795" t="s">
        <v>3392</v>
      </c>
      <c r="H291" s="812"/>
      <c r="I291" s="812"/>
      <c r="J291" s="795"/>
      <c r="K291" s="795"/>
      <c r="L291" s="812">
        <v>2</v>
      </c>
      <c r="M291" s="812">
        <v>976</v>
      </c>
      <c r="N291" s="795">
        <v>1</v>
      </c>
      <c r="O291" s="795">
        <v>488</v>
      </c>
      <c r="P291" s="812">
        <v>1</v>
      </c>
      <c r="Q291" s="812">
        <v>489</v>
      </c>
      <c r="R291" s="800">
        <v>0.50102459016393441</v>
      </c>
      <c r="S291" s="813">
        <v>489</v>
      </c>
    </row>
    <row r="292" spans="1:19" ht="14.4" customHeight="1" x14ac:dyDescent="0.3">
      <c r="A292" s="794" t="s">
        <v>3363</v>
      </c>
      <c r="B292" s="795" t="s">
        <v>3364</v>
      </c>
      <c r="C292" s="795" t="s">
        <v>601</v>
      </c>
      <c r="D292" s="795" t="s">
        <v>1535</v>
      </c>
      <c r="E292" s="795" t="s">
        <v>3374</v>
      </c>
      <c r="F292" s="795" t="s">
        <v>3395</v>
      </c>
      <c r="G292" s="795" t="s">
        <v>3396</v>
      </c>
      <c r="H292" s="812">
        <v>1</v>
      </c>
      <c r="I292" s="812">
        <v>93</v>
      </c>
      <c r="J292" s="795"/>
      <c r="K292" s="795">
        <v>93</v>
      </c>
      <c r="L292" s="812"/>
      <c r="M292" s="812"/>
      <c r="N292" s="795"/>
      <c r="O292" s="795"/>
      <c r="P292" s="812"/>
      <c r="Q292" s="812"/>
      <c r="R292" s="800"/>
      <c r="S292" s="813"/>
    </row>
    <row r="293" spans="1:19" ht="14.4" customHeight="1" x14ac:dyDescent="0.3">
      <c r="A293" s="794" t="s">
        <v>3363</v>
      </c>
      <c r="B293" s="795" t="s">
        <v>3364</v>
      </c>
      <c r="C293" s="795" t="s">
        <v>601</v>
      </c>
      <c r="D293" s="795" t="s">
        <v>1535</v>
      </c>
      <c r="E293" s="795" t="s">
        <v>3374</v>
      </c>
      <c r="F293" s="795" t="s">
        <v>3397</v>
      </c>
      <c r="G293" s="795" t="s">
        <v>3398</v>
      </c>
      <c r="H293" s="812">
        <v>141</v>
      </c>
      <c r="I293" s="812">
        <v>16638</v>
      </c>
      <c r="J293" s="795">
        <v>1.2457322551662173</v>
      </c>
      <c r="K293" s="795">
        <v>118</v>
      </c>
      <c r="L293" s="812">
        <v>106</v>
      </c>
      <c r="M293" s="812">
        <v>13356</v>
      </c>
      <c r="N293" s="795">
        <v>1</v>
      </c>
      <c r="O293" s="795">
        <v>126</v>
      </c>
      <c r="P293" s="812">
        <v>161</v>
      </c>
      <c r="Q293" s="812">
        <v>20286</v>
      </c>
      <c r="R293" s="800">
        <v>1.5188679245283019</v>
      </c>
      <c r="S293" s="813">
        <v>126</v>
      </c>
    </row>
    <row r="294" spans="1:19" ht="14.4" customHeight="1" x14ac:dyDescent="0.3">
      <c r="A294" s="794" t="s">
        <v>3363</v>
      </c>
      <c r="B294" s="795" t="s">
        <v>3364</v>
      </c>
      <c r="C294" s="795" t="s">
        <v>601</v>
      </c>
      <c r="D294" s="795" t="s">
        <v>1535</v>
      </c>
      <c r="E294" s="795" t="s">
        <v>3374</v>
      </c>
      <c r="F294" s="795" t="s">
        <v>3405</v>
      </c>
      <c r="G294" s="795" t="s">
        <v>3406</v>
      </c>
      <c r="H294" s="812">
        <v>10</v>
      </c>
      <c r="I294" s="812">
        <v>16370</v>
      </c>
      <c r="J294" s="795">
        <v>1.2201848539057842</v>
      </c>
      <c r="K294" s="795">
        <v>1637</v>
      </c>
      <c r="L294" s="812">
        <v>8</v>
      </c>
      <c r="M294" s="812">
        <v>13416</v>
      </c>
      <c r="N294" s="795">
        <v>1</v>
      </c>
      <c r="O294" s="795">
        <v>1677</v>
      </c>
      <c r="P294" s="812">
        <v>17</v>
      </c>
      <c r="Q294" s="812">
        <v>28526</v>
      </c>
      <c r="R294" s="800">
        <v>2.1262671437090042</v>
      </c>
      <c r="S294" s="813">
        <v>1678</v>
      </c>
    </row>
    <row r="295" spans="1:19" ht="14.4" customHeight="1" x14ac:dyDescent="0.3">
      <c r="A295" s="794" t="s">
        <v>3363</v>
      </c>
      <c r="B295" s="795" t="s">
        <v>3364</v>
      </c>
      <c r="C295" s="795" t="s">
        <v>601</v>
      </c>
      <c r="D295" s="795" t="s">
        <v>1535</v>
      </c>
      <c r="E295" s="795" t="s">
        <v>3374</v>
      </c>
      <c r="F295" s="795" t="s">
        <v>3407</v>
      </c>
      <c r="G295" s="795" t="s">
        <v>3408</v>
      </c>
      <c r="H295" s="812">
        <v>1</v>
      </c>
      <c r="I295" s="812">
        <v>1284</v>
      </c>
      <c r="J295" s="795"/>
      <c r="K295" s="795">
        <v>1284</v>
      </c>
      <c r="L295" s="812"/>
      <c r="M295" s="812"/>
      <c r="N295" s="795"/>
      <c r="O295" s="795"/>
      <c r="P295" s="812">
        <v>1</v>
      </c>
      <c r="Q295" s="812">
        <v>1310</v>
      </c>
      <c r="R295" s="800"/>
      <c r="S295" s="813">
        <v>1310</v>
      </c>
    </row>
    <row r="296" spans="1:19" ht="14.4" customHeight="1" x14ac:dyDescent="0.3">
      <c r="A296" s="794" t="s">
        <v>3363</v>
      </c>
      <c r="B296" s="795" t="s">
        <v>3364</v>
      </c>
      <c r="C296" s="795" t="s">
        <v>601</v>
      </c>
      <c r="D296" s="795" t="s">
        <v>1535</v>
      </c>
      <c r="E296" s="795" t="s">
        <v>3374</v>
      </c>
      <c r="F296" s="795" t="s">
        <v>3409</v>
      </c>
      <c r="G296" s="795" t="s">
        <v>3410</v>
      </c>
      <c r="H296" s="812"/>
      <c r="I296" s="812"/>
      <c r="J296" s="795"/>
      <c r="K296" s="795"/>
      <c r="L296" s="812">
        <v>1</v>
      </c>
      <c r="M296" s="812">
        <v>971</v>
      </c>
      <c r="N296" s="795">
        <v>1</v>
      </c>
      <c r="O296" s="795">
        <v>971</v>
      </c>
      <c r="P296" s="812">
        <v>1</v>
      </c>
      <c r="Q296" s="812">
        <v>972</v>
      </c>
      <c r="R296" s="800">
        <v>1.0010298661174046</v>
      </c>
      <c r="S296" s="813">
        <v>972</v>
      </c>
    </row>
    <row r="297" spans="1:19" ht="14.4" customHeight="1" x14ac:dyDescent="0.3">
      <c r="A297" s="794" t="s">
        <v>3363</v>
      </c>
      <c r="B297" s="795" t="s">
        <v>3364</v>
      </c>
      <c r="C297" s="795" t="s">
        <v>601</v>
      </c>
      <c r="D297" s="795" t="s">
        <v>1535</v>
      </c>
      <c r="E297" s="795" t="s">
        <v>3374</v>
      </c>
      <c r="F297" s="795" t="s">
        <v>3413</v>
      </c>
      <c r="G297" s="795" t="s">
        <v>3414</v>
      </c>
      <c r="H297" s="812">
        <v>3</v>
      </c>
      <c r="I297" s="812">
        <v>471</v>
      </c>
      <c r="J297" s="795">
        <v>2.8895705521472395</v>
      </c>
      <c r="K297" s="795">
        <v>157</v>
      </c>
      <c r="L297" s="812">
        <v>1</v>
      </c>
      <c r="M297" s="812">
        <v>163</v>
      </c>
      <c r="N297" s="795">
        <v>1</v>
      </c>
      <c r="O297" s="795">
        <v>163</v>
      </c>
      <c r="P297" s="812">
        <v>2</v>
      </c>
      <c r="Q297" s="812">
        <v>326</v>
      </c>
      <c r="R297" s="800">
        <v>2</v>
      </c>
      <c r="S297" s="813">
        <v>163</v>
      </c>
    </row>
    <row r="298" spans="1:19" ht="14.4" customHeight="1" x14ac:dyDescent="0.3">
      <c r="A298" s="794" t="s">
        <v>3363</v>
      </c>
      <c r="B298" s="795" t="s">
        <v>3364</v>
      </c>
      <c r="C298" s="795" t="s">
        <v>601</v>
      </c>
      <c r="D298" s="795" t="s">
        <v>1535</v>
      </c>
      <c r="E298" s="795" t="s">
        <v>3374</v>
      </c>
      <c r="F298" s="795" t="s">
        <v>3417</v>
      </c>
      <c r="G298" s="795" t="s">
        <v>3418</v>
      </c>
      <c r="H298" s="812"/>
      <c r="I298" s="812"/>
      <c r="J298" s="795"/>
      <c r="K298" s="795"/>
      <c r="L298" s="812">
        <v>145</v>
      </c>
      <c r="M298" s="812">
        <v>4833.3099999999995</v>
      </c>
      <c r="N298" s="795">
        <v>1</v>
      </c>
      <c r="O298" s="795">
        <v>33.3331724137931</v>
      </c>
      <c r="P298" s="812">
        <v>207</v>
      </c>
      <c r="Q298" s="812">
        <v>6899.99</v>
      </c>
      <c r="R298" s="800">
        <v>1.4275910297497989</v>
      </c>
      <c r="S298" s="813">
        <v>33.333285024154591</v>
      </c>
    </row>
    <row r="299" spans="1:19" ht="14.4" customHeight="1" x14ac:dyDescent="0.3">
      <c r="A299" s="794" t="s">
        <v>3363</v>
      </c>
      <c r="B299" s="795" t="s">
        <v>3364</v>
      </c>
      <c r="C299" s="795" t="s">
        <v>601</v>
      </c>
      <c r="D299" s="795" t="s">
        <v>1535</v>
      </c>
      <c r="E299" s="795" t="s">
        <v>3374</v>
      </c>
      <c r="F299" s="795" t="s">
        <v>3423</v>
      </c>
      <c r="G299" s="795" t="s">
        <v>3424</v>
      </c>
      <c r="H299" s="812">
        <v>12</v>
      </c>
      <c r="I299" s="812">
        <v>984</v>
      </c>
      <c r="J299" s="795">
        <v>1.430232558139535</v>
      </c>
      <c r="K299" s="795">
        <v>82</v>
      </c>
      <c r="L299" s="812">
        <v>8</v>
      </c>
      <c r="M299" s="812">
        <v>688</v>
      </c>
      <c r="N299" s="795">
        <v>1</v>
      </c>
      <c r="O299" s="795">
        <v>86</v>
      </c>
      <c r="P299" s="812">
        <v>17</v>
      </c>
      <c r="Q299" s="812">
        <v>1462</v>
      </c>
      <c r="R299" s="800">
        <v>2.125</v>
      </c>
      <c r="S299" s="813">
        <v>86</v>
      </c>
    </row>
    <row r="300" spans="1:19" ht="14.4" customHeight="1" x14ac:dyDescent="0.3">
      <c r="A300" s="794" t="s">
        <v>3363</v>
      </c>
      <c r="B300" s="795" t="s">
        <v>3364</v>
      </c>
      <c r="C300" s="795" t="s">
        <v>601</v>
      </c>
      <c r="D300" s="795" t="s">
        <v>1535</v>
      </c>
      <c r="E300" s="795" t="s">
        <v>3374</v>
      </c>
      <c r="F300" s="795" t="s">
        <v>3431</v>
      </c>
      <c r="G300" s="795" t="s">
        <v>3432</v>
      </c>
      <c r="H300" s="812"/>
      <c r="I300" s="812"/>
      <c r="J300" s="795"/>
      <c r="K300" s="795"/>
      <c r="L300" s="812">
        <v>1</v>
      </c>
      <c r="M300" s="812">
        <v>162</v>
      </c>
      <c r="N300" s="795">
        <v>1</v>
      </c>
      <c r="O300" s="795">
        <v>162</v>
      </c>
      <c r="P300" s="812"/>
      <c r="Q300" s="812"/>
      <c r="R300" s="800"/>
      <c r="S300" s="813"/>
    </row>
    <row r="301" spans="1:19" ht="14.4" customHeight="1" x14ac:dyDescent="0.3">
      <c r="A301" s="794" t="s">
        <v>3363</v>
      </c>
      <c r="B301" s="795" t="s">
        <v>3364</v>
      </c>
      <c r="C301" s="795" t="s">
        <v>601</v>
      </c>
      <c r="D301" s="795" t="s">
        <v>1535</v>
      </c>
      <c r="E301" s="795" t="s">
        <v>3374</v>
      </c>
      <c r="F301" s="795" t="s">
        <v>3435</v>
      </c>
      <c r="G301" s="795" t="s">
        <v>3436</v>
      </c>
      <c r="H301" s="812">
        <v>67</v>
      </c>
      <c r="I301" s="812">
        <v>15745</v>
      </c>
      <c r="J301" s="795">
        <v>1.1405287939152482</v>
      </c>
      <c r="K301" s="795">
        <v>235</v>
      </c>
      <c r="L301" s="812">
        <v>55</v>
      </c>
      <c r="M301" s="812">
        <v>13805</v>
      </c>
      <c r="N301" s="795">
        <v>1</v>
      </c>
      <c r="O301" s="795">
        <v>251</v>
      </c>
      <c r="P301" s="812">
        <v>73</v>
      </c>
      <c r="Q301" s="812">
        <v>18323</v>
      </c>
      <c r="R301" s="800">
        <v>1.3272727272727274</v>
      </c>
      <c r="S301" s="813">
        <v>251</v>
      </c>
    </row>
    <row r="302" spans="1:19" ht="14.4" customHeight="1" x14ac:dyDescent="0.3">
      <c r="A302" s="794" t="s">
        <v>3363</v>
      </c>
      <c r="B302" s="795" t="s">
        <v>3364</v>
      </c>
      <c r="C302" s="795" t="s">
        <v>601</v>
      </c>
      <c r="D302" s="795" t="s">
        <v>1535</v>
      </c>
      <c r="E302" s="795" t="s">
        <v>3374</v>
      </c>
      <c r="F302" s="795" t="s">
        <v>3447</v>
      </c>
      <c r="G302" s="795" t="s">
        <v>3448</v>
      </c>
      <c r="H302" s="812">
        <v>1</v>
      </c>
      <c r="I302" s="812">
        <v>311</v>
      </c>
      <c r="J302" s="795"/>
      <c r="K302" s="795">
        <v>311</v>
      </c>
      <c r="L302" s="812"/>
      <c r="M302" s="812"/>
      <c r="N302" s="795"/>
      <c r="O302" s="795"/>
      <c r="P302" s="812"/>
      <c r="Q302" s="812"/>
      <c r="R302" s="800"/>
      <c r="S302" s="813"/>
    </row>
    <row r="303" spans="1:19" ht="14.4" customHeight="1" x14ac:dyDescent="0.3">
      <c r="A303" s="794" t="s">
        <v>3363</v>
      </c>
      <c r="B303" s="795" t="s">
        <v>3364</v>
      </c>
      <c r="C303" s="795" t="s">
        <v>601</v>
      </c>
      <c r="D303" s="795" t="s">
        <v>1536</v>
      </c>
      <c r="E303" s="795" t="s">
        <v>3365</v>
      </c>
      <c r="F303" s="795" t="s">
        <v>3366</v>
      </c>
      <c r="G303" s="795" t="s">
        <v>3367</v>
      </c>
      <c r="H303" s="812">
        <v>0.70000000000000007</v>
      </c>
      <c r="I303" s="812">
        <v>105.69999999999999</v>
      </c>
      <c r="J303" s="795">
        <v>0.5</v>
      </c>
      <c r="K303" s="795">
        <v>150.99999999999997</v>
      </c>
      <c r="L303" s="812">
        <v>1.4000000000000001</v>
      </c>
      <c r="M303" s="812">
        <v>211.39999999999998</v>
      </c>
      <c r="N303" s="795">
        <v>1</v>
      </c>
      <c r="O303" s="795">
        <v>150.99999999999997</v>
      </c>
      <c r="P303" s="812">
        <v>2.1</v>
      </c>
      <c r="Q303" s="812">
        <v>317.18</v>
      </c>
      <c r="R303" s="800">
        <v>1.5003784295175027</v>
      </c>
      <c r="S303" s="813">
        <v>151.03809523809522</v>
      </c>
    </row>
    <row r="304" spans="1:19" ht="14.4" customHeight="1" x14ac:dyDescent="0.3">
      <c r="A304" s="794" t="s">
        <v>3363</v>
      </c>
      <c r="B304" s="795" t="s">
        <v>3364</v>
      </c>
      <c r="C304" s="795" t="s">
        <v>601</v>
      </c>
      <c r="D304" s="795" t="s">
        <v>1536</v>
      </c>
      <c r="E304" s="795" t="s">
        <v>3365</v>
      </c>
      <c r="F304" s="795" t="s">
        <v>3370</v>
      </c>
      <c r="G304" s="795" t="s">
        <v>1107</v>
      </c>
      <c r="H304" s="812">
        <v>0.2</v>
      </c>
      <c r="I304" s="812">
        <v>52.81</v>
      </c>
      <c r="J304" s="795"/>
      <c r="K304" s="795">
        <v>264.05</v>
      </c>
      <c r="L304" s="812"/>
      <c r="M304" s="812"/>
      <c r="N304" s="795"/>
      <c r="O304" s="795"/>
      <c r="P304" s="812"/>
      <c r="Q304" s="812"/>
      <c r="R304" s="800"/>
      <c r="S304" s="813"/>
    </row>
    <row r="305" spans="1:19" ht="14.4" customHeight="1" x14ac:dyDescent="0.3">
      <c r="A305" s="794" t="s">
        <v>3363</v>
      </c>
      <c r="B305" s="795" t="s">
        <v>3364</v>
      </c>
      <c r="C305" s="795" t="s">
        <v>601</v>
      </c>
      <c r="D305" s="795" t="s">
        <v>1536</v>
      </c>
      <c r="E305" s="795" t="s">
        <v>3374</v>
      </c>
      <c r="F305" s="795" t="s">
        <v>3379</v>
      </c>
      <c r="G305" s="795" t="s">
        <v>3380</v>
      </c>
      <c r="H305" s="812">
        <v>3</v>
      </c>
      <c r="I305" s="812">
        <v>105</v>
      </c>
      <c r="J305" s="795">
        <v>2.8378378378378377</v>
      </c>
      <c r="K305" s="795">
        <v>35</v>
      </c>
      <c r="L305" s="812">
        <v>1</v>
      </c>
      <c r="M305" s="812">
        <v>37</v>
      </c>
      <c r="N305" s="795">
        <v>1</v>
      </c>
      <c r="O305" s="795">
        <v>37</v>
      </c>
      <c r="P305" s="812">
        <v>3</v>
      </c>
      <c r="Q305" s="812">
        <v>111</v>
      </c>
      <c r="R305" s="800">
        <v>3</v>
      </c>
      <c r="S305" s="813">
        <v>37</v>
      </c>
    </row>
    <row r="306" spans="1:19" ht="14.4" customHeight="1" x14ac:dyDescent="0.3">
      <c r="A306" s="794" t="s">
        <v>3363</v>
      </c>
      <c r="B306" s="795" t="s">
        <v>3364</v>
      </c>
      <c r="C306" s="795" t="s">
        <v>601</v>
      </c>
      <c r="D306" s="795" t="s">
        <v>1536</v>
      </c>
      <c r="E306" s="795" t="s">
        <v>3374</v>
      </c>
      <c r="F306" s="795" t="s">
        <v>3387</v>
      </c>
      <c r="G306" s="795" t="s">
        <v>3388</v>
      </c>
      <c r="H306" s="812"/>
      <c r="I306" s="812"/>
      <c r="J306" s="795"/>
      <c r="K306" s="795"/>
      <c r="L306" s="812">
        <v>4</v>
      </c>
      <c r="M306" s="812">
        <v>828</v>
      </c>
      <c r="N306" s="795">
        <v>1</v>
      </c>
      <c r="O306" s="795">
        <v>207</v>
      </c>
      <c r="P306" s="812">
        <v>2</v>
      </c>
      <c r="Q306" s="812">
        <v>414</v>
      </c>
      <c r="R306" s="800">
        <v>0.5</v>
      </c>
      <c r="S306" s="813">
        <v>207</v>
      </c>
    </row>
    <row r="307" spans="1:19" ht="14.4" customHeight="1" x14ac:dyDescent="0.3">
      <c r="A307" s="794" t="s">
        <v>3363</v>
      </c>
      <c r="B307" s="795" t="s">
        <v>3364</v>
      </c>
      <c r="C307" s="795" t="s">
        <v>601</v>
      </c>
      <c r="D307" s="795" t="s">
        <v>1536</v>
      </c>
      <c r="E307" s="795" t="s">
        <v>3374</v>
      </c>
      <c r="F307" s="795" t="s">
        <v>3389</v>
      </c>
      <c r="G307" s="795" t="s">
        <v>3390</v>
      </c>
      <c r="H307" s="812">
        <v>2</v>
      </c>
      <c r="I307" s="812">
        <v>602</v>
      </c>
      <c r="J307" s="795"/>
      <c r="K307" s="795">
        <v>301</v>
      </c>
      <c r="L307" s="812"/>
      <c r="M307" s="812"/>
      <c r="N307" s="795"/>
      <c r="O307" s="795"/>
      <c r="P307" s="812"/>
      <c r="Q307" s="812"/>
      <c r="R307" s="800"/>
      <c r="S307" s="813"/>
    </row>
    <row r="308" spans="1:19" ht="14.4" customHeight="1" x14ac:dyDescent="0.3">
      <c r="A308" s="794" t="s">
        <v>3363</v>
      </c>
      <c r="B308" s="795" t="s">
        <v>3364</v>
      </c>
      <c r="C308" s="795" t="s">
        <v>601</v>
      </c>
      <c r="D308" s="795" t="s">
        <v>1536</v>
      </c>
      <c r="E308" s="795" t="s">
        <v>3374</v>
      </c>
      <c r="F308" s="795" t="s">
        <v>3393</v>
      </c>
      <c r="G308" s="795" t="s">
        <v>3394</v>
      </c>
      <c r="H308" s="812">
        <v>21</v>
      </c>
      <c r="I308" s="812">
        <v>1995</v>
      </c>
      <c r="J308" s="795">
        <v>1.0075757575757576</v>
      </c>
      <c r="K308" s="795">
        <v>95</v>
      </c>
      <c r="L308" s="812">
        <v>20</v>
      </c>
      <c r="M308" s="812">
        <v>1980</v>
      </c>
      <c r="N308" s="795">
        <v>1</v>
      </c>
      <c r="O308" s="795">
        <v>99</v>
      </c>
      <c r="P308" s="812">
        <v>19</v>
      </c>
      <c r="Q308" s="812">
        <v>1881</v>
      </c>
      <c r="R308" s="800">
        <v>0.95</v>
      </c>
      <c r="S308" s="813">
        <v>99</v>
      </c>
    </row>
    <row r="309" spans="1:19" ht="14.4" customHeight="1" x14ac:dyDescent="0.3">
      <c r="A309" s="794" t="s">
        <v>3363</v>
      </c>
      <c r="B309" s="795" t="s">
        <v>3364</v>
      </c>
      <c r="C309" s="795" t="s">
        <v>601</v>
      </c>
      <c r="D309" s="795" t="s">
        <v>1536</v>
      </c>
      <c r="E309" s="795" t="s">
        <v>3374</v>
      </c>
      <c r="F309" s="795" t="s">
        <v>3395</v>
      </c>
      <c r="G309" s="795" t="s">
        <v>3396</v>
      </c>
      <c r="H309" s="812">
        <v>9</v>
      </c>
      <c r="I309" s="812">
        <v>837</v>
      </c>
      <c r="J309" s="795">
        <v>8.6288659793814428</v>
      </c>
      <c r="K309" s="795">
        <v>93</v>
      </c>
      <c r="L309" s="812">
        <v>1</v>
      </c>
      <c r="M309" s="812">
        <v>97</v>
      </c>
      <c r="N309" s="795">
        <v>1</v>
      </c>
      <c r="O309" s="795">
        <v>97</v>
      </c>
      <c r="P309" s="812">
        <v>8</v>
      </c>
      <c r="Q309" s="812">
        <v>776</v>
      </c>
      <c r="R309" s="800">
        <v>8</v>
      </c>
      <c r="S309" s="813">
        <v>97</v>
      </c>
    </row>
    <row r="310" spans="1:19" ht="14.4" customHeight="1" x14ac:dyDescent="0.3">
      <c r="A310" s="794" t="s">
        <v>3363</v>
      </c>
      <c r="B310" s="795" t="s">
        <v>3364</v>
      </c>
      <c r="C310" s="795" t="s">
        <v>601</v>
      </c>
      <c r="D310" s="795" t="s">
        <v>1536</v>
      </c>
      <c r="E310" s="795" t="s">
        <v>3374</v>
      </c>
      <c r="F310" s="795" t="s">
        <v>3397</v>
      </c>
      <c r="G310" s="795" t="s">
        <v>3398</v>
      </c>
      <c r="H310" s="812">
        <v>181</v>
      </c>
      <c r="I310" s="812">
        <v>21358</v>
      </c>
      <c r="J310" s="795">
        <v>0.99127448250255268</v>
      </c>
      <c r="K310" s="795">
        <v>118</v>
      </c>
      <c r="L310" s="812">
        <v>171</v>
      </c>
      <c r="M310" s="812">
        <v>21546</v>
      </c>
      <c r="N310" s="795">
        <v>1</v>
      </c>
      <c r="O310" s="795">
        <v>126</v>
      </c>
      <c r="P310" s="812">
        <v>216</v>
      </c>
      <c r="Q310" s="812">
        <v>27216</v>
      </c>
      <c r="R310" s="800">
        <v>1.263157894736842</v>
      </c>
      <c r="S310" s="813">
        <v>126</v>
      </c>
    </row>
    <row r="311" spans="1:19" ht="14.4" customHeight="1" x14ac:dyDescent="0.3">
      <c r="A311" s="794" t="s">
        <v>3363</v>
      </c>
      <c r="B311" s="795" t="s">
        <v>3364</v>
      </c>
      <c r="C311" s="795" t="s">
        <v>601</v>
      </c>
      <c r="D311" s="795" t="s">
        <v>1536</v>
      </c>
      <c r="E311" s="795" t="s">
        <v>3374</v>
      </c>
      <c r="F311" s="795" t="s">
        <v>3405</v>
      </c>
      <c r="G311" s="795" t="s">
        <v>3406</v>
      </c>
      <c r="H311" s="812">
        <v>3</v>
      </c>
      <c r="I311" s="812">
        <v>4911</v>
      </c>
      <c r="J311" s="795">
        <v>0.24403697078115683</v>
      </c>
      <c r="K311" s="795">
        <v>1637</v>
      </c>
      <c r="L311" s="812">
        <v>12</v>
      </c>
      <c r="M311" s="812">
        <v>20124</v>
      </c>
      <c r="N311" s="795">
        <v>1</v>
      </c>
      <c r="O311" s="795">
        <v>1677</v>
      </c>
      <c r="P311" s="812">
        <v>6</v>
      </c>
      <c r="Q311" s="812">
        <v>10068</v>
      </c>
      <c r="R311" s="800">
        <v>0.50029815146094214</v>
      </c>
      <c r="S311" s="813">
        <v>1678</v>
      </c>
    </row>
    <row r="312" spans="1:19" ht="14.4" customHeight="1" x14ac:dyDescent="0.3">
      <c r="A312" s="794" t="s">
        <v>3363</v>
      </c>
      <c r="B312" s="795" t="s">
        <v>3364</v>
      </c>
      <c r="C312" s="795" t="s">
        <v>601</v>
      </c>
      <c r="D312" s="795" t="s">
        <v>1536</v>
      </c>
      <c r="E312" s="795" t="s">
        <v>3374</v>
      </c>
      <c r="F312" s="795" t="s">
        <v>3407</v>
      </c>
      <c r="G312" s="795" t="s">
        <v>3408</v>
      </c>
      <c r="H312" s="812">
        <v>1</v>
      </c>
      <c r="I312" s="812">
        <v>1284</v>
      </c>
      <c r="J312" s="795">
        <v>0.49045072574484339</v>
      </c>
      <c r="K312" s="795">
        <v>1284</v>
      </c>
      <c r="L312" s="812">
        <v>2</v>
      </c>
      <c r="M312" s="812">
        <v>2618</v>
      </c>
      <c r="N312" s="795">
        <v>1</v>
      </c>
      <c r="O312" s="795">
        <v>1309</v>
      </c>
      <c r="P312" s="812">
        <v>6</v>
      </c>
      <c r="Q312" s="812">
        <v>7860</v>
      </c>
      <c r="R312" s="800">
        <v>3.0022918258212377</v>
      </c>
      <c r="S312" s="813">
        <v>1310</v>
      </c>
    </row>
    <row r="313" spans="1:19" ht="14.4" customHeight="1" x14ac:dyDescent="0.3">
      <c r="A313" s="794" t="s">
        <v>3363</v>
      </c>
      <c r="B313" s="795" t="s">
        <v>3364</v>
      </c>
      <c r="C313" s="795" t="s">
        <v>601</v>
      </c>
      <c r="D313" s="795" t="s">
        <v>1536</v>
      </c>
      <c r="E313" s="795" t="s">
        <v>3374</v>
      </c>
      <c r="F313" s="795" t="s">
        <v>3411</v>
      </c>
      <c r="G313" s="795" t="s">
        <v>3412</v>
      </c>
      <c r="H313" s="812">
        <v>1</v>
      </c>
      <c r="I313" s="812">
        <v>960</v>
      </c>
      <c r="J313" s="795"/>
      <c r="K313" s="795">
        <v>960</v>
      </c>
      <c r="L313" s="812"/>
      <c r="M313" s="812"/>
      <c r="N313" s="795"/>
      <c r="O313" s="795"/>
      <c r="P313" s="812"/>
      <c r="Q313" s="812"/>
      <c r="R313" s="800"/>
      <c r="S313" s="813"/>
    </row>
    <row r="314" spans="1:19" ht="14.4" customHeight="1" x14ac:dyDescent="0.3">
      <c r="A314" s="794" t="s">
        <v>3363</v>
      </c>
      <c r="B314" s="795" t="s">
        <v>3364</v>
      </c>
      <c r="C314" s="795" t="s">
        <v>601</v>
      </c>
      <c r="D314" s="795" t="s">
        <v>1536</v>
      </c>
      <c r="E314" s="795" t="s">
        <v>3374</v>
      </c>
      <c r="F314" s="795" t="s">
        <v>3413</v>
      </c>
      <c r="G314" s="795" t="s">
        <v>3414</v>
      </c>
      <c r="H314" s="812">
        <v>4</v>
      </c>
      <c r="I314" s="812">
        <v>628</v>
      </c>
      <c r="J314" s="795"/>
      <c r="K314" s="795">
        <v>157</v>
      </c>
      <c r="L314" s="812"/>
      <c r="M314" s="812"/>
      <c r="N314" s="795"/>
      <c r="O314" s="795"/>
      <c r="P314" s="812">
        <v>3</v>
      </c>
      <c r="Q314" s="812">
        <v>489</v>
      </c>
      <c r="R314" s="800"/>
      <c r="S314" s="813">
        <v>163</v>
      </c>
    </row>
    <row r="315" spans="1:19" ht="14.4" customHeight="1" x14ac:dyDescent="0.3">
      <c r="A315" s="794" t="s">
        <v>3363</v>
      </c>
      <c r="B315" s="795" t="s">
        <v>3364</v>
      </c>
      <c r="C315" s="795" t="s">
        <v>601</v>
      </c>
      <c r="D315" s="795" t="s">
        <v>1536</v>
      </c>
      <c r="E315" s="795" t="s">
        <v>3374</v>
      </c>
      <c r="F315" s="795" t="s">
        <v>3417</v>
      </c>
      <c r="G315" s="795" t="s">
        <v>3418</v>
      </c>
      <c r="H315" s="812"/>
      <c r="I315" s="812"/>
      <c r="J315" s="795"/>
      <c r="K315" s="795"/>
      <c r="L315" s="812">
        <v>157</v>
      </c>
      <c r="M315" s="812">
        <v>5233.32</v>
      </c>
      <c r="N315" s="795">
        <v>1</v>
      </c>
      <c r="O315" s="795">
        <v>33.33324840764331</v>
      </c>
      <c r="P315" s="812">
        <v>211</v>
      </c>
      <c r="Q315" s="812">
        <v>7033.34</v>
      </c>
      <c r="R315" s="800">
        <v>1.343953742557306</v>
      </c>
      <c r="S315" s="813">
        <v>33.333364928909951</v>
      </c>
    </row>
    <row r="316" spans="1:19" ht="14.4" customHeight="1" x14ac:dyDescent="0.3">
      <c r="A316" s="794" t="s">
        <v>3363</v>
      </c>
      <c r="B316" s="795" t="s">
        <v>3364</v>
      </c>
      <c r="C316" s="795" t="s">
        <v>601</v>
      </c>
      <c r="D316" s="795" t="s">
        <v>1536</v>
      </c>
      <c r="E316" s="795" t="s">
        <v>3374</v>
      </c>
      <c r="F316" s="795" t="s">
        <v>3419</v>
      </c>
      <c r="G316" s="795" t="s">
        <v>3420</v>
      </c>
      <c r="H316" s="812">
        <v>2</v>
      </c>
      <c r="I316" s="812">
        <v>216</v>
      </c>
      <c r="J316" s="795">
        <v>0.62068965517241381</v>
      </c>
      <c r="K316" s="795">
        <v>108</v>
      </c>
      <c r="L316" s="812">
        <v>3</v>
      </c>
      <c r="M316" s="812">
        <v>348</v>
      </c>
      <c r="N316" s="795">
        <v>1</v>
      </c>
      <c r="O316" s="795">
        <v>116</v>
      </c>
      <c r="P316" s="812">
        <v>2</v>
      </c>
      <c r="Q316" s="812">
        <v>232</v>
      </c>
      <c r="R316" s="800">
        <v>0.66666666666666663</v>
      </c>
      <c r="S316" s="813">
        <v>116</v>
      </c>
    </row>
    <row r="317" spans="1:19" ht="14.4" customHeight="1" x14ac:dyDescent="0.3">
      <c r="A317" s="794" t="s">
        <v>3363</v>
      </c>
      <c r="B317" s="795" t="s">
        <v>3364</v>
      </c>
      <c r="C317" s="795" t="s">
        <v>601</v>
      </c>
      <c r="D317" s="795" t="s">
        <v>1536</v>
      </c>
      <c r="E317" s="795" t="s">
        <v>3374</v>
      </c>
      <c r="F317" s="795" t="s">
        <v>3423</v>
      </c>
      <c r="G317" s="795" t="s">
        <v>3424</v>
      </c>
      <c r="H317" s="812">
        <v>5</v>
      </c>
      <c r="I317" s="812">
        <v>410</v>
      </c>
      <c r="J317" s="795">
        <v>0.34053156146179403</v>
      </c>
      <c r="K317" s="795">
        <v>82</v>
      </c>
      <c r="L317" s="812">
        <v>14</v>
      </c>
      <c r="M317" s="812">
        <v>1204</v>
      </c>
      <c r="N317" s="795">
        <v>1</v>
      </c>
      <c r="O317" s="795">
        <v>86</v>
      </c>
      <c r="P317" s="812">
        <v>14</v>
      </c>
      <c r="Q317" s="812">
        <v>1204</v>
      </c>
      <c r="R317" s="800">
        <v>1</v>
      </c>
      <c r="S317" s="813">
        <v>86</v>
      </c>
    </row>
    <row r="318" spans="1:19" ht="14.4" customHeight="1" x14ac:dyDescent="0.3">
      <c r="A318" s="794" t="s">
        <v>3363</v>
      </c>
      <c r="B318" s="795" t="s">
        <v>3364</v>
      </c>
      <c r="C318" s="795" t="s">
        <v>601</v>
      </c>
      <c r="D318" s="795" t="s">
        <v>1536</v>
      </c>
      <c r="E318" s="795" t="s">
        <v>3374</v>
      </c>
      <c r="F318" s="795" t="s">
        <v>3425</v>
      </c>
      <c r="G318" s="795" t="s">
        <v>3426</v>
      </c>
      <c r="H318" s="812">
        <v>2</v>
      </c>
      <c r="I318" s="812">
        <v>62</v>
      </c>
      <c r="J318" s="795">
        <v>1.9375</v>
      </c>
      <c r="K318" s="795">
        <v>31</v>
      </c>
      <c r="L318" s="812">
        <v>1</v>
      </c>
      <c r="M318" s="812">
        <v>32</v>
      </c>
      <c r="N318" s="795">
        <v>1</v>
      </c>
      <c r="O318" s="795">
        <v>32</v>
      </c>
      <c r="P318" s="812">
        <v>4</v>
      </c>
      <c r="Q318" s="812">
        <v>128</v>
      </c>
      <c r="R318" s="800">
        <v>4</v>
      </c>
      <c r="S318" s="813">
        <v>32</v>
      </c>
    </row>
    <row r="319" spans="1:19" ht="14.4" customHeight="1" x14ac:dyDescent="0.3">
      <c r="A319" s="794" t="s">
        <v>3363</v>
      </c>
      <c r="B319" s="795" t="s">
        <v>3364</v>
      </c>
      <c r="C319" s="795" t="s">
        <v>601</v>
      </c>
      <c r="D319" s="795" t="s">
        <v>1536</v>
      </c>
      <c r="E319" s="795" t="s">
        <v>3374</v>
      </c>
      <c r="F319" s="795" t="s">
        <v>3427</v>
      </c>
      <c r="G319" s="795" t="s">
        <v>3428</v>
      </c>
      <c r="H319" s="812"/>
      <c r="I319" s="812"/>
      <c r="J319" s="795"/>
      <c r="K319" s="795"/>
      <c r="L319" s="812">
        <v>1</v>
      </c>
      <c r="M319" s="812">
        <v>394</v>
      </c>
      <c r="N319" s="795">
        <v>1</v>
      </c>
      <c r="O319" s="795">
        <v>394</v>
      </c>
      <c r="P319" s="812">
        <v>1</v>
      </c>
      <c r="Q319" s="812">
        <v>395</v>
      </c>
      <c r="R319" s="800">
        <v>1.0025380710659899</v>
      </c>
      <c r="S319" s="813">
        <v>395</v>
      </c>
    </row>
    <row r="320" spans="1:19" ht="14.4" customHeight="1" x14ac:dyDescent="0.3">
      <c r="A320" s="794" t="s">
        <v>3363</v>
      </c>
      <c r="B320" s="795" t="s">
        <v>3364</v>
      </c>
      <c r="C320" s="795" t="s">
        <v>601</v>
      </c>
      <c r="D320" s="795" t="s">
        <v>1536</v>
      </c>
      <c r="E320" s="795" t="s">
        <v>3374</v>
      </c>
      <c r="F320" s="795" t="s">
        <v>3431</v>
      </c>
      <c r="G320" s="795" t="s">
        <v>3432</v>
      </c>
      <c r="H320" s="812"/>
      <c r="I320" s="812"/>
      <c r="J320" s="795"/>
      <c r="K320" s="795"/>
      <c r="L320" s="812">
        <v>3</v>
      </c>
      <c r="M320" s="812">
        <v>486</v>
      </c>
      <c r="N320" s="795">
        <v>1</v>
      </c>
      <c r="O320" s="795">
        <v>162</v>
      </c>
      <c r="P320" s="812">
        <v>5</v>
      </c>
      <c r="Q320" s="812">
        <v>810</v>
      </c>
      <c r="R320" s="800">
        <v>1.6666666666666667</v>
      </c>
      <c r="S320" s="813">
        <v>162</v>
      </c>
    </row>
    <row r="321" spans="1:19" ht="14.4" customHeight="1" x14ac:dyDescent="0.3">
      <c r="A321" s="794" t="s">
        <v>3363</v>
      </c>
      <c r="B321" s="795" t="s">
        <v>3364</v>
      </c>
      <c r="C321" s="795" t="s">
        <v>601</v>
      </c>
      <c r="D321" s="795" t="s">
        <v>1536</v>
      </c>
      <c r="E321" s="795" t="s">
        <v>3374</v>
      </c>
      <c r="F321" s="795" t="s">
        <v>3435</v>
      </c>
      <c r="G321" s="795" t="s">
        <v>3436</v>
      </c>
      <c r="H321" s="812">
        <v>4</v>
      </c>
      <c r="I321" s="812">
        <v>940</v>
      </c>
      <c r="J321" s="795">
        <v>0.31208499335989376</v>
      </c>
      <c r="K321" s="795">
        <v>235</v>
      </c>
      <c r="L321" s="812">
        <v>12</v>
      </c>
      <c r="M321" s="812">
        <v>3012</v>
      </c>
      <c r="N321" s="795">
        <v>1</v>
      </c>
      <c r="O321" s="795">
        <v>251</v>
      </c>
      <c r="P321" s="812">
        <v>10</v>
      </c>
      <c r="Q321" s="812">
        <v>2510</v>
      </c>
      <c r="R321" s="800">
        <v>0.83333333333333337</v>
      </c>
      <c r="S321" s="813">
        <v>251</v>
      </c>
    </row>
    <row r="322" spans="1:19" ht="14.4" customHeight="1" x14ac:dyDescent="0.3">
      <c r="A322" s="794" t="s">
        <v>3363</v>
      </c>
      <c r="B322" s="795" t="s">
        <v>3364</v>
      </c>
      <c r="C322" s="795" t="s">
        <v>601</v>
      </c>
      <c r="D322" s="795" t="s">
        <v>1536</v>
      </c>
      <c r="E322" s="795" t="s">
        <v>3374</v>
      </c>
      <c r="F322" s="795" t="s">
        <v>3437</v>
      </c>
      <c r="G322" s="795" t="s">
        <v>3438</v>
      </c>
      <c r="H322" s="812"/>
      <c r="I322" s="812"/>
      <c r="J322" s="795"/>
      <c r="K322" s="795"/>
      <c r="L322" s="812"/>
      <c r="M322" s="812"/>
      <c r="N322" s="795"/>
      <c r="O322" s="795"/>
      <c r="P322" s="812">
        <v>1</v>
      </c>
      <c r="Q322" s="812">
        <v>120</v>
      </c>
      <c r="R322" s="800"/>
      <c r="S322" s="813">
        <v>120</v>
      </c>
    </row>
    <row r="323" spans="1:19" ht="14.4" customHeight="1" x14ac:dyDescent="0.3">
      <c r="A323" s="794" t="s">
        <v>3363</v>
      </c>
      <c r="B323" s="795" t="s">
        <v>3364</v>
      </c>
      <c r="C323" s="795" t="s">
        <v>601</v>
      </c>
      <c r="D323" s="795" t="s">
        <v>1536</v>
      </c>
      <c r="E323" s="795" t="s">
        <v>3374</v>
      </c>
      <c r="F323" s="795" t="s">
        <v>3441</v>
      </c>
      <c r="G323" s="795" t="s">
        <v>3442</v>
      </c>
      <c r="H323" s="812"/>
      <c r="I323" s="812"/>
      <c r="J323" s="795"/>
      <c r="K323" s="795"/>
      <c r="L323" s="812">
        <v>2</v>
      </c>
      <c r="M323" s="812">
        <v>246</v>
      </c>
      <c r="N323" s="795">
        <v>1</v>
      </c>
      <c r="O323" s="795">
        <v>123</v>
      </c>
      <c r="P323" s="812">
        <v>3</v>
      </c>
      <c r="Q323" s="812">
        <v>369</v>
      </c>
      <c r="R323" s="800">
        <v>1.5</v>
      </c>
      <c r="S323" s="813">
        <v>123</v>
      </c>
    </row>
    <row r="324" spans="1:19" ht="14.4" customHeight="1" x14ac:dyDescent="0.3">
      <c r="A324" s="794" t="s">
        <v>3363</v>
      </c>
      <c r="B324" s="795" t="s">
        <v>3364</v>
      </c>
      <c r="C324" s="795" t="s">
        <v>601</v>
      </c>
      <c r="D324" s="795" t="s">
        <v>1536</v>
      </c>
      <c r="E324" s="795" t="s">
        <v>3374</v>
      </c>
      <c r="F324" s="795" t="s">
        <v>3443</v>
      </c>
      <c r="G324" s="795" t="s">
        <v>3444</v>
      </c>
      <c r="H324" s="812">
        <v>1</v>
      </c>
      <c r="I324" s="812">
        <v>57</v>
      </c>
      <c r="J324" s="795"/>
      <c r="K324" s="795">
        <v>57</v>
      </c>
      <c r="L324" s="812"/>
      <c r="M324" s="812"/>
      <c r="N324" s="795"/>
      <c r="O324" s="795"/>
      <c r="P324" s="812"/>
      <c r="Q324" s="812"/>
      <c r="R324" s="800"/>
      <c r="S324" s="813"/>
    </row>
    <row r="325" spans="1:19" ht="14.4" customHeight="1" x14ac:dyDescent="0.3">
      <c r="A325" s="794" t="s">
        <v>3363</v>
      </c>
      <c r="B325" s="795" t="s">
        <v>3364</v>
      </c>
      <c r="C325" s="795" t="s">
        <v>601</v>
      </c>
      <c r="D325" s="795" t="s">
        <v>1536</v>
      </c>
      <c r="E325" s="795" t="s">
        <v>3374</v>
      </c>
      <c r="F325" s="795" t="s">
        <v>3453</v>
      </c>
      <c r="G325" s="795" t="s">
        <v>3454</v>
      </c>
      <c r="H325" s="812">
        <v>17</v>
      </c>
      <c r="I325" s="812">
        <v>1887</v>
      </c>
      <c r="J325" s="795">
        <v>0.9652173913043478</v>
      </c>
      <c r="K325" s="795">
        <v>111</v>
      </c>
      <c r="L325" s="812">
        <v>17</v>
      </c>
      <c r="M325" s="812">
        <v>1955</v>
      </c>
      <c r="N325" s="795">
        <v>1</v>
      </c>
      <c r="O325" s="795">
        <v>115</v>
      </c>
      <c r="P325" s="812">
        <v>16</v>
      </c>
      <c r="Q325" s="812">
        <v>1840</v>
      </c>
      <c r="R325" s="800">
        <v>0.94117647058823528</v>
      </c>
      <c r="S325" s="813">
        <v>115</v>
      </c>
    </row>
    <row r="326" spans="1:19" ht="14.4" customHeight="1" x14ac:dyDescent="0.3">
      <c r="A326" s="794" t="s">
        <v>3363</v>
      </c>
      <c r="B326" s="795" t="s">
        <v>3364</v>
      </c>
      <c r="C326" s="795" t="s">
        <v>601</v>
      </c>
      <c r="D326" s="795" t="s">
        <v>1536</v>
      </c>
      <c r="E326" s="795" t="s">
        <v>3374</v>
      </c>
      <c r="F326" s="795" t="s">
        <v>3463</v>
      </c>
      <c r="G326" s="795" t="s">
        <v>3464</v>
      </c>
      <c r="H326" s="812">
        <v>4</v>
      </c>
      <c r="I326" s="812">
        <v>892</v>
      </c>
      <c r="J326" s="795">
        <v>0.98237885462555063</v>
      </c>
      <c r="K326" s="795">
        <v>223</v>
      </c>
      <c r="L326" s="812">
        <v>4</v>
      </c>
      <c r="M326" s="812">
        <v>908</v>
      </c>
      <c r="N326" s="795">
        <v>1</v>
      </c>
      <c r="O326" s="795">
        <v>227</v>
      </c>
      <c r="P326" s="812">
        <v>3</v>
      </c>
      <c r="Q326" s="812">
        <v>681</v>
      </c>
      <c r="R326" s="800">
        <v>0.75</v>
      </c>
      <c r="S326" s="813">
        <v>227</v>
      </c>
    </row>
    <row r="327" spans="1:19" ht="14.4" customHeight="1" x14ac:dyDescent="0.3">
      <c r="A327" s="794" t="s">
        <v>3363</v>
      </c>
      <c r="B327" s="795" t="s">
        <v>3364</v>
      </c>
      <c r="C327" s="795" t="s">
        <v>601</v>
      </c>
      <c r="D327" s="795" t="s">
        <v>1536</v>
      </c>
      <c r="E327" s="795" t="s">
        <v>3374</v>
      </c>
      <c r="F327" s="795" t="s">
        <v>3467</v>
      </c>
      <c r="G327" s="795" t="s">
        <v>3468</v>
      </c>
      <c r="H327" s="812">
        <v>1</v>
      </c>
      <c r="I327" s="812">
        <v>389</v>
      </c>
      <c r="J327" s="795"/>
      <c r="K327" s="795">
        <v>389</v>
      </c>
      <c r="L327" s="812"/>
      <c r="M327" s="812"/>
      <c r="N327" s="795"/>
      <c r="O327" s="795"/>
      <c r="P327" s="812"/>
      <c r="Q327" s="812"/>
      <c r="R327" s="800"/>
      <c r="S327" s="813"/>
    </row>
    <row r="328" spans="1:19" ht="14.4" customHeight="1" x14ac:dyDescent="0.3">
      <c r="A328" s="794" t="s">
        <v>3363</v>
      </c>
      <c r="B328" s="795" t="s">
        <v>3364</v>
      </c>
      <c r="C328" s="795" t="s">
        <v>601</v>
      </c>
      <c r="D328" s="795" t="s">
        <v>1536</v>
      </c>
      <c r="E328" s="795" t="s">
        <v>3374</v>
      </c>
      <c r="F328" s="795" t="s">
        <v>3469</v>
      </c>
      <c r="G328" s="795" t="s">
        <v>3470</v>
      </c>
      <c r="H328" s="812"/>
      <c r="I328" s="812"/>
      <c r="J328" s="795"/>
      <c r="K328" s="795"/>
      <c r="L328" s="812">
        <v>1</v>
      </c>
      <c r="M328" s="812">
        <v>120</v>
      </c>
      <c r="N328" s="795">
        <v>1</v>
      </c>
      <c r="O328" s="795">
        <v>120</v>
      </c>
      <c r="P328" s="812"/>
      <c r="Q328" s="812"/>
      <c r="R328" s="800"/>
      <c r="S328" s="813"/>
    </row>
    <row r="329" spans="1:19" ht="14.4" customHeight="1" thickBot="1" x14ac:dyDescent="0.35">
      <c r="A329" s="802" t="s">
        <v>3363</v>
      </c>
      <c r="B329" s="803" t="s">
        <v>3364</v>
      </c>
      <c r="C329" s="803" t="s">
        <v>601</v>
      </c>
      <c r="D329" s="803" t="s">
        <v>1536</v>
      </c>
      <c r="E329" s="803" t="s">
        <v>3374</v>
      </c>
      <c r="F329" s="803" t="s">
        <v>3475</v>
      </c>
      <c r="G329" s="803" t="s">
        <v>3476</v>
      </c>
      <c r="H329" s="814">
        <v>1</v>
      </c>
      <c r="I329" s="814">
        <v>171</v>
      </c>
      <c r="J329" s="803"/>
      <c r="K329" s="803">
        <v>171</v>
      </c>
      <c r="L329" s="814"/>
      <c r="M329" s="814"/>
      <c r="N329" s="803"/>
      <c r="O329" s="803"/>
      <c r="P329" s="814"/>
      <c r="Q329" s="814"/>
      <c r="R329" s="808"/>
      <c r="S329" s="815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30" t="s">
        <v>157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</row>
    <row r="2" spans="1:19" ht="14.4" customHeight="1" thickBot="1" x14ac:dyDescent="0.35">
      <c r="A2" s="374" t="s">
        <v>353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159</v>
      </c>
      <c r="B3" s="343">
        <f>SUBTOTAL(9,B6:B1048576)</f>
        <v>4863726</v>
      </c>
      <c r="C3" s="344">
        <f t="shared" ref="C3:R3" si="0">SUBTOTAL(9,C6:C1048576)</f>
        <v>13.972246201038613</v>
      </c>
      <c r="D3" s="344">
        <f t="shared" si="0"/>
        <v>4438645</v>
      </c>
      <c r="E3" s="344">
        <f t="shared" si="0"/>
        <v>16</v>
      </c>
      <c r="F3" s="344">
        <f t="shared" si="0"/>
        <v>4395196</v>
      </c>
      <c r="G3" s="347">
        <f>IF(D3&lt;&gt;0,F3/D3,"")</f>
        <v>0.99021120184200362</v>
      </c>
      <c r="H3" s="343">
        <f t="shared" si="0"/>
        <v>2310738.9899999984</v>
      </c>
      <c r="I3" s="344">
        <f t="shared" si="0"/>
        <v>0.78571455360729503</v>
      </c>
      <c r="J3" s="344">
        <f t="shared" si="0"/>
        <v>2940939.5300000003</v>
      </c>
      <c r="K3" s="344">
        <f t="shared" si="0"/>
        <v>1</v>
      </c>
      <c r="L3" s="344">
        <f t="shared" si="0"/>
        <v>2871084.6199999996</v>
      </c>
      <c r="M3" s="345">
        <f>IF(J3&lt;&gt;0,L3/J3,"")</f>
        <v>0.97624741709667162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593" t="s">
        <v>129</v>
      </c>
      <c r="B4" s="594" t="s">
        <v>123</v>
      </c>
      <c r="C4" s="595"/>
      <c r="D4" s="595"/>
      <c r="E4" s="595"/>
      <c r="F4" s="595"/>
      <c r="G4" s="597"/>
      <c r="H4" s="594" t="s">
        <v>124</v>
      </c>
      <c r="I4" s="595"/>
      <c r="J4" s="595"/>
      <c r="K4" s="595"/>
      <c r="L4" s="595"/>
      <c r="M4" s="597"/>
      <c r="N4" s="594" t="s">
        <v>125</v>
      </c>
      <c r="O4" s="595"/>
      <c r="P4" s="595"/>
      <c r="Q4" s="595"/>
      <c r="R4" s="595"/>
      <c r="S4" s="597"/>
    </row>
    <row r="5" spans="1:19" ht="14.4" customHeight="1" thickBot="1" x14ac:dyDescent="0.35">
      <c r="A5" s="861"/>
      <c r="B5" s="862">
        <v>2015</v>
      </c>
      <c r="C5" s="863"/>
      <c r="D5" s="863">
        <v>2016</v>
      </c>
      <c r="E5" s="863"/>
      <c r="F5" s="863">
        <v>2017</v>
      </c>
      <c r="G5" s="897" t="s">
        <v>2</v>
      </c>
      <c r="H5" s="862">
        <v>2015</v>
      </c>
      <c r="I5" s="863"/>
      <c r="J5" s="863">
        <v>2016</v>
      </c>
      <c r="K5" s="863"/>
      <c r="L5" s="863">
        <v>2017</v>
      </c>
      <c r="M5" s="897" t="s">
        <v>2</v>
      </c>
      <c r="N5" s="862">
        <v>2015</v>
      </c>
      <c r="O5" s="863"/>
      <c r="P5" s="863">
        <v>2016</v>
      </c>
      <c r="Q5" s="863"/>
      <c r="R5" s="863">
        <v>2017</v>
      </c>
      <c r="S5" s="897" t="s">
        <v>2</v>
      </c>
    </row>
    <row r="6" spans="1:19" ht="14.4" customHeight="1" x14ac:dyDescent="0.3">
      <c r="A6" s="819" t="s">
        <v>3480</v>
      </c>
      <c r="B6" s="879">
        <v>824</v>
      </c>
      <c r="C6" s="788">
        <v>1.4430823117338003</v>
      </c>
      <c r="D6" s="879">
        <v>571</v>
      </c>
      <c r="E6" s="788">
        <v>1</v>
      </c>
      <c r="F6" s="879">
        <v>377</v>
      </c>
      <c r="G6" s="793">
        <v>0.66024518388791598</v>
      </c>
      <c r="H6" s="879"/>
      <c r="I6" s="788"/>
      <c r="J6" s="879"/>
      <c r="K6" s="788"/>
      <c r="L6" s="879"/>
      <c r="M6" s="793"/>
      <c r="N6" s="879"/>
      <c r="O6" s="788"/>
      <c r="P6" s="879"/>
      <c r="Q6" s="788"/>
      <c r="R6" s="879"/>
      <c r="S6" s="231"/>
    </row>
    <row r="7" spans="1:19" ht="14.4" customHeight="1" x14ac:dyDescent="0.3">
      <c r="A7" s="820" t="s">
        <v>3481</v>
      </c>
      <c r="B7" s="881">
        <v>389</v>
      </c>
      <c r="C7" s="795">
        <v>1.5436507936507937</v>
      </c>
      <c r="D7" s="881">
        <v>252</v>
      </c>
      <c r="E7" s="795">
        <v>1</v>
      </c>
      <c r="F7" s="881">
        <v>126</v>
      </c>
      <c r="G7" s="800">
        <v>0.5</v>
      </c>
      <c r="H7" s="881"/>
      <c r="I7" s="795"/>
      <c r="J7" s="881"/>
      <c r="K7" s="795"/>
      <c r="L7" s="881"/>
      <c r="M7" s="800"/>
      <c r="N7" s="881"/>
      <c r="O7" s="795"/>
      <c r="P7" s="881"/>
      <c r="Q7" s="795"/>
      <c r="R7" s="881"/>
      <c r="S7" s="801"/>
    </row>
    <row r="8" spans="1:19" ht="14.4" customHeight="1" x14ac:dyDescent="0.3">
      <c r="A8" s="820" t="s">
        <v>3482</v>
      </c>
      <c r="B8" s="881">
        <v>236</v>
      </c>
      <c r="C8" s="795">
        <v>0.46825396825396826</v>
      </c>
      <c r="D8" s="881">
        <v>504</v>
      </c>
      <c r="E8" s="795">
        <v>1</v>
      </c>
      <c r="F8" s="881">
        <v>1228</v>
      </c>
      <c r="G8" s="800">
        <v>2.4365079365079363</v>
      </c>
      <c r="H8" s="881"/>
      <c r="I8" s="795"/>
      <c r="J8" s="881"/>
      <c r="K8" s="795"/>
      <c r="L8" s="881"/>
      <c r="M8" s="800"/>
      <c r="N8" s="881"/>
      <c r="O8" s="795"/>
      <c r="P8" s="881"/>
      <c r="Q8" s="795"/>
      <c r="R8" s="881"/>
      <c r="S8" s="801"/>
    </row>
    <row r="9" spans="1:19" ht="14.4" customHeight="1" x14ac:dyDescent="0.3">
      <c r="A9" s="820" t="s">
        <v>3483</v>
      </c>
      <c r="B9" s="881">
        <v>118</v>
      </c>
      <c r="C9" s="795">
        <v>0.93650793650793651</v>
      </c>
      <c r="D9" s="881">
        <v>126</v>
      </c>
      <c r="E9" s="795">
        <v>1</v>
      </c>
      <c r="F9" s="881">
        <v>252</v>
      </c>
      <c r="G9" s="800">
        <v>2</v>
      </c>
      <c r="H9" s="881"/>
      <c r="I9" s="795"/>
      <c r="J9" s="881"/>
      <c r="K9" s="795"/>
      <c r="L9" s="881"/>
      <c r="M9" s="800"/>
      <c r="N9" s="881"/>
      <c r="O9" s="795"/>
      <c r="P9" s="881"/>
      <c r="Q9" s="795"/>
      <c r="R9" s="881"/>
      <c r="S9" s="801"/>
    </row>
    <row r="10" spans="1:19" ht="14.4" customHeight="1" x14ac:dyDescent="0.3">
      <c r="A10" s="820" t="s">
        <v>3484</v>
      </c>
      <c r="B10" s="881"/>
      <c r="C10" s="795"/>
      <c r="D10" s="881">
        <v>126</v>
      </c>
      <c r="E10" s="795">
        <v>1</v>
      </c>
      <c r="F10" s="881"/>
      <c r="G10" s="800"/>
      <c r="H10" s="881"/>
      <c r="I10" s="795"/>
      <c r="J10" s="881"/>
      <c r="K10" s="795"/>
      <c r="L10" s="881"/>
      <c r="M10" s="800"/>
      <c r="N10" s="881"/>
      <c r="O10" s="795"/>
      <c r="P10" s="881"/>
      <c r="Q10" s="795"/>
      <c r="R10" s="881"/>
      <c r="S10" s="801"/>
    </row>
    <row r="11" spans="1:19" ht="14.4" customHeight="1" x14ac:dyDescent="0.3">
      <c r="A11" s="820" t="s">
        <v>3485</v>
      </c>
      <c r="B11" s="881">
        <v>354</v>
      </c>
      <c r="C11" s="795">
        <v>2.8095238095238093</v>
      </c>
      <c r="D11" s="881">
        <v>126</v>
      </c>
      <c r="E11" s="795">
        <v>1</v>
      </c>
      <c r="F11" s="881">
        <v>126</v>
      </c>
      <c r="G11" s="800">
        <v>1</v>
      </c>
      <c r="H11" s="881"/>
      <c r="I11" s="795"/>
      <c r="J11" s="881"/>
      <c r="K11" s="795"/>
      <c r="L11" s="881"/>
      <c r="M11" s="800"/>
      <c r="N11" s="881"/>
      <c r="O11" s="795"/>
      <c r="P11" s="881"/>
      <c r="Q11" s="795"/>
      <c r="R11" s="881"/>
      <c r="S11" s="801"/>
    </row>
    <row r="12" spans="1:19" ht="14.4" customHeight="1" x14ac:dyDescent="0.3">
      <c r="A12" s="820" t="s">
        <v>3486</v>
      </c>
      <c r="B12" s="881">
        <v>118</v>
      </c>
      <c r="C12" s="795"/>
      <c r="D12" s="881"/>
      <c r="E12" s="795"/>
      <c r="F12" s="881">
        <v>755</v>
      </c>
      <c r="G12" s="800"/>
      <c r="H12" s="881"/>
      <c r="I12" s="795"/>
      <c r="J12" s="881"/>
      <c r="K12" s="795"/>
      <c r="L12" s="881"/>
      <c r="M12" s="800"/>
      <c r="N12" s="881"/>
      <c r="O12" s="795"/>
      <c r="P12" s="881"/>
      <c r="Q12" s="795"/>
      <c r="R12" s="881"/>
      <c r="S12" s="801"/>
    </row>
    <row r="13" spans="1:19" ht="14.4" customHeight="1" x14ac:dyDescent="0.3">
      <c r="A13" s="820" t="s">
        <v>3487</v>
      </c>
      <c r="B13" s="881">
        <v>9741</v>
      </c>
      <c r="C13" s="795">
        <v>2.5783483324510321</v>
      </c>
      <c r="D13" s="881">
        <v>3778</v>
      </c>
      <c r="E13" s="795">
        <v>1</v>
      </c>
      <c r="F13" s="881">
        <v>5335</v>
      </c>
      <c r="G13" s="800">
        <v>1.4121228163049233</v>
      </c>
      <c r="H13" s="881"/>
      <c r="I13" s="795"/>
      <c r="J13" s="881"/>
      <c r="K13" s="795"/>
      <c r="L13" s="881"/>
      <c r="M13" s="800"/>
      <c r="N13" s="881"/>
      <c r="O13" s="795"/>
      <c r="P13" s="881"/>
      <c r="Q13" s="795"/>
      <c r="R13" s="881"/>
      <c r="S13" s="801"/>
    </row>
    <row r="14" spans="1:19" ht="14.4" customHeight="1" x14ac:dyDescent="0.3">
      <c r="A14" s="820" t="s">
        <v>3488</v>
      </c>
      <c r="B14" s="881">
        <v>118</v>
      </c>
      <c r="C14" s="795"/>
      <c r="D14" s="881"/>
      <c r="E14" s="795"/>
      <c r="F14" s="881">
        <v>251</v>
      </c>
      <c r="G14" s="800"/>
      <c r="H14" s="881"/>
      <c r="I14" s="795"/>
      <c r="J14" s="881"/>
      <c r="K14" s="795"/>
      <c r="L14" s="881"/>
      <c r="M14" s="800"/>
      <c r="N14" s="881"/>
      <c r="O14" s="795"/>
      <c r="P14" s="881"/>
      <c r="Q14" s="795"/>
      <c r="R14" s="881"/>
      <c r="S14" s="801"/>
    </row>
    <row r="15" spans="1:19" ht="14.4" customHeight="1" x14ac:dyDescent="0.3">
      <c r="A15" s="820" t="s">
        <v>3489</v>
      </c>
      <c r="B15" s="881"/>
      <c r="C15" s="795"/>
      <c r="D15" s="881">
        <v>126</v>
      </c>
      <c r="E15" s="795">
        <v>1</v>
      </c>
      <c r="F15" s="881"/>
      <c r="G15" s="800"/>
      <c r="H15" s="881"/>
      <c r="I15" s="795"/>
      <c r="J15" s="881"/>
      <c r="K15" s="795"/>
      <c r="L15" s="881"/>
      <c r="M15" s="800"/>
      <c r="N15" s="881"/>
      <c r="O15" s="795"/>
      <c r="P15" s="881"/>
      <c r="Q15" s="795"/>
      <c r="R15" s="881"/>
      <c r="S15" s="801"/>
    </row>
    <row r="16" spans="1:19" ht="14.4" customHeight="1" x14ac:dyDescent="0.3">
      <c r="A16" s="820" t="s">
        <v>3490</v>
      </c>
      <c r="B16" s="881">
        <v>235</v>
      </c>
      <c r="C16" s="795">
        <v>0.49369747899159666</v>
      </c>
      <c r="D16" s="881">
        <v>476</v>
      </c>
      <c r="E16" s="795">
        <v>1</v>
      </c>
      <c r="F16" s="881">
        <v>252</v>
      </c>
      <c r="G16" s="800">
        <v>0.52941176470588236</v>
      </c>
      <c r="H16" s="881"/>
      <c r="I16" s="795"/>
      <c r="J16" s="881"/>
      <c r="K16" s="795"/>
      <c r="L16" s="881"/>
      <c r="M16" s="800"/>
      <c r="N16" s="881"/>
      <c r="O16" s="795"/>
      <c r="P16" s="881"/>
      <c r="Q16" s="795"/>
      <c r="R16" s="881"/>
      <c r="S16" s="801"/>
    </row>
    <row r="17" spans="1:19" ht="14.4" customHeight="1" x14ac:dyDescent="0.3">
      <c r="A17" s="820" t="s">
        <v>3491</v>
      </c>
      <c r="B17" s="881">
        <v>235</v>
      </c>
      <c r="C17" s="795">
        <v>0.62169312169312174</v>
      </c>
      <c r="D17" s="881">
        <v>378</v>
      </c>
      <c r="E17" s="795">
        <v>1</v>
      </c>
      <c r="F17" s="881">
        <v>561</v>
      </c>
      <c r="G17" s="800">
        <v>1.4841269841269842</v>
      </c>
      <c r="H17" s="881"/>
      <c r="I17" s="795"/>
      <c r="J17" s="881"/>
      <c r="K17" s="795"/>
      <c r="L17" s="881"/>
      <c r="M17" s="800"/>
      <c r="N17" s="881"/>
      <c r="O17" s="795"/>
      <c r="P17" s="881"/>
      <c r="Q17" s="795"/>
      <c r="R17" s="881"/>
      <c r="S17" s="801"/>
    </row>
    <row r="18" spans="1:19" ht="14.4" customHeight="1" x14ac:dyDescent="0.3">
      <c r="A18" s="820" t="s">
        <v>3492</v>
      </c>
      <c r="B18" s="881">
        <v>825</v>
      </c>
      <c r="C18" s="795">
        <v>0.81845238095238093</v>
      </c>
      <c r="D18" s="881">
        <v>1008</v>
      </c>
      <c r="E18" s="795">
        <v>1</v>
      </c>
      <c r="F18" s="881">
        <v>609</v>
      </c>
      <c r="G18" s="800">
        <v>0.60416666666666663</v>
      </c>
      <c r="H18" s="881"/>
      <c r="I18" s="795"/>
      <c r="J18" s="881"/>
      <c r="K18" s="795"/>
      <c r="L18" s="881"/>
      <c r="M18" s="800"/>
      <c r="N18" s="881"/>
      <c r="O18" s="795"/>
      <c r="P18" s="881"/>
      <c r="Q18" s="795"/>
      <c r="R18" s="881"/>
      <c r="S18" s="801"/>
    </row>
    <row r="19" spans="1:19" ht="14.4" customHeight="1" x14ac:dyDescent="0.3">
      <c r="A19" s="820" t="s">
        <v>3493</v>
      </c>
      <c r="B19" s="881"/>
      <c r="C19" s="795"/>
      <c r="D19" s="881"/>
      <c r="E19" s="795"/>
      <c r="F19" s="881">
        <v>502</v>
      </c>
      <c r="G19" s="800"/>
      <c r="H19" s="881"/>
      <c r="I19" s="795"/>
      <c r="J19" s="881"/>
      <c r="K19" s="795"/>
      <c r="L19" s="881"/>
      <c r="M19" s="800"/>
      <c r="N19" s="881"/>
      <c r="O19" s="795"/>
      <c r="P19" s="881"/>
      <c r="Q19" s="795"/>
      <c r="R19" s="881"/>
      <c r="S19" s="801"/>
    </row>
    <row r="20" spans="1:19" ht="14.4" customHeight="1" x14ac:dyDescent="0.3">
      <c r="A20" s="820" t="s">
        <v>3494</v>
      </c>
      <c r="B20" s="881">
        <v>118</v>
      </c>
      <c r="C20" s="795">
        <v>0.3129973474801061</v>
      </c>
      <c r="D20" s="881">
        <v>377</v>
      </c>
      <c r="E20" s="795">
        <v>1</v>
      </c>
      <c r="F20" s="881">
        <v>126</v>
      </c>
      <c r="G20" s="800">
        <v>0.33421750663129973</v>
      </c>
      <c r="H20" s="881"/>
      <c r="I20" s="795"/>
      <c r="J20" s="881"/>
      <c r="K20" s="795"/>
      <c r="L20" s="881"/>
      <c r="M20" s="800"/>
      <c r="N20" s="881"/>
      <c r="O20" s="795"/>
      <c r="P20" s="881"/>
      <c r="Q20" s="795"/>
      <c r="R20" s="881"/>
      <c r="S20" s="801"/>
    </row>
    <row r="21" spans="1:19" ht="14.4" customHeight="1" x14ac:dyDescent="0.3">
      <c r="A21" s="820" t="s">
        <v>3495</v>
      </c>
      <c r="B21" s="881">
        <v>1616</v>
      </c>
      <c r="C21" s="795">
        <v>0.33292130201895342</v>
      </c>
      <c r="D21" s="881">
        <v>4854</v>
      </c>
      <c r="E21" s="795">
        <v>1</v>
      </c>
      <c r="F21" s="881">
        <v>3857</v>
      </c>
      <c r="G21" s="800">
        <v>0.79460238978162345</v>
      </c>
      <c r="H21" s="881"/>
      <c r="I21" s="795"/>
      <c r="J21" s="881"/>
      <c r="K21" s="795"/>
      <c r="L21" s="881"/>
      <c r="M21" s="800"/>
      <c r="N21" s="881"/>
      <c r="O21" s="795"/>
      <c r="P21" s="881"/>
      <c r="Q21" s="795"/>
      <c r="R21" s="881"/>
      <c r="S21" s="801"/>
    </row>
    <row r="22" spans="1:19" ht="14.4" customHeight="1" x14ac:dyDescent="0.3">
      <c r="A22" s="820" t="s">
        <v>3496</v>
      </c>
      <c r="B22" s="881">
        <v>2101</v>
      </c>
      <c r="C22" s="795">
        <v>0.51697834645669294</v>
      </c>
      <c r="D22" s="881">
        <v>4064</v>
      </c>
      <c r="E22" s="795">
        <v>1</v>
      </c>
      <c r="F22" s="881">
        <v>5610</v>
      </c>
      <c r="G22" s="800">
        <v>1.3804133858267718</v>
      </c>
      <c r="H22" s="881"/>
      <c r="I22" s="795"/>
      <c r="J22" s="881"/>
      <c r="K22" s="795"/>
      <c r="L22" s="881"/>
      <c r="M22" s="800"/>
      <c r="N22" s="881"/>
      <c r="O22" s="795"/>
      <c r="P22" s="881"/>
      <c r="Q22" s="795"/>
      <c r="R22" s="881"/>
      <c r="S22" s="801"/>
    </row>
    <row r="23" spans="1:19" ht="14.4" customHeight="1" x14ac:dyDescent="0.3">
      <c r="A23" s="820" t="s">
        <v>1504</v>
      </c>
      <c r="B23" s="881">
        <v>4846580</v>
      </c>
      <c r="C23" s="795">
        <v>1.0961390713244212</v>
      </c>
      <c r="D23" s="881">
        <v>4421501</v>
      </c>
      <c r="E23" s="795">
        <v>1</v>
      </c>
      <c r="F23" s="881">
        <v>4374479</v>
      </c>
      <c r="G23" s="800">
        <v>0.989365149979611</v>
      </c>
      <c r="H23" s="881">
        <v>2310738.9899999984</v>
      </c>
      <c r="I23" s="795">
        <v>0.78571455360729503</v>
      </c>
      <c r="J23" s="881">
        <v>2940939.5300000003</v>
      </c>
      <c r="K23" s="795">
        <v>1</v>
      </c>
      <c r="L23" s="881">
        <v>2871084.6199999996</v>
      </c>
      <c r="M23" s="800">
        <v>0.97624741709667162</v>
      </c>
      <c r="N23" s="881"/>
      <c r="O23" s="795"/>
      <c r="P23" s="881"/>
      <c r="Q23" s="795"/>
      <c r="R23" s="881"/>
      <c r="S23" s="801"/>
    </row>
    <row r="24" spans="1:19" ht="14.4" customHeight="1" x14ac:dyDescent="0.3">
      <c r="A24" s="820" t="s">
        <v>3497</v>
      </c>
      <c r="B24" s="881"/>
      <c r="C24" s="795"/>
      <c r="D24" s="881"/>
      <c r="E24" s="795"/>
      <c r="F24" s="881">
        <v>252</v>
      </c>
      <c r="G24" s="800"/>
      <c r="H24" s="881"/>
      <c r="I24" s="795"/>
      <c r="J24" s="881"/>
      <c r="K24" s="795"/>
      <c r="L24" s="881"/>
      <c r="M24" s="800"/>
      <c r="N24" s="881"/>
      <c r="O24" s="795"/>
      <c r="P24" s="881"/>
      <c r="Q24" s="795"/>
      <c r="R24" s="881"/>
      <c r="S24" s="801"/>
    </row>
    <row r="25" spans="1:19" ht="14.4" customHeight="1" x14ac:dyDescent="0.3">
      <c r="A25" s="820" t="s">
        <v>3498</v>
      </c>
      <c r="B25" s="881">
        <v>118</v>
      </c>
      <c r="C25" s="795"/>
      <c r="D25" s="881"/>
      <c r="E25" s="795"/>
      <c r="F25" s="881">
        <v>372</v>
      </c>
      <c r="G25" s="800"/>
      <c r="H25" s="881"/>
      <c r="I25" s="795"/>
      <c r="J25" s="881"/>
      <c r="K25" s="795"/>
      <c r="L25" s="881"/>
      <c r="M25" s="800"/>
      <c r="N25" s="881"/>
      <c r="O25" s="795"/>
      <c r="P25" s="881"/>
      <c r="Q25" s="795"/>
      <c r="R25" s="881"/>
      <c r="S25" s="801"/>
    </row>
    <row r="26" spans="1:19" ht="14.4" customHeight="1" thickBot="1" x14ac:dyDescent="0.35">
      <c r="A26" s="885" t="s">
        <v>3499</v>
      </c>
      <c r="B26" s="883"/>
      <c r="C26" s="803"/>
      <c r="D26" s="883">
        <v>378</v>
      </c>
      <c r="E26" s="803">
        <v>1</v>
      </c>
      <c r="F26" s="883">
        <v>126</v>
      </c>
      <c r="G26" s="808">
        <v>0.33333333333333331</v>
      </c>
      <c r="H26" s="883"/>
      <c r="I26" s="803"/>
      <c r="J26" s="883"/>
      <c r="K26" s="803"/>
      <c r="L26" s="883"/>
      <c r="M26" s="808"/>
      <c r="N26" s="883"/>
      <c r="O26" s="803"/>
      <c r="P26" s="883"/>
      <c r="Q26" s="803"/>
      <c r="R26" s="883"/>
      <c r="S26" s="80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69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8" t="s">
        <v>4384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</row>
    <row r="2" spans="1:17" ht="14.4" customHeight="1" thickBot="1" x14ac:dyDescent="0.35">
      <c r="A2" s="374" t="s">
        <v>353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159</v>
      </c>
      <c r="F3" s="207">
        <f t="shared" ref="F3:O3" si="0">SUBTOTAL(9,F6:F1048576)</f>
        <v>5620.0399999999991</v>
      </c>
      <c r="G3" s="208">
        <f t="shared" si="0"/>
        <v>7174464.9899999946</v>
      </c>
      <c r="H3" s="208"/>
      <c r="I3" s="208"/>
      <c r="J3" s="208">
        <f t="shared" si="0"/>
        <v>4824.2</v>
      </c>
      <c r="K3" s="208">
        <f t="shared" si="0"/>
        <v>7379584.5299999993</v>
      </c>
      <c r="L3" s="208"/>
      <c r="M3" s="208"/>
      <c r="N3" s="208">
        <f t="shared" si="0"/>
        <v>5276.4</v>
      </c>
      <c r="O3" s="208">
        <f t="shared" si="0"/>
        <v>7266280.620000001</v>
      </c>
      <c r="P3" s="79">
        <f>IF(K3=0,0,O3/K3)</f>
        <v>0.98464630230341732</v>
      </c>
      <c r="Q3" s="209">
        <f>IF(N3=0,0,O3/N3)</f>
        <v>1377.1284625881285</v>
      </c>
    </row>
    <row r="4" spans="1:17" ht="14.4" customHeight="1" x14ac:dyDescent="0.3">
      <c r="A4" s="602" t="s">
        <v>74</v>
      </c>
      <c r="B4" s="600" t="s">
        <v>119</v>
      </c>
      <c r="C4" s="602" t="s">
        <v>120</v>
      </c>
      <c r="D4" s="611" t="s">
        <v>121</v>
      </c>
      <c r="E4" s="603" t="s">
        <v>81</v>
      </c>
      <c r="F4" s="609">
        <v>2015</v>
      </c>
      <c r="G4" s="610"/>
      <c r="H4" s="210"/>
      <c r="I4" s="210"/>
      <c r="J4" s="609">
        <v>2016</v>
      </c>
      <c r="K4" s="610"/>
      <c r="L4" s="210"/>
      <c r="M4" s="210"/>
      <c r="N4" s="609">
        <v>2017</v>
      </c>
      <c r="O4" s="610"/>
      <c r="P4" s="612" t="s">
        <v>2</v>
      </c>
      <c r="Q4" s="601" t="s">
        <v>122</v>
      </c>
    </row>
    <row r="5" spans="1:17" ht="14.4" customHeight="1" thickBot="1" x14ac:dyDescent="0.35">
      <c r="A5" s="888"/>
      <c r="B5" s="886"/>
      <c r="C5" s="888"/>
      <c r="D5" s="898"/>
      <c r="E5" s="890"/>
      <c r="F5" s="899" t="s">
        <v>91</v>
      </c>
      <c r="G5" s="900" t="s">
        <v>14</v>
      </c>
      <c r="H5" s="901"/>
      <c r="I5" s="901"/>
      <c r="J5" s="899" t="s">
        <v>91</v>
      </c>
      <c r="K5" s="900" t="s">
        <v>14</v>
      </c>
      <c r="L5" s="901"/>
      <c r="M5" s="901"/>
      <c r="N5" s="899" t="s">
        <v>91</v>
      </c>
      <c r="O5" s="900" t="s">
        <v>14</v>
      </c>
      <c r="P5" s="902"/>
      <c r="Q5" s="895"/>
    </row>
    <row r="6" spans="1:17" ht="14.4" customHeight="1" x14ac:dyDescent="0.3">
      <c r="A6" s="787" t="s">
        <v>3500</v>
      </c>
      <c r="B6" s="788" t="s">
        <v>3364</v>
      </c>
      <c r="C6" s="788" t="s">
        <v>3374</v>
      </c>
      <c r="D6" s="788" t="s">
        <v>3397</v>
      </c>
      <c r="E6" s="788" t="s">
        <v>3398</v>
      </c>
      <c r="F6" s="225">
        <v>3</v>
      </c>
      <c r="G6" s="225">
        <v>354</v>
      </c>
      <c r="H6" s="225">
        <v>1.4047619047619047</v>
      </c>
      <c r="I6" s="225">
        <v>118</v>
      </c>
      <c r="J6" s="225">
        <v>2</v>
      </c>
      <c r="K6" s="225">
        <v>252</v>
      </c>
      <c r="L6" s="225">
        <v>1</v>
      </c>
      <c r="M6" s="225">
        <v>126</v>
      </c>
      <c r="N6" s="225">
        <v>1</v>
      </c>
      <c r="O6" s="225">
        <v>126</v>
      </c>
      <c r="P6" s="793">
        <v>0.5</v>
      </c>
      <c r="Q6" s="811">
        <v>126</v>
      </c>
    </row>
    <row r="7" spans="1:17" ht="14.4" customHeight="1" x14ac:dyDescent="0.3">
      <c r="A7" s="794" t="s">
        <v>3500</v>
      </c>
      <c r="B7" s="795" t="s">
        <v>3364</v>
      </c>
      <c r="C7" s="795" t="s">
        <v>3374</v>
      </c>
      <c r="D7" s="795" t="s">
        <v>3435</v>
      </c>
      <c r="E7" s="795" t="s">
        <v>3436</v>
      </c>
      <c r="F7" s="812">
        <v>2</v>
      </c>
      <c r="G7" s="812">
        <v>470</v>
      </c>
      <c r="H7" s="812"/>
      <c r="I7" s="812">
        <v>235</v>
      </c>
      <c r="J7" s="812"/>
      <c r="K7" s="812"/>
      <c r="L7" s="812"/>
      <c r="M7" s="812"/>
      <c r="N7" s="812">
        <v>1</v>
      </c>
      <c r="O7" s="812">
        <v>251</v>
      </c>
      <c r="P7" s="800"/>
      <c r="Q7" s="813">
        <v>251</v>
      </c>
    </row>
    <row r="8" spans="1:17" ht="14.4" customHeight="1" x14ac:dyDescent="0.3">
      <c r="A8" s="794" t="s">
        <v>3500</v>
      </c>
      <c r="B8" s="795" t="s">
        <v>3364</v>
      </c>
      <c r="C8" s="795" t="s">
        <v>3374</v>
      </c>
      <c r="D8" s="795" t="s">
        <v>3447</v>
      </c>
      <c r="E8" s="795" t="s">
        <v>3448</v>
      </c>
      <c r="F8" s="812"/>
      <c r="G8" s="812"/>
      <c r="H8" s="812"/>
      <c r="I8" s="812"/>
      <c r="J8" s="812">
        <v>1</v>
      </c>
      <c r="K8" s="812">
        <v>319</v>
      </c>
      <c r="L8" s="812">
        <v>1</v>
      </c>
      <c r="M8" s="812">
        <v>319</v>
      </c>
      <c r="N8" s="812"/>
      <c r="O8" s="812"/>
      <c r="P8" s="800"/>
      <c r="Q8" s="813"/>
    </row>
    <row r="9" spans="1:17" ht="14.4" customHeight="1" x14ac:dyDescent="0.3">
      <c r="A9" s="794" t="s">
        <v>3501</v>
      </c>
      <c r="B9" s="795" t="s">
        <v>3364</v>
      </c>
      <c r="C9" s="795" t="s">
        <v>3374</v>
      </c>
      <c r="D9" s="795" t="s">
        <v>3379</v>
      </c>
      <c r="E9" s="795" t="s">
        <v>3380</v>
      </c>
      <c r="F9" s="812">
        <v>1</v>
      </c>
      <c r="G9" s="812">
        <v>35</v>
      </c>
      <c r="H9" s="812"/>
      <c r="I9" s="812">
        <v>35</v>
      </c>
      <c r="J9" s="812"/>
      <c r="K9" s="812"/>
      <c r="L9" s="812"/>
      <c r="M9" s="812"/>
      <c r="N9" s="812"/>
      <c r="O9" s="812"/>
      <c r="P9" s="800"/>
      <c r="Q9" s="813"/>
    </row>
    <row r="10" spans="1:17" ht="14.4" customHeight="1" x14ac:dyDescent="0.3">
      <c r="A10" s="794" t="s">
        <v>3501</v>
      </c>
      <c r="B10" s="795" t="s">
        <v>3364</v>
      </c>
      <c r="C10" s="795" t="s">
        <v>3374</v>
      </c>
      <c r="D10" s="795" t="s">
        <v>3397</v>
      </c>
      <c r="E10" s="795" t="s">
        <v>3398</v>
      </c>
      <c r="F10" s="812">
        <v>3</v>
      </c>
      <c r="G10" s="812">
        <v>354</v>
      </c>
      <c r="H10" s="812">
        <v>1.4047619047619047</v>
      </c>
      <c r="I10" s="812">
        <v>118</v>
      </c>
      <c r="J10" s="812">
        <v>2</v>
      </c>
      <c r="K10" s="812">
        <v>252</v>
      </c>
      <c r="L10" s="812">
        <v>1</v>
      </c>
      <c r="M10" s="812">
        <v>126</v>
      </c>
      <c r="N10" s="812">
        <v>1</v>
      </c>
      <c r="O10" s="812">
        <v>126</v>
      </c>
      <c r="P10" s="800">
        <v>0.5</v>
      </c>
      <c r="Q10" s="813">
        <v>126</v>
      </c>
    </row>
    <row r="11" spans="1:17" ht="14.4" customHeight="1" x14ac:dyDescent="0.3">
      <c r="A11" s="794" t="s">
        <v>3502</v>
      </c>
      <c r="B11" s="795" t="s">
        <v>3364</v>
      </c>
      <c r="C11" s="795" t="s">
        <v>3374</v>
      </c>
      <c r="D11" s="795" t="s">
        <v>3395</v>
      </c>
      <c r="E11" s="795" t="s">
        <v>3396</v>
      </c>
      <c r="F11" s="812"/>
      <c r="G11" s="812"/>
      <c r="H11" s="812"/>
      <c r="I11" s="812"/>
      <c r="J11" s="812"/>
      <c r="K11" s="812"/>
      <c r="L11" s="812"/>
      <c r="M11" s="812"/>
      <c r="N11" s="812">
        <v>1</v>
      </c>
      <c r="O11" s="812">
        <v>97</v>
      </c>
      <c r="P11" s="800"/>
      <c r="Q11" s="813">
        <v>97</v>
      </c>
    </row>
    <row r="12" spans="1:17" ht="14.4" customHeight="1" x14ac:dyDescent="0.3">
      <c r="A12" s="794" t="s">
        <v>3502</v>
      </c>
      <c r="B12" s="795" t="s">
        <v>3364</v>
      </c>
      <c r="C12" s="795" t="s">
        <v>3374</v>
      </c>
      <c r="D12" s="795" t="s">
        <v>3397</v>
      </c>
      <c r="E12" s="795" t="s">
        <v>3398</v>
      </c>
      <c r="F12" s="812">
        <v>2</v>
      </c>
      <c r="G12" s="812">
        <v>236</v>
      </c>
      <c r="H12" s="812">
        <v>0.46825396825396826</v>
      </c>
      <c r="I12" s="812">
        <v>118</v>
      </c>
      <c r="J12" s="812">
        <v>4</v>
      </c>
      <c r="K12" s="812">
        <v>504</v>
      </c>
      <c r="L12" s="812">
        <v>1</v>
      </c>
      <c r="M12" s="812">
        <v>126</v>
      </c>
      <c r="N12" s="812">
        <v>3</v>
      </c>
      <c r="O12" s="812">
        <v>378</v>
      </c>
      <c r="P12" s="800">
        <v>0.75</v>
      </c>
      <c r="Q12" s="813">
        <v>126</v>
      </c>
    </row>
    <row r="13" spans="1:17" ht="14.4" customHeight="1" x14ac:dyDescent="0.3">
      <c r="A13" s="794" t="s">
        <v>3502</v>
      </c>
      <c r="B13" s="795" t="s">
        <v>3364</v>
      </c>
      <c r="C13" s="795" t="s">
        <v>3374</v>
      </c>
      <c r="D13" s="795" t="s">
        <v>3435</v>
      </c>
      <c r="E13" s="795" t="s">
        <v>3436</v>
      </c>
      <c r="F13" s="812"/>
      <c r="G13" s="812"/>
      <c r="H13" s="812"/>
      <c r="I13" s="812"/>
      <c r="J13" s="812"/>
      <c r="K13" s="812"/>
      <c r="L13" s="812"/>
      <c r="M13" s="812"/>
      <c r="N13" s="812">
        <v>3</v>
      </c>
      <c r="O13" s="812">
        <v>753</v>
      </c>
      <c r="P13" s="800"/>
      <c r="Q13" s="813">
        <v>251</v>
      </c>
    </row>
    <row r="14" spans="1:17" ht="14.4" customHeight="1" x14ac:dyDescent="0.3">
      <c r="A14" s="794" t="s">
        <v>3503</v>
      </c>
      <c r="B14" s="795" t="s">
        <v>3364</v>
      </c>
      <c r="C14" s="795" t="s">
        <v>3374</v>
      </c>
      <c r="D14" s="795" t="s">
        <v>3397</v>
      </c>
      <c r="E14" s="795" t="s">
        <v>3398</v>
      </c>
      <c r="F14" s="812">
        <v>1</v>
      </c>
      <c r="G14" s="812">
        <v>118</v>
      </c>
      <c r="H14" s="812">
        <v>0.93650793650793651</v>
      </c>
      <c r="I14" s="812">
        <v>118</v>
      </c>
      <c r="J14" s="812">
        <v>1</v>
      </c>
      <c r="K14" s="812">
        <v>126</v>
      </c>
      <c r="L14" s="812">
        <v>1</v>
      </c>
      <c r="M14" s="812">
        <v>126</v>
      </c>
      <c r="N14" s="812">
        <v>2</v>
      </c>
      <c r="O14" s="812">
        <v>252</v>
      </c>
      <c r="P14" s="800">
        <v>2</v>
      </c>
      <c r="Q14" s="813">
        <v>126</v>
      </c>
    </row>
    <row r="15" spans="1:17" ht="14.4" customHeight="1" x14ac:dyDescent="0.3">
      <c r="A15" s="794" t="s">
        <v>3504</v>
      </c>
      <c r="B15" s="795" t="s">
        <v>3364</v>
      </c>
      <c r="C15" s="795" t="s">
        <v>3374</v>
      </c>
      <c r="D15" s="795" t="s">
        <v>3397</v>
      </c>
      <c r="E15" s="795" t="s">
        <v>3398</v>
      </c>
      <c r="F15" s="812"/>
      <c r="G15" s="812"/>
      <c r="H15" s="812"/>
      <c r="I15" s="812"/>
      <c r="J15" s="812">
        <v>1</v>
      </c>
      <c r="K15" s="812">
        <v>126</v>
      </c>
      <c r="L15" s="812">
        <v>1</v>
      </c>
      <c r="M15" s="812">
        <v>126</v>
      </c>
      <c r="N15" s="812"/>
      <c r="O15" s="812"/>
      <c r="P15" s="800"/>
      <c r="Q15" s="813"/>
    </row>
    <row r="16" spans="1:17" ht="14.4" customHeight="1" x14ac:dyDescent="0.3">
      <c r="A16" s="794" t="s">
        <v>3363</v>
      </c>
      <c r="B16" s="795" t="s">
        <v>3364</v>
      </c>
      <c r="C16" s="795" t="s">
        <v>3374</v>
      </c>
      <c r="D16" s="795" t="s">
        <v>3397</v>
      </c>
      <c r="E16" s="795" t="s">
        <v>3398</v>
      </c>
      <c r="F16" s="812">
        <v>3</v>
      </c>
      <c r="G16" s="812">
        <v>354</v>
      </c>
      <c r="H16" s="812">
        <v>2.8095238095238093</v>
      </c>
      <c r="I16" s="812">
        <v>118</v>
      </c>
      <c r="J16" s="812">
        <v>1</v>
      </c>
      <c r="K16" s="812">
        <v>126</v>
      </c>
      <c r="L16" s="812">
        <v>1</v>
      </c>
      <c r="M16" s="812">
        <v>126</v>
      </c>
      <c r="N16" s="812">
        <v>1</v>
      </c>
      <c r="O16" s="812">
        <v>126</v>
      </c>
      <c r="P16" s="800">
        <v>1</v>
      </c>
      <c r="Q16" s="813">
        <v>126</v>
      </c>
    </row>
    <row r="17" spans="1:17" ht="14.4" customHeight="1" x14ac:dyDescent="0.3">
      <c r="A17" s="794" t="s">
        <v>3505</v>
      </c>
      <c r="B17" s="795" t="s">
        <v>3364</v>
      </c>
      <c r="C17" s="795" t="s">
        <v>3374</v>
      </c>
      <c r="D17" s="795" t="s">
        <v>3397</v>
      </c>
      <c r="E17" s="795" t="s">
        <v>3398</v>
      </c>
      <c r="F17" s="812">
        <v>1</v>
      </c>
      <c r="G17" s="812">
        <v>118</v>
      </c>
      <c r="H17" s="812"/>
      <c r="I17" s="812">
        <v>118</v>
      </c>
      <c r="J17" s="812"/>
      <c r="K17" s="812"/>
      <c r="L17" s="812"/>
      <c r="M17" s="812"/>
      <c r="N17" s="812">
        <v>4</v>
      </c>
      <c r="O17" s="812">
        <v>504</v>
      </c>
      <c r="P17" s="800"/>
      <c r="Q17" s="813">
        <v>126</v>
      </c>
    </row>
    <row r="18" spans="1:17" ht="14.4" customHeight="1" x14ac:dyDescent="0.3">
      <c r="A18" s="794" t="s">
        <v>3505</v>
      </c>
      <c r="B18" s="795" t="s">
        <v>3364</v>
      </c>
      <c r="C18" s="795" t="s">
        <v>3374</v>
      </c>
      <c r="D18" s="795" t="s">
        <v>3435</v>
      </c>
      <c r="E18" s="795" t="s">
        <v>3436</v>
      </c>
      <c r="F18" s="812"/>
      <c r="G18" s="812"/>
      <c r="H18" s="812"/>
      <c r="I18" s="812"/>
      <c r="J18" s="812"/>
      <c r="K18" s="812"/>
      <c r="L18" s="812"/>
      <c r="M18" s="812"/>
      <c r="N18" s="812">
        <v>1</v>
      </c>
      <c r="O18" s="812">
        <v>251</v>
      </c>
      <c r="P18" s="800"/>
      <c r="Q18" s="813">
        <v>251</v>
      </c>
    </row>
    <row r="19" spans="1:17" ht="14.4" customHeight="1" x14ac:dyDescent="0.3">
      <c r="A19" s="794" t="s">
        <v>3506</v>
      </c>
      <c r="B19" s="795" t="s">
        <v>3364</v>
      </c>
      <c r="C19" s="795" t="s">
        <v>3374</v>
      </c>
      <c r="D19" s="795" t="s">
        <v>3379</v>
      </c>
      <c r="E19" s="795" t="s">
        <v>3380</v>
      </c>
      <c r="F19" s="812">
        <v>1</v>
      </c>
      <c r="G19" s="812">
        <v>35</v>
      </c>
      <c r="H19" s="812"/>
      <c r="I19" s="812">
        <v>35</v>
      </c>
      <c r="J19" s="812"/>
      <c r="K19" s="812"/>
      <c r="L19" s="812"/>
      <c r="M19" s="812"/>
      <c r="N19" s="812"/>
      <c r="O19" s="812"/>
      <c r="P19" s="800"/>
      <c r="Q19" s="813"/>
    </row>
    <row r="20" spans="1:17" ht="14.4" customHeight="1" x14ac:dyDescent="0.3">
      <c r="A20" s="794" t="s">
        <v>3506</v>
      </c>
      <c r="B20" s="795" t="s">
        <v>3364</v>
      </c>
      <c r="C20" s="795" t="s">
        <v>3374</v>
      </c>
      <c r="D20" s="795" t="s">
        <v>3389</v>
      </c>
      <c r="E20" s="795" t="s">
        <v>3390</v>
      </c>
      <c r="F20" s="812"/>
      <c r="G20" s="812"/>
      <c r="H20" s="812"/>
      <c r="I20" s="812"/>
      <c r="J20" s="812">
        <v>1</v>
      </c>
      <c r="K20" s="812">
        <v>309</v>
      </c>
      <c r="L20" s="812">
        <v>1</v>
      </c>
      <c r="M20" s="812">
        <v>309</v>
      </c>
      <c r="N20" s="812"/>
      <c r="O20" s="812"/>
      <c r="P20" s="800"/>
      <c r="Q20" s="813"/>
    </row>
    <row r="21" spans="1:17" ht="14.4" customHeight="1" x14ac:dyDescent="0.3">
      <c r="A21" s="794" t="s">
        <v>3506</v>
      </c>
      <c r="B21" s="795" t="s">
        <v>3364</v>
      </c>
      <c r="C21" s="795" t="s">
        <v>3374</v>
      </c>
      <c r="D21" s="795" t="s">
        <v>3397</v>
      </c>
      <c r="E21" s="795" t="s">
        <v>3398</v>
      </c>
      <c r="F21" s="812">
        <v>26</v>
      </c>
      <c r="G21" s="812">
        <v>3068</v>
      </c>
      <c r="H21" s="812">
        <v>0.97396825396825393</v>
      </c>
      <c r="I21" s="812">
        <v>118</v>
      </c>
      <c r="J21" s="812">
        <v>25</v>
      </c>
      <c r="K21" s="812">
        <v>3150</v>
      </c>
      <c r="L21" s="812">
        <v>1</v>
      </c>
      <c r="M21" s="812">
        <v>126</v>
      </c>
      <c r="N21" s="812">
        <v>29</v>
      </c>
      <c r="O21" s="812">
        <v>3654</v>
      </c>
      <c r="P21" s="800">
        <v>1.1599999999999999</v>
      </c>
      <c r="Q21" s="813">
        <v>126</v>
      </c>
    </row>
    <row r="22" spans="1:17" ht="14.4" customHeight="1" x14ac:dyDescent="0.3">
      <c r="A22" s="794" t="s">
        <v>3506</v>
      </c>
      <c r="B22" s="795" t="s">
        <v>3364</v>
      </c>
      <c r="C22" s="795" t="s">
        <v>3374</v>
      </c>
      <c r="D22" s="795" t="s">
        <v>3407</v>
      </c>
      <c r="E22" s="795" t="s">
        <v>3408</v>
      </c>
      <c r="F22" s="812">
        <v>4</v>
      </c>
      <c r="G22" s="812">
        <v>5136</v>
      </c>
      <c r="H22" s="812"/>
      <c r="I22" s="812">
        <v>1284</v>
      </c>
      <c r="J22" s="812"/>
      <c r="K22" s="812"/>
      <c r="L22" s="812"/>
      <c r="M22" s="812"/>
      <c r="N22" s="812"/>
      <c r="O22" s="812"/>
      <c r="P22" s="800"/>
      <c r="Q22" s="813"/>
    </row>
    <row r="23" spans="1:17" ht="14.4" customHeight="1" x14ac:dyDescent="0.3">
      <c r="A23" s="794" t="s">
        <v>3506</v>
      </c>
      <c r="B23" s="795" t="s">
        <v>3364</v>
      </c>
      <c r="C23" s="795" t="s">
        <v>3374</v>
      </c>
      <c r="D23" s="795" t="s">
        <v>3427</v>
      </c>
      <c r="E23" s="795" t="s">
        <v>3428</v>
      </c>
      <c r="F23" s="812">
        <v>1</v>
      </c>
      <c r="G23" s="812">
        <v>384</v>
      </c>
      <c r="H23" s="812"/>
      <c r="I23" s="812">
        <v>384</v>
      </c>
      <c r="J23" s="812"/>
      <c r="K23" s="812"/>
      <c r="L23" s="812"/>
      <c r="M23" s="812"/>
      <c r="N23" s="812"/>
      <c r="O23" s="812"/>
      <c r="P23" s="800"/>
      <c r="Q23" s="813"/>
    </row>
    <row r="24" spans="1:17" ht="14.4" customHeight="1" x14ac:dyDescent="0.3">
      <c r="A24" s="794" t="s">
        <v>3506</v>
      </c>
      <c r="B24" s="795" t="s">
        <v>3364</v>
      </c>
      <c r="C24" s="795" t="s">
        <v>3374</v>
      </c>
      <c r="D24" s="795" t="s">
        <v>3435</v>
      </c>
      <c r="E24" s="795" t="s">
        <v>3436</v>
      </c>
      <c r="F24" s="812">
        <v>2</v>
      </c>
      <c r="G24" s="812">
        <v>470</v>
      </c>
      <c r="H24" s="812"/>
      <c r="I24" s="812">
        <v>235</v>
      </c>
      <c r="J24" s="812"/>
      <c r="K24" s="812"/>
      <c r="L24" s="812"/>
      <c r="M24" s="812"/>
      <c r="N24" s="812">
        <v>1</v>
      </c>
      <c r="O24" s="812">
        <v>251</v>
      </c>
      <c r="P24" s="800"/>
      <c r="Q24" s="813">
        <v>251</v>
      </c>
    </row>
    <row r="25" spans="1:17" ht="14.4" customHeight="1" x14ac:dyDescent="0.3">
      <c r="A25" s="794" t="s">
        <v>3506</v>
      </c>
      <c r="B25" s="795" t="s">
        <v>3364</v>
      </c>
      <c r="C25" s="795" t="s">
        <v>3374</v>
      </c>
      <c r="D25" s="795" t="s">
        <v>3507</v>
      </c>
      <c r="E25" s="795" t="s">
        <v>3508</v>
      </c>
      <c r="F25" s="812">
        <v>1</v>
      </c>
      <c r="G25" s="812">
        <v>114</v>
      </c>
      <c r="H25" s="812"/>
      <c r="I25" s="812">
        <v>114</v>
      </c>
      <c r="J25" s="812"/>
      <c r="K25" s="812"/>
      <c r="L25" s="812"/>
      <c r="M25" s="812"/>
      <c r="N25" s="812"/>
      <c r="O25" s="812"/>
      <c r="P25" s="800"/>
      <c r="Q25" s="813"/>
    </row>
    <row r="26" spans="1:17" ht="14.4" customHeight="1" x14ac:dyDescent="0.3">
      <c r="A26" s="794" t="s">
        <v>3506</v>
      </c>
      <c r="B26" s="795" t="s">
        <v>3364</v>
      </c>
      <c r="C26" s="795" t="s">
        <v>3374</v>
      </c>
      <c r="D26" s="795" t="s">
        <v>3447</v>
      </c>
      <c r="E26" s="795" t="s">
        <v>3448</v>
      </c>
      <c r="F26" s="812">
        <v>1</v>
      </c>
      <c r="G26" s="812">
        <v>311</v>
      </c>
      <c r="H26" s="812">
        <v>0.97492163009404387</v>
      </c>
      <c r="I26" s="812">
        <v>311</v>
      </c>
      <c r="J26" s="812">
        <v>1</v>
      </c>
      <c r="K26" s="812">
        <v>319</v>
      </c>
      <c r="L26" s="812">
        <v>1</v>
      </c>
      <c r="M26" s="812">
        <v>319</v>
      </c>
      <c r="N26" s="812"/>
      <c r="O26" s="812"/>
      <c r="P26" s="800"/>
      <c r="Q26" s="813"/>
    </row>
    <row r="27" spans="1:17" ht="14.4" customHeight="1" x14ac:dyDescent="0.3">
      <c r="A27" s="794" t="s">
        <v>3506</v>
      </c>
      <c r="B27" s="795" t="s">
        <v>3364</v>
      </c>
      <c r="C27" s="795" t="s">
        <v>3374</v>
      </c>
      <c r="D27" s="795" t="s">
        <v>3463</v>
      </c>
      <c r="E27" s="795" t="s">
        <v>3464</v>
      </c>
      <c r="F27" s="812">
        <v>1</v>
      </c>
      <c r="G27" s="812">
        <v>223</v>
      </c>
      <c r="H27" s="812"/>
      <c r="I27" s="812">
        <v>223</v>
      </c>
      <c r="J27" s="812"/>
      <c r="K27" s="812"/>
      <c r="L27" s="812"/>
      <c r="M27" s="812"/>
      <c r="N27" s="812"/>
      <c r="O27" s="812"/>
      <c r="P27" s="800"/>
      <c r="Q27" s="813"/>
    </row>
    <row r="28" spans="1:17" ht="14.4" customHeight="1" x14ac:dyDescent="0.3">
      <c r="A28" s="794" t="s">
        <v>3506</v>
      </c>
      <c r="B28" s="795" t="s">
        <v>3509</v>
      </c>
      <c r="C28" s="795" t="s">
        <v>3374</v>
      </c>
      <c r="D28" s="795" t="s">
        <v>3407</v>
      </c>
      <c r="E28" s="795" t="s">
        <v>3408</v>
      </c>
      <c r="F28" s="812"/>
      <c r="G28" s="812"/>
      <c r="H28" s="812"/>
      <c r="I28" s="812"/>
      <c r="J28" s="812"/>
      <c r="K28" s="812"/>
      <c r="L28" s="812"/>
      <c r="M28" s="812"/>
      <c r="N28" s="812">
        <v>1</v>
      </c>
      <c r="O28" s="812">
        <v>1310</v>
      </c>
      <c r="P28" s="800"/>
      <c r="Q28" s="813">
        <v>1310</v>
      </c>
    </row>
    <row r="29" spans="1:17" ht="14.4" customHeight="1" x14ac:dyDescent="0.3">
      <c r="A29" s="794" t="s">
        <v>3506</v>
      </c>
      <c r="B29" s="795" t="s">
        <v>3509</v>
      </c>
      <c r="C29" s="795" t="s">
        <v>3374</v>
      </c>
      <c r="D29" s="795" t="s">
        <v>3507</v>
      </c>
      <c r="E29" s="795" t="s">
        <v>3508</v>
      </c>
      <c r="F29" s="812"/>
      <c r="G29" s="812"/>
      <c r="H29" s="812"/>
      <c r="I29" s="812"/>
      <c r="J29" s="812"/>
      <c r="K29" s="812"/>
      <c r="L29" s="812"/>
      <c r="M29" s="812"/>
      <c r="N29" s="812">
        <v>1</v>
      </c>
      <c r="O29" s="812">
        <v>120</v>
      </c>
      <c r="P29" s="800"/>
      <c r="Q29" s="813">
        <v>120</v>
      </c>
    </row>
    <row r="30" spans="1:17" ht="14.4" customHeight="1" x14ac:dyDescent="0.3">
      <c r="A30" s="794" t="s">
        <v>3510</v>
      </c>
      <c r="B30" s="795" t="s">
        <v>3364</v>
      </c>
      <c r="C30" s="795" t="s">
        <v>3374</v>
      </c>
      <c r="D30" s="795" t="s">
        <v>3397</v>
      </c>
      <c r="E30" s="795" t="s">
        <v>3398</v>
      </c>
      <c r="F30" s="812">
        <v>1</v>
      </c>
      <c r="G30" s="812">
        <v>118</v>
      </c>
      <c r="H30" s="812"/>
      <c r="I30" s="812">
        <v>118</v>
      </c>
      <c r="J30" s="812"/>
      <c r="K30" s="812"/>
      <c r="L30" s="812"/>
      <c r="M30" s="812"/>
      <c r="N30" s="812"/>
      <c r="O30" s="812"/>
      <c r="P30" s="800"/>
      <c r="Q30" s="813"/>
    </row>
    <row r="31" spans="1:17" ht="14.4" customHeight="1" x14ac:dyDescent="0.3">
      <c r="A31" s="794" t="s">
        <v>3510</v>
      </c>
      <c r="B31" s="795" t="s">
        <v>3364</v>
      </c>
      <c r="C31" s="795" t="s">
        <v>3374</v>
      </c>
      <c r="D31" s="795" t="s">
        <v>3435</v>
      </c>
      <c r="E31" s="795" t="s">
        <v>3436</v>
      </c>
      <c r="F31" s="812"/>
      <c r="G31" s="812"/>
      <c r="H31" s="812"/>
      <c r="I31" s="812"/>
      <c r="J31" s="812"/>
      <c r="K31" s="812"/>
      <c r="L31" s="812"/>
      <c r="M31" s="812"/>
      <c r="N31" s="812">
        <v>1</v>
      </c>
      <c r="O31" s="812">
        <v>251</v>
      </c>
      <c r="P31" s="800"/>
      <c r="Q31" s="813">
        <v>251</v>
      </c>
    </row>
    <row r="32" spans="1:17" ht="14.4" customHeight="1" x14ac:dyDescent="0.3">
      <c r="A32" s="794" t="s">
        <v>3511</v>
      </c>
      <c r="B32" s="795" t="s">
        <v>3364</v>
      </c>
      <c r="C32" s="795" t="s">
        <v>3374</v>
      </c>
      <c r="D32" s="795" t="s">
        <v>3397</v>
      </c>
      <c r="E32" s="795" t="s">
        <v>3398</v>
      </c>
      <c r="F32" s="812"/>
      <c r="G32" s="812"/>
      <c r="H32" s="812"/>
      <c r="I32" s="812"/>
      <c r="J32" s="812">
        <v>1</v>
      </c>
      <c r="K32" s="812">
        <v>126</v>
      </c>
      <c r="L32" s="812">
        <v>1</v>
      </c>
      <c r="M32" s="812">
        <v>126</v>
      </c>
      <c r="N32" s="812"/>
      <c r="O32" s="812"/>
      <c r="P32" s="800"/>
      <c r="Q32" s="813"/>
    </row>
    <row r="33" spans="1:17" ht="14.4" customHeight="1" x14ac:dyDescent="0.3">
      <c r="A33" s="794" t="s">
        <v>3512</v>
      </c>
      <c r="B33" s="795" t="s">
        <v>3364</v>
      </c>
      <c r="C33" s="795" t="s">
        <v>3374</v>
      </c>
      <c r="D33" s="795" t="s">
        <v>3393</v>
      </c>
      <c r="E33" s="795" t="s">
        <v>3394</v>
      </c>
      <c r="F33" s="812"/>
      <c r="G33" s="812"/>
      <c r="H33" s="812"/>
      <c r="I33" s="812"/>
      <c r="J33" s="812">
        <v>1</v>
      </c>
      <c r="K33" s="812">
        <v>99</v>
      </c>
      <c r="L33" s="812">
        <v>1</v>
      </c>
      <c r="M33" s="812">
        <v>99</v>
      </c>
      <c r="N33" s="812"/>
      <c r="O33" s="812"/>
      <c r="P33" s="800"/>
      <c r="Q33" s="813"/>
    </row>
    <row r="34" spans="1:17" ht="14.4" customHeight="1" x14ac:dyDescent="0.3">
      <c r="A34" s="794" t="s">
        <v>3512</v>
      </c>
      <c r="B34" s="795" t="s">
        <v>3364</v>
      </c>
      <c r="C34" s="795" t="s">
        <v>3374</v>
      </c>
      <c r="D34" s="795" t="s">
        <v>3397</v>
      </c>
      <c r="E34" s="795" t="s">
        <v>3398</v>
      </c>
      <c r="F34" s="812"/>
      <c r="G34" s="812"/>
      <c r="H34" s="812"/>
      <c r="I34" s="812"/>
      <c r="J34" s="812">
        <v>1</v>
      </c>
      <c r="K34" s="812">
        <v>126</v>
      </c>
      <c r="L34" s="812">
        <v>1</v>
      </c>
      <c r="M34" s="812">
        <v>126</v>
      </c>
      <c r="N34" s="812">
        <v>2</v>
      </c>
      <c r="O34" s="812">
        <v>252</v>
      </c>
      <c r="P34" s="800">
        <v>2</v>
      </c>
      <c r="Q34" s="813">
        <v>126</v>
      </c>
    </row>
    <row r="35" spans="1:17" ht="14.4" customHeight="1" x14ac:dyDescent="0.3">
      <c r="A35" s="794" t="s">
        <v>3512</v>
      </c>
      <c r="B35" s="795" t="s">
        <v>3364</v>
      </c>
      <c r="C35" s="795" t="s">
        <v>3374</v>
      </c>
      <c r="D35" s="795" t="s">
        <v>3435</v>
      </c>
      <c r="E35" s="795" t="s">
        <v>3436</v>
      </c>
      <c r="F35" s="812">
        <v>1</v>
      </c>
      <c r="G35" s="812">
        <v>235</v>
      </c>
      <c r="H35" s="812">
        <v>0.93625498007968122</v>
      </c>
      <c r="I35" s="812">
        <v>235</v>
      </c>
      <c r="J35" s="812">
        <v>1</v>
      </c>
      <c r="K35" s="812">
        <v>251</v>
      </c>
      <c r="L35" s="812">
        <v>1</v>
      </c>
      <c r="M35" s="812">
        <v>251</v>
      </c>
      <c r="N35" s="812"/>
      <c r="O35" s="812"/>
      <c r="P35" s="800"/>
      <c r="Q35" s="813"/>
    </row>
    <row r="36" spans="1:17" ht="14.4" customHeight="1" x14ac:dyDescent="0.3">
      <c r="A36" s="794" t="s">
        <v>3513</v>
      </c>
      <c r="B36" s="795" t="s">
        <v>3364</v>
      </c>
      <c r="C36" s="795" t="s">
        <v>3374</v>
      </c>
      <c r="D36" s="795" t="s">
        <v>3389</v>
      </c>
      <c r="E36" s="795" t="s">
        <v>3390</v>
      </c>
      <c r="F36" s="812"/>
      <c r="G36" s="812"/>
      <c r="H36" s="812"/>
      <c r="I36" s="812"/>
      <c r="J36" s="812"/>
      <c r="K36" s="812"/>
      <c r="L36" s="812"/>
      <c r="M36" s="812"/>
      <c r="N36" s="812">
        <v>1</v>
      </c>
      <c r="O36" s="812">
        <v>309</v>
      </c>
      <c r="P36" s="800"/>
      <c r="Q36" s="813">
        <v>309</v>
      </c>
    </row>
    <row r="37" spans="1:17" ht="14.4" customHeight="1" x14ac:dyDescent="0.3">
      <c r="A37" s="794" t="s">
        <v>3513</v>
      </c>
      <c r="B37" s="795" t="s">
        <v>3364</v>
      </c>
      <c r="C37" s="795" t="s">
        <v>3374</v>
      </c>
      <c r="D37" s="795" t="s">
        <v>3397</v>
      </c>
      <c r="E37" s="795" t="s">
        <v>3398</v>
      </c>
      <c r="F37" s="812"/>
      <c r="G37" s="812"/>
      <c r="H37" s="812"/>
      <c r="I37" s="812"/>
      <c r="J37" s="812">
        <v>3</v>
      </c>
      <c r="K37" s="812">
        <v>378</v>
      </c>
      <c r="L37" s="812">
        <v>1</v>
      </c>
      <c r="M37" s="812">
        <v>126</v>
      </c>
      <c r="N37" s="812">
        <v>2</v>
      </c>
      <c r="O37" s="812">
        <v>252</v>
      </c>
      <c r="P37" s="800">
        <v>0.66666666666666663</v>
      </c>
      <c r="Q37" s="813">
        <v>126</v>
      </c>
    </row>
    <row r="38" spans="1:17" ht="14.4" customHeight="1" x14ac:dyDescent="0.3">
      <c r="A38" s="794" t="s">
        <v>3513</v>
      </c>
      <c r="B38" s="795" t="s">
        <v>3364</v>
      </c>
      <c r="C38" s="795" t="s">
        <v>3374</v>
      </c>
      <c r="D38" s="795" t="s">
        <v>3435</v>
      </c>
      <c r="E38" s="795" t="s">
        <v>3436</v>
      </c>
      <c r="F38" s="812">
        <v>1</v>
      </c>
      <c r="G38" s="812">
        <v>235</v>
      </c>
      <c r="H38" s="812"/>
      <c r="I38" s="812">
        <v>235</v>
      </c>
      <c r="J38" s="812"/>
      <c r="K38" s="812"/>
      <c r="L38" s="812"/>
      <c r="M38" s="812"/>
      <c r="N38" s="812"/>
      <c r="O38" s="812"/>
      <c r="P38" s="800"/>
      <c r="Q38" s="813"/>
    </row>
    <row r="39" spans="1:17" ht="14.4" customHeight="1" x14ac:dyDescent="0.3">
      <c r="A39" s="794" t="s">
        <v>3514</v>
      </c>
      <c r="B39" s="795" t="s">
        <v>3364</v>
      </c>
      <c r="C39" s="795" t="s">
        <v>3374</v>
      </c>
      <c r="D39" s="795" t="s">
        <v>3393</v>
      </c>
      <c r="E39" s="795" t="s">
        <v>3394</v>
      </c>
      <c r="F39" s="812"/>
      <c r="G39" s="812"/>
      <c r="H39" s="812"/>
      <c r="I39" s="812"/>
      <c r="J39" s="812"/>
      <c r="K39" s="812"/>
      <c r="L39" s="812"/>
      <c r="M39" s="812"/>
      <c r="N39" s="812">
        <v>1</v>
      </c>
      <c r="O39" s="812">
        <v>99</v>
      </c>
      <c r="P39" s="800"/>
      <c r="Q39" s="813">
        <v>99</v>
      </c>
    </row>
    <row r="40" spans="1:17" ht="14.4" customHeight="1" x14ac:dyDescent="0.3">
      <c r="A40" s="794" t="s">
        <v>3514</v>
      </c>
      <c r="B40" s="795" t="s">
        <v>3364</v>
      </c>
      <c r="C40" s="795" t="s">
        <v>3374</v>
      </c>
      <c r="D40" s="795" t="s">
        <v>3397</v>
      </c>
      <c r="E40" s="795" t="s">
        <v>3398</v>
      </c>
      <c r="F40" s="812">
        <v>5</v>
      </c>
      <c r="G40" s="812">
        <v>590</v>
      </c>
      <c r="H40" s="812">
        <v>0.58531746031746035</v>
      </c>
      <c r="I40" s="812">
        <v>118</v>
      </c>
      <c r="J40" s="812">
        <v>8</v>
      </c>
      <c r="K40" s="812">
        <v>1008</v>
      </c>
      <c r="L40" s="812">
        <v>1</v>
      </c>
      <c r="M40" s="812">
        <v>126</v>
      </c>
      <c r="N40" s="812">
        <v>3</v>
      </c>
      <c r="O40" s="812">
        <v>378</v>
      </c>
      <c r="P40" s="800">
        <v>0.375</v>
      </c>
      <c r="Q40" s="813">
        <v>126</v>
      </c>
    </row>
    <row r="41" spans="1:17" ht="14.4" customHeight="1" x14ac:dyDescent="0.3">
      <c r="A41" s="794" t="s">
        <v>3514</v>
      </c>
      <c r="B41" s="795" t="s">
        <v>3364</v>
      </c>
      <c r="C41" s="795" t="s">
        <v>3374</v>
      </c>
      <c r="D41" s="795" t="s">
        <v>3435</v>
      </c>
      <c r="E41" s="795" t="s">
        <v>3436</v>
      </c>
      <c r="F41" s="812">
        <v>1</v>
      </c>
      <c r="G41" s="812">
        <v>235</v>
      </c>
      <c r="H41" s="812"/>
      <c r="I41" s="812">
        <v>235</v>
      </c>
      <c r="J41" s="812"/>
      <c r="K41" s="812"/>
      <c r="L41" s="812"/>
      <c r="M41" s="812"/>
      <c r="N41" s="812"/>
      <c r="O41" s="812"/>
      <c r="P41" s="800"/>
      <c r="Q41" s="813"/>
    </row>
    <row r="42" spans="1:17" ht="14.4" customHeight="1" x14ac:dyDescent="0.3">
      <c r="A42" s="794" t="s">
        <v>3514</v>
      </c>
      <c r="B42" s="795" t="s">
        <v>3364</v>
      </c>
      <c r="C42" s="795" t="s">
        <v>3374</v>
      </c>
      <c r="D42" s="795" t="s">
        <v>3451</v>
      </c>
      <c r="E42" s="795" t="s">
        <v>3452</v>
      </c>
      <c r="F42" s="812"/>
      <c r="G42" s="812"/>
      <c r="H42" s="812"/>
      <c r="I42" s="812"/>
      <c r="J42" s="812"/>
      <c r="K42" s="812"/>
      <c r="L42" s="812"/>
      <c r="M42" s="812"/>
      <c r="N42" s="812">
        <v>1</v>
      </c>
      <c r="O42" s="812">
        <v>132</v>
      </c>
      <c r="P42" s="800"/>
      <c r="Q42" s="813">
        <v>132</v>
      </c>
    </row>
    <row r="43" spans="1:17" ht="14.4" customHeight="1" x14ac:dyDescent="0.3">
      <c r="A43" s="794" t="s">
        <v>3515</v>
      </c>
      <c r="B43" s="795" t="s">
        <v>3364</v>
      </c>
      <c r="C43" s="795" t="s">
        <v>3374</v>
      </c>
      <c r="D43" s="795" t="s">
        <v>3435</v>
      </c>
      <c r="E43" s="795" t="s">
        <v>3436</v>
      </c>
      <c r="F43" s="812"/>
      <c r="G43" s="812"/>
      <c r="H43" s="812"/>
      <c r="I43" s="812"/>
      <c r="J43" s="812"/>
      <c r="K43" s="812"/>
      <c r="L43" s="812"/>
      <c r="M43" s="812"/>
      <c r="N43" s="812">
        <v>2</v>
      </c>
      <c r="O43" s="812">
        <v>502</v>
      </c>
      <c r="P43" s="800"/>
      <c r="Q43" s="813">
        <v>251</v>
      </c>
    </row>
    <row r="44" spans="1:17" ht="14.4" customHeight="1" x14ac:dyDescent="0.3">
      <c r="A44" s="794" t="s">
        <v>3516</v>
      </c>
      <c r="B44" s="795" t="s">
        <v>3364</v>
      </c>
      <c r="C44" s="795" t="s">
        <v>3374</v>
      </c>
      <c r="D44" s="795" t="s">
        <v>3397</v>
      </c>
      <c r="E44" s="795" t="s">
        <v>3398</v>
      </c>
      <c r="F44" s="812">
        <v>1</v>
      </c>
      <c r="G44" s="812">
        <v>118</v>
      </c>
      <c r="H44" s="812">
        <v>0.93650793650793651</v>
      </c>
      <c r="I44" s="812">
        <v>118</v>
      </c>
      <c r="J44" s="812">
        <v>1</v>
      </c>
      <c r="K44" s="812">
        <v>126</v>
      </c>
      <c r="L44" s="812">
        <v>1</v>
      </c>
      <c r="M44" s="812">
        <v>126</v>
      </c>
      <c r="N44" s="812">
        <v>1</v>
      </c>
      <c r="O44" s="812">
        <v>126</v>
      </c>
      <c r="P44" s="800">
        <v>1</v>
      </c>
      <c r="Q44" s="813">
        <v>126</v>
      </c>
    </row>
    <row r="45" spans="1:17" ht="14.4" customHeight="1" x14ac:dyDescent="0.3">
      <c r="A45" s="794" t="s">
        <v>3516</v>
      </c>
      <c r="B45" s="795" t="s">
        <v>3364</v>
      </c>
      <c r="C45" s="795" t="s">
        <v>3374</v>
      </c>
      <c r="D45" s="795" t="s">
        <v>3435</v>
      </c>
      <c r="E45" s="795" t="s">
        <v>3436</v>
      </c>
      <c r="F45" s="812"/>
      <c r="G45" s="812"/>
      <c r="H45" s="812"/>
      <c r="I45" s="812"/>
      <c r="J45" s="812">
        <v>1</v>
      </c>
      <c r="K45" s="812">
        <v>251</v>
      </c>
      <c r="L45" s="812">
        <v>1</v>
      </c>
      <c r="M45" s="812">
        <v>251</v>
      </c>
      <c r="N45" s="812"/>
      <c r="O45" s="812"/>
      <c r="P45" s="800"/>
      <c r="Q45" s="813"/>
    </row>
    <row r="46" spans="1:17" ht="14.4" customHeight="1" x14ac:dyDescent="0.3">
      <c r="A46" s="794" t="s">
        <v>3517</v>
      </c>
      <c r="B46" s="795" t="s">
        <v>3364</v>
      </c>
      <c r="C46" s="795" t="s">
        <v>3374</v>
      </c>
      <c r="D46" s="795" t="s">
        <v>3393</v>
      </c>
      <c r="E46" s="795" t="s">
        <v>3394</v>
      </c>
      <c r="F46" s="812">
        <v>2</v>
      </c>
      <c r="G46" s="812">
        <v>190</v>
      </c>
      <c r="H46" s="812"/>
      <c r="I46" s="812">
        <v>95</v>
      </c>
      <c r="J46" s="812"/>
      <c r="K46" s="812"/>
      <c r="L46" s="812"/>
      <c r="M46" s="812"/>
      <c r="N46" s="812"/>
      <c r="O46" s="812"/>
      <c r="P46" s="800"/>
      <c r="Q46" s="813"/>
    </row>
    <row r="47" spans="1:17" ht="14.4" customHeight="1" x14ac:dyDescent="0.3">
      <c r="A47" s="794" t="s">
        <v>3517</v>
      </c>
      <c r="B47" s="795" t="s">
        <v>3364</v>
      </c>
      <c r="C47" s="795" t="s">
        <v>3374</v>
      </c>
      <c r="D47" s="795" t="s">
        <v>3395</v>
      </c>
      <c r="E47" s="795" t="s">
        <v>3396</v>
      </c>
      <c r="F47" s="812">
        <v>1</v>
      </c>
      <c r="G47" s="812">
        <v>93</v>
      </c>
      <c r="H47" s="812">
        <v>0.95876288659793818</v>
      </c>
      <c r="I47" s="812">
        <v>93</v>
      </c>
      <c r="J47" s="812">
        <v>1</v>
      </c>
      <c r="K47" s="812">
        <v>97</v>
      </c>
      <c r="L47" s="812">
        <v>1</v>
      </c>
      <c r="M47" s="812">
        <v>97</v>
      </c>
      <c r="N47" s="812"/>
      <c r="O47" s="812"/>
      <c r="P47" s="800"/>
      <c r="Q47" s="813"/>
    </row>
    <row r="48" spans="1:17" ht="14.4" customHeight="1" x14ac:dyDescent="0.3">
      <c r="A48" s="794" t="s">
        <v>3517</v>
      </c>
      <c r="B48" s="795" t="s">
        <v>3364</v>
      </c>
      <c r="C48" s="795" t="s">
        <v>3374</v>
      </c>
      <c r="D48" s="795" t="s">
        <v>3397</v>
      </c>
      <c r="E48" s="795" t="s">
        <v>3398</v>
      </c>
      <c r="F48" s="812">
        <v>8</v>
      </c>
      <c r="G48" s="812">
        <v>944</v>
      </c>
      <c r="H48" s="812">
        <v>0.57631257631257626</v>
      </c>
      <c r="I48" s="812">
        <v>118</v>
      </c>
      <c r="J48" s="812">
        <v>13</v>
      </c>
      <c r="K48" s="812">
        <v>1638</v>
      </c>
      <c r="L48" s="812">
        <v>1</v>
      </c>
      <c r="M48" s="812">
        <v>126</v>
      </c>
      <c r="N48" s="812">
        <v>18</v>
      </c>
      <c r="O48" s="812">
        <v>2268</v>
      </c>
      <c r="P48" s="800">
        <v>1.3846153846153846</v>
      </c>
      <c r="Q48" s="813">
        <v>126</v>
      </c>
    </row>
    <row r="49" spans="1:17" ht="14.4" customHeight="1" x14ac:dyDescent="0.3">
      <c r="A49" s="794" t="s">
        <v>3517</v>
      </c>
      <c r="B49" s="795" t="s">
        <v>3364</v>
      </c>
      <c r="C49" s="795" t="s">
        <v>3374</v>
      </c>
      <c r="D49" s="795" t="s">
        <v>3407</v>
      </c>
      <c r="E49" s="795" t="s">
        <v>3408</v>
      </c>
      <c r="F49" s="812"/>
      <c r="G49" s="812"/>
      <c r="H49" s="812"/>
      <c r="I49" s="812"/>
      <c r="J49" s="812">
        <v>1</v>
      </c>
      <c r="K49" s="812">
        <v>1309</v>
      </c>
      <c r="L49" s="812">
        <v>1</v>
      </c>
      <c r="M49" s="812">
        <v>1309</v>
      </c>
      <c r="N49" s="812"/>
      <c r="O49" s="812"/>
      <c r="P49" s="800"/>
      <c r="Q49" s="813"/>
    </row>
    <row r="50" spans="1:17" ht="14.4" customHeight="1" x14ac:dyDescent="0.3">
      <c r="A50" s="794" t="s">
        <v>3517</v>
      </c>
      <c r="B50" s="795" t="s">
        <v>3364</v>
      </c>
      <c r="C50" s="795" t="s">
        <v>3374</v>
      </c>
      <c r="D50" s="795" t="s">
        <v>3409</v>
      </c>
      <c r="E50" s="795" t="s">
        <v>3410</v>
      </c>
      <c r="F50" s="812"/>
      <c r="G50" s="812"/>
      <c r="H50" s="812"/>
      <c r="I50" s="812"/>
      <c r="J50" s="812">
        <v>1</v>
      </c>
      <c r="K50" s="812">
        <v>971</v>
      </c>
      <c r="L50" s="812">
        <v>1</v>
      </c>
      <c r="M50" s="812">
        <v>971</v>
      </c>
      <c r="N50" s="812">
        <v>1</v>
      </c>
      <c r="O50" s="812">
        <v>972</v>
      </c>
      <c r="P50" s="800">
        <v>1.0010298661174046</v>
      </c>
      <c r="Q50" s="813">
        <v>972</v>
      </c>
    </row>
    <row r="51" spans="1:17" ht="14.4" customHeight="1" x14ac:dyDescent="0.3">
      <c r="A51" s="794" t="s">
        <v>3517</v>
      </c>
      <c r="B51" s="795" t="s">
        <v>3364</v>
      </c>
      <c r="C51" s="795" t="s">
        <v>3374</v>
      </c>
      <c r="D51" s="795" t="s">
        <v>3423</v>
      </c>
      <c r="E51" s="795" t="s">
        <v>3424</v>
      </c>
      <c r="F51" s="812"/>
      <c r="G51" s="812"/>
      <c r="H51" s="812"/>
      <c r="I51" s="812"/>
      <c r="J51" s="812">
        <v>1</v>
      </c>
      <c r="K51" s="812">
        <v>86</v>
      </c>
      <c r="L51" s="812">
        <v>1</v>
      </c>
      <c r="M51" s="812">
        <v>86</v>
      </c>
      <c r="N51" s="812"/>
      <c r="O51" s="812"/>
      <c r="P51" s="800"/>
      <c r="Q51" s="813"/>
    </row>
    <row r="52" spans="1:17" ht="14.4" customHeight="1" x14ac:dyDescent="0.3">
      <c r="A52" s="794" t="s">
        <v>3517</v>
      </c>
      <c r="B52" s="795" t="s">
        <v>3364</v>
      </c>
      <c r="C52" s="795" t="s">
        <v>3374</v>
      </c>
      <c r="D52" s="795" t="s">
        <v>3435</v>
      </c>
      <c r="E52" s="795" t="s">
        <v>3436</v>
      </c>
      <c r="F52" s="812"/>
      <c r="G52" s="812"/>
      <c r="H52" s="812"/>
      <c r="I52" s="812"/>
      <c r="J52" s="812">
        <v>3</v>
      </c>
      <c r="K52" s="812">
        <v>753</v>
      </c>
      <c r="L52" s="812">
        <v>1</v>
      </c>
      <c r="M52" s="812">
        <v>251</v>
      </c>
      <c r="N52" s="812">
        <v>2</v>
      </c>
      <c r="O52" s="812">
        <v>502</v>
      </c>
      <c r="P52" s="800">
        <v>0.66666666666666663</v>
      </c>
      <c r="Q52" s="813">
        <v>251</v>
      </c>
    </row>
    <row r="53" spans="1:17" ht="14.4" customHeight="1" x14ac:dyDescent="0.3">
      <c r="A53" s="794" t="s">
        <v>3517</v>
      </c>
      <c r="B53" s="795" t="s">
        <v>3364</v>
      </c>
      <c r="C53" s="795" t="s">
        <v>3374</v>
      </c>
      <c r="D53" s="795" t="s">
        <v>3453</v>
      </c>
      <c r="E53" s="795" t="s">
        <v>3454</v>
      </c>
      <c r="F53" s="812"/>
      <c r="G53" s="812"/>
      <c r="H53" s="812"/>
      <c r="I53" s="812"/>
      <c r="J53" s="812"/>
      <c r="K53" s="812"/>
      <c r="L53" s="812"/>
      <c r="M53" s="812"/>
      <c r="N53" s="812">
        <v>1</v>
      </c>
      <c r="O53" s="812">
        <v>115</v>
      </c>
      <c r="P53" s="800"/>
      <c r="Q53" s="813">
        <v>115</v>
      </c>
    </row>
    <row r="54" spans="1:17" ht="14.4" customHeight="1" x14ac:dyDescent="0.3">
      <c r="A54" s="794" t="s">
        <v>3517</v>
      </c>
      <c r="B54" s="795" t="s">
        <v>3364</v>
      </c>
      <c r="C54" s="795" t="s">
        <v>3374</v>
      </c>
      <c r="D54" s="795" t="s">
        <v>3467</v>
      </c>
      <c r="E54" s="795" t="s">
        <v>3468</v>
      </c>
      <c r="F54" s="812">
        <v>1</v>
      </c>
      <c r="G54" s="812">
        <v>389</v>
      </c>
      <c r="H54" s="812"/>
      <c r="I54" s="812">
        <v>389</v>
      </c>
      <c r="J54" s="812"/>
      <c r="K54" s="812"/>
      <c r="L54" s="812"/>
      <c r="M54" s="812"/>
      <c r="N54" s="812"/>
      <c r="O54" s="812"/>
      <c r="P54" s="800"/>
      <c r="Q54" s="813"/>
    </row>
    <row r="55" spans="1:17" ht="14.4" customHeight="1" x14ac:dyDescent="0.3">
      <c r="A55" s="794" t="s">
        <v>3518</v>
      </c>
      <c r="B55" s="795" t="s">
        <v>3364</v>
      </c>
      <c r="C55" s="795" t="s">
        <v>3374</v>
      </c>
      <c r="D55" s="795" t="s">
        <v>3393</v>
      </c>
      <c r="E55" s="795" t="s">
        <v>3394</v>
      </c>
      <c r="F55" s="812">
        <v>1</v>
      </c>
      <c r="G55" s="812">
        <v>95</v>
      </c>
      <c r="H55" s="812"/>
      <c r="I55" s="812">
        <v>95</v>
      </c>
      <c r="J55" s="812"/>
      <c r="K55" s="812"/>
      <c r="L55" s="812"/>
      <c r="M55" s="812"/>
      <c r="N55" s="812">
        <v>1</v>
      </c>
      <c r="O55" s="812">
        <v>99</v>
      </c>
      <c r="P55" s="800"/>
      <c r="Q55" s="813">
        <v>99</v>
      </c>
    </row>
    <row r="56" spans="1:17" ht="14.4" customHeight="1" x14ac:dyDescent="0.3">
      <c r="A56" s="794" t="s">
        <v>3518</v>
      </c>
      <c r="B56" s="795" t="s">
        <v>3364</v>
      </c>
      <c r="C56" s="795" t="s">
        <v>3374</v>
      </c>
      <c r="D56" s="795" t="s">
        <v>3395</v>
      </c>
      <c r="E56" s="795" t="s">
        <v>3396</v>
      </c>
      <c r="F56" s="812"/>
      <c r="G56" s="812"/>
      <c r="H56" s="812"/>
      <c r="I56" s="812"/>
      <c r="J56" s="812"/>
      <c r="K56" s="812"/>
      <c r="L56" s="812"/>
      <c r="M56" s="812"/>
      <c r="N56" s="812">
        <v>1</v>
      </c>
      <c r="O56" s="812">
        <v>97</v>
      </c>
      <c r="P56" s="800"/>
      <c r="Q56" s="813">
        <v>97</v>
      </c>
    </row>
    <row r="57" spans="1:17" ht="14.4" customHeight="1" x14ac:dyDescent="0.3">
      <c r="A57" s="794" t="s">
        <v>3518</v>
      </c>
      <c r="B57" s="795" t="s">
        <v>3364</v>
      </c>
      <c r="C57" s="795" t="s">
        <v>3374</v>
      </c>
      <c r="D57" s="795" t="s">
        <v>3397</v>
      </c>
      <c r="E57" s="795" t="s">
        <v>3398</v>
      </c>
      <c r="F57" s="812">
        <v>17</v>
      </c>
      <c r="G57" s="812">
        <v>2006</v>
      </c>
      <c r="H57" s="812">
        <v>0.75812547241118666</v>
      </c>
      <c r="I57" s="812">
        <v>118</v>
      </c>
      <c r="J57" s="812">
        <v>21</v>
      </c>
      <c r="K57" s="812">
        <v>2646</v>
      </c>
      <c r="L57" s="812">
        <v>1</v>
      </c>
      <c r="M57" s="812">
        <v>126</v>
      </c>
      <c r="N57" s="812">
        <v>21</v>
      </c>
      <c r="O57" s="812">
        <v>2646</v>
      </c>
      <c r="P57" s="800">
        <v>1</v>
      </c>
      <c r="Q57" s="813">
        <v>126</v>
      </c>
    </row>
    <row r="58" spans="1:17" ht="14.4" customHeight="1" x14ac:dyDescent="0.3">
      <c r="A58" s="794" t="s">
        <v>3518</v>
      </c>
      <c r="B58" s="795" t="s">
        <v>3364</v>
      </c>
      <c r="C58" s="795" t="s">
        <v>3374</v>
      </c>
      <c r="D58" s="795" t="s">
        <v>3405</v>
      </c>
      <c r="E58" s="795" t="s">
        <v>3406</v>
      </c>
      <c r="F58" s="812"/>
      <c r="G58" s="812"/>
      <c r="H58" s="812"/>
      <c r="I58" s="812"/>
      <c r="J58" s="812"/>
      <c r="K58" s="812"/>
      <c r="L58" s="812"/>
      <c r="M58" s="812"/>
      <c r="N58" s="812">
        <v>1</v>
      </c>
      <c r="O58" s="812">
        <v>1678</v>
      </c>
      <c r="P58" s="800"/>
      <c r="Q58" s="813">
        <v>1678</v>
      </c>
    </row>
    <row r="59" spans="1:17" ht="14.4" customHeight="1" x14ac:dyDescent="0.3">
      <c r="A59" s="794" t="s">
        <v>3518</v>
      </c>
      <c r="B59" s="795" t="s">
        <v>3364</v>
      </c>
      <c r="C59" s="795" t="s">
        <v>3374</v>
      </c>
      <c r="D59" s="795" t="s">
        <v>3413</v>
      </c>
      <c r="E59" s="795" t="s">
        <v>3414</v>
      </c>
      <c r="F59" s="812"/>
      <c r="G59" s="812"/>
      <c r="H59" s="812"/>
      <c r="I59" s="812"/>
      <c r="J59" s="812">
        <v>1</v>
      </c>
      <c r="K59" s="812">
        <v>163</v>
      </c>
      <c r="L59" s="812">
        <v>1</v>
      </c>
      <c r="M59" s="812">
        <v>163</v>
      </c>
      <c r="N59" s="812"/>
      <c r="O59" s="812"/>
      <c r="P59" s="800"/>
      <c r="Q59" s="813"/>
    </row>
    <row r="60" spans="1:17" ht="14.4" customHeight="1" x14ac:dyDescent="0.3">
      <c r="A60" s="794" t="s">
        <v>3518</v>
      </c>
      <c r="B60" s="795" t="s">
        <v>3364</v>
      </c>
      <c r="C60" s="795" t="s">
        <v>3374</v>
      </c>
      <c r="D60" s="795" t="s">
        <v>3423</v>
      </c>
      <c r="E60" s="795" t="s">
        <v>3424</v>
      </c>
      <c r="F60" s="812"/>
      <c r="G60" s="812"/>
      <c r="H60" s="812"/>
      <c r="I60" s="812"/>
      <c r="J60" s="812"/>
      <c r="K60" s="812"/>
      <c r="L60" s="812"/>
      <c r="M60" s="812"/>
      <c r="N60" s="812">
        <v>1</v>
      </c>
      <c r="O60" s="812">
        <v>86</v>
      </c>
      <c r="P60" s="800"/>
      <c r="Q60" s="813">
        <v>86</v>
      </c>
    </row>
    <row r="61" spans="1:17" ht="14.4" customHeight="1" x14ac:dyDescent="0.3">
      <c r="A61" s="794" t="s">
        <v>3518</v>
      </c>
      <c r="B61" s="795" t="s">
        <v>3364</v>
      </c>
      <c r="C61" s="795" t="s">
        <v>3374</v>
      </c>
      <c r="D61" s="795" t="s">
        <v>3435</v>
      </c>
      <c r="E61" s="795" t="s">
        <v>3436</v>
      </c>
      <c r="F61" s="812"/>
      <c r="G61" s="812"/>
      <c r="H61" s="812"/>
      <c r="I61" s="812"/>
      <c r="J61" s="812">
        <v>5</v>
      </c>
      <c r="K61" s="812">
        <v>1255</v>
      </c>
      <c r="L61" s="812">
        <v>1</v>
      </c>
      <c r="M61" s="812">
        <v>251</v>
      </c>
      <c r="N61" s="812">
        <v>4</v>
      </c>
      <c r="O61" s="812">
        <v>1004</v>
      </c>
      <c r="P61" s="800">
        <v>0.8</v>
      </c>
      <c r="Q61" s="813">
        <v>251</v>
      </c>
    </row>
    <row r="62" spans="1:17" ht="14.4" customHeight="1" x14ac:dyDescent="0.3">
      <c r="A62" s="794" t="s">
        <v>591</v>
      </c>
      <c r="B62" s="795" t="s">
        <v>3519</v>
      </c>
      <c r="C62" s="795" t="s">
        <v>3374</v>
      </c>
      <c r="D62" s="795" t="s">
        <v>3520</v>
      </c>
      <c r="E62" s="795" t="s">
        <v>3521</v>
      </c>
      <c r="F62" s="812">
        <v>1</v>
      </c>
      <c r="G62" s="812">
        <v>92</v>
      </c>
      <c r="H62" s="812"/>
      <c r="I62" s="812">
        <v>92</v>
      </c>
      <c r="J62" s="812"/>
      <c r="K62" s="812"/>
      <c r="L62" s="812"/>
      <c r="M62" s="812"/>
      <c r="N62" s="812"/>
      <c r="O62" s="812"/>
      <c r="P62" s="800"/>
      <c r="Q62" s="813"/>
    </row>
    <row r="63" spans="1:17" ht="14.4" customHeight="1" x14ac:dyDescent="0.3">
      <c r="A63" s="794" t="s">
        <v>591</v>
      </c>
      <c r="B63" s="795" t="s">
        <v>3364</v>
      </c>
      <c r="C63" s="795" t="s">
        <v>3374</v>
      </c>
      <c r="D63" s="795" t="s">
        <v>3379</v>
      </c>
      <c r="E63" s="795" t="s">
        <v>3380</v>
      </c>
      <c r="F63" s="812">
        <v>1</v>
      </c>
      <c r="G63" s="812">
        <v>35</v>
      </c>
      <c r="H63" s="812">
        <v>0.94594594594594594</v>
      </c>
      <c r="I63" s="812">
        <v>35</v>
      </c>
      <c r="J63" s="812">
        <v>1</v>
      </c>
      <c r="K63" s="812">
        <v>37</v>
      </c>
      <c r="L63" s="812">
        <v>1</v>
      </c>
      <c r="M63" s="812">
        <v>37</v>
      </c>
      <c r="N63" s="812">
        <v>2</v>
      </c>
      <c r="O63" s="812">
        <v>74</v>
      </c>
      <c r="P63" s="800">
        <v>2</v>
      </c>
      <c r="Q63" s="813">
        <v>37</v>
      </c>
    </row>
    <row r="64" spans="1:17" ht="14.4" customHeight="1" x14ac:dyDescent="0.3">
      <c r="A64" s="794" t="s">
        <v>591</v>
      </c>
      <c r="B64" s="795" t="s">
        <v>3364</v>
      </c>
      <c r="C64" s="795" t="s">
        <v>3374</v>
      </c>
      <c r="D64" s="795" t="s">
        <v>3389</v>
      </c>
      <c r="E64" s="795" t="s">
        <v>3390</v>
      </c>
      <c r="F64" s="812"/>
      <c r="G64" s="812"/>
      <c r="H64" s="812"/>
      <c r="I64" s="812"/>
      <c r="J64" s="812"/>
      <c r="K64" s="812"/>
      <c r="L64" s="812"/>
      <c r="M64" s="812"/>
      <c r="N64" s="812">
        <v>1</v>
      </c>
      <c r="O64" s="812">
        <v>309</v>
      </c>
      <c r="P64" s="800"/>
      <c r="Q64" s="813">
        <v>309</v>
      </c>
    </row>
    <row r="65" spans="1:17" ht="14.4" customHeight="1" x14ac:dyDescent="0.3">
      <c r="A65" s="794" t="s">
        <v>591</v>
      </c>
      <c r="B65" s="795" t="s">
        <v>3364</v>
      </c>
      <c r="C65" s="795" t="s">
        <v>3374</v>
      </c>
      <c r="D65" s="795" t="s">
        <v>3393</v>
      </c>
      <c r="E65" s="795" t="s">
        <v>3394</v>
      </c>
      <c r="F65" s="812"/>
      <c r="G65" s="812"/>
      <c r="H65" s="812"/>
      <c r="I65" s="812"/>
      <c r="J65" s="812"/>
      <c r="K65" s="812"/>
      <c r="L65" s="812"/>
      <c r="M65" s="812"/>
      <c r="N65" s="812">
        <v>2</v>
      </c>
      <c r="O65" s="812">
        <v>198</v>
      </c>
      <c r="P65" s="800"/>
      <c r="Q65" s="813">
        <v>99</v>
      </c>
    </row>
    <row r="66" spans="1:17" ht="14.4" customHeight="1" x14ac:dyDescent="0.3">
      <c r="A66" s="794" t="s">
        <v>591</v>
      </c>
      <c r="B66" s="795" t="s">
        <v>3364</v>
      </c>
      <c r="C66" s="795" t="s">
        <v>3374</v>
      </c>
      <c r="D66" s="795" t="s">
        <v>3397</v>
      </c>
      <c r="E66" s="795" t="s">
        <v>3398</v>
      </c>
      <c r="F66" s="812">
        <v>20</v>
      </c>
      <c r="G66" s="812">
        <v>2360</v>
      </c>
      <c r="H66" s="812">
        <v>0.60419866871479777</v>
      </c>
      <c r="I66" s="812">
        <v>118</v>
      </c>
      <c r="J66" s="812">
        <v>31</v>
      </c>
      <c r="K66" s="812">
        <v>3906</v>
      </c>
      <c r="L66" s="812">
        <v>1</v>
      </c>
      <c r="M66" s="812">
        <v>126</v>
      </c>
      <c r="N66" s="812">
        <v>38</v>
      </c>
      <c r="O66" s="812">
        <v>4788</v>
      </c>
      <c r="P66" s="800">
        <v>1.2258064516129032</v>
      </c>
      <c r="Q66" s="813">
        <v>126</v>
      </c>
    </row>
    <row r="67" spans="1:17" ht="14.4" customHeight="1" x14ac:dyDescent="0.3">
      <c r="A67" s="794" t="s">
        <v>591</v>
      </c>
      <c r="B67" s="795" t="s">
        <v>3364</v>
      </c>
      <c r="C67" s="795" t="s">
        <v>3374</v>
      </c>
      <c r="D67" s="795" t="s">
        <v>3427</v>
      </c>
      <c r="E67" s="795" t="s">
        <v>3428</v>
      </c>
      <c r="F67" s="812"/>
      <c r="G67" s="812"/>
      <c r="H67" s="812"/>
      <c r="I67" s="812"/>
      <c r="J67" s="812"/>
      <c r="K67" s="812"/>
      <c r="L67" s="812"/>
      <c r="M67" s="812"/>
      <c r="N67" s="812">
        <v>2</v>
      </c>
      <c r="O67" s="812">
        <v>790</v>
      </c>
      <c r="P67" s="800"/>
      <c r="Q67" s="813">
        <v>395</v>
      </c>
    </row>
    <row r="68" spans="1:17" ht="14.4" customHeight="1" x14ac:dyDescent="0.3">
      <c r="A68" s="794" t="s">
        <v>591</v>
      </c>
      <c r="B68" s="795" t="s">
        <v>3364</v>
      </c>
      <c r="C68" s="795" t="s">
        <v>3374</v>
      </c>
      <c r="D68" s="795" t="s">
        <v>3435</v>
      </c>
      <c r="E68" s="795" t="s">
        <v>3436</v>
      </c>
      <c r="F68" s="812">
        <v>2</v>
      </c>
      <c r="G68" s="812">
        <v>470</v>
      </c>
      <c r="H68" s="812"/>
      <c r="I68" s="812">
        <v>235</v>
      </c>
      <c r="J68" s="812"/>
      <c r="K68" s="812"/>
      <c r="L68" s="812"/>
      <c r="M68" s="812"/>
      <c r="N68" s="812">
        <v>6</v>
      </c>
      <c r="O68" s="812">
        <v>1506</v>
      </c>
      <c r="P68" s="800"/>
      <c r="Q68" s="813">
        <v>251</v>
      </c>
    </row>
    <row r="69" spans="1:17" ht="14.4" customHeight="1" x14ac:dyDescent="0.3">
      <c r="A69" s="794" t="s">
        <v>591</v>
      </c>
      <c r="B69" s="795" t="s">
        <v>3364</v>
      </c>
      <c r="C69" s="795" t="s">
        <v>3374</v>
      </c>
      <c r="D69" s="795" t="s">
        <v>3522</v>
      </c>
      <c r="E69" s="795" t="s">
        <v>3523</v>
      </c>
      <c r="F69" s="812">
        <v>1</v>
      </c>
      <c r="G69" s="812">
        <v>1050</v>
      </c>
      <c r="H69" s="812"/>
      <c r="I69" s="812">
        <v>1050</v>
      </c>
      <c r="J69" s="812"/>
      <c r="K69" s="812"/>
      <c r="L69" s="812"/>
      <c r="M69" s="812"/>
      <c r="N69" s="812"/>
      <c r="O69" s="812"/>
      <c r="P69" s="800"/>
      <c r="Q69" s="813"/>
    </row>
    <row r="70" spans="1:17" ht="14.4" customHeight="1" x14ac:dyDescent="0.3">
      <c r="A70" s="794" t="s">
        <v>591</v>
      </c>
      <c r="B70" s="795" t="s">
        <v>3364</v>
      </c>
      <c r="C70" s="795" t="s">
        <v>3374</v>
      </c>
      <c r="D70" s="795" t="s">
        <v>3524</v>
      </c>
      <c r="E70" s="795" t="s">
        <v>3525</v>
      </c>
      <c r="F70" s="812">
        <v>2</v>
      </c>
      <c r="G70" s="812">
        <v>711</v>
      </c>
      <c r="H70" s="812">
        <v>1.9532967032967032</v>
      </c>
      <c r="I70" s="812">
        <v>355.5</v>
      </c>
      <c r="J70" s="812">
        <v>1</v>
      </c>
      <c r="K70" s="812">
        <v>364</v>
      </c>
      <c r="L70" s="812">
        <v>1</v>
      </c>
      <c r="M70" s="812">
        <v>364</v>
      </c>
      <c r="N70" s="812"/>
      <c r="O70" s="812"/>
      <c r="P70" s="800"/>
      <c r="Q70" s="813"/>
    </row>
    <row r="71" spans="1:17" ht="14.4" customHeight="1" x14ac:dyDescent="0.3">
      <c r="A71" s="794" t="s">
        <v>591</v>
      </c>
      <c r="B71" s="795" t="s">
        <v>3364</v>
      </c>
      <c r="C71" s="795" t="s">
        <v>3374</v>
      </c>
      <c r="D71" s="795" t="s">
        <v>3526</v>
      </c>
      <c r="E71" s="795" t="s">
        <v>3527</v>
      </c>
      <c r="F71" s="812"/>
      <c r="G71" s="812"/>
      <c r="H71" s="812"/>
      <c r="I71" s="812"/>
      <c r="J71" s="812">
        <v>1</v>
      </c>
      <c r="K71" s="812">
        <v>1668</v>
      </c>
      <c r="L71" s="812">
        <v>1</v>
      </c>
      <c r="M71" s="812">
        <v>1668</v>
      </c>
      <c r="N71" s="812"/>
      <c r="O71" s="812"/>
      <c r="P71" s="800"/>
      <c r="Q71" s="813"/>
    </row>
    <row r="72" spans="1:17" ht="14.4" customHeight="1" x14ac:dyDescent="0.3">
      <c r="A72" s="794" t="s">
        <v>591</v>
      </c>
      <c r="B72" s="795" t="s">
        <v>3364</v>
      </c>
      <c r="C72" s="795" t="s">
        <v>3374</v>
      </c>
      <c r="D72" s="795" t="s">
        <v>3528</v>
      </c>
      <c r="E72" s="795" t="s">
        <v>3529</v>
      </c>
      <c r="F72" s="812">
        <v>1</v>
      </c>
      <c r="G72" s="812">
        <v>243</v>
      </c>
      <c r="H72" s="812"/>
      <c r="I72" s="812">
        <v>243</v>
      </c>
      <c r="J72" s="812"/>
      <c r="K72" s="812"/>
      <c r="L72" s="812"/>
      <c r="M72" s="812"/>
      <c r="N72" s="812"/>
      <c r="O72" s="812"/>
      <c r="P72" s="800"/>
      <c r="Q72" s="813"/>
    </row>
    <row r="73" spans="1:17" ht="14.4" customHeight="1" x14ac:dyDescent="0.3">
      <c r="A73" s="794" t="s">
        <v>591</v>
      </c>
      <c r="B73" s="795" t="s">
        <v>3364</v>
      </c>
      <c r="C73" s="795" t="s">
        <v>3374</v>
      </c>
      <c r="D73" s="795" t="s">
        <v>3463</v>
      </c>
      <c r="E73" s="795" t="s">
        <v>3464</v>
      </c>
      <c r="F73" s="812"/>
      <c r="G73" s="812"/>
      <c r="H73" s="812"/>
      <c r="I73" s="812"/>
      <c r="J73" s="812"/>
      <c r="K73" s="812"/>
      <c r="L73" s="812"/>
      <c r="M73" s="812"/>
      <c r="N73" s="812">
        <v>1</v>
      </c>
      <c r="O73" s="812">
        <v>227</v>
      </c>
      <c r="P73" s="800"/>
      <c r="Q73" s="813">
        <v>227</v>
      </c>
    </row>
    <row r="74" spans="1:17" ht="14.4" customHeight="1" x14ac:dyDescent="0.3">
      <c r="A74" s="794" t="s">
        <v>591</v>
      </c>
      <c r="B74" s="795" t="s">
        <v>3530</v>
      </c>
      <c r="C74" s="795" t="s">
        <v>3374</v>
      </c>
      <c r="D74" s="795" t="s">
        <v>3531</v>
      </c>
      <c r="E74" s="795" t="s">
        <v>3532</v>
      </c>
      <c r="F74" s="812">
        <v>1</v>
      </c>
      <c r="G74" s="812">
        <v>2450</v>
      </c>
      <c r="H74" s="812"/>
      <c r="I74" s="812">
        <v>2450</v>
      </c>
      <c r="J74" s="812"/>
      <c r="K74" s="812"/>
      <c r="L74" s="812"/>
      <c r="M74" s="812"/>
      <c r="N74" s="812"/>
      <c r="O74" s="812"/>
      <c r="P74" s="800"/>
      <c r="Q74" s="813"/>
    </row>
    <row r="75" spans="1:17" ht="14.4" customHeight="1" x14ac:dyDescent="0.3">
      <c r="A75" s="794" t="s">
        <v>591</v>
      </c>
      <c r="B75" s="795" t="s">
        <v>3530</v>
      </c>
      <c r="C75" s="795" t="s">
        <v>3374</v>
      </c>
      <c r="D75" s="795" t="s">
        <v>3533</v>
      </c>
      <c r="E75" s="795" t="s">
        <v>3534</v>
      </c>
      <c r="F75" s="812"/>
      <c r="G75" s="812"/>
      <c r="H75" s="812"/>
      <c r="I75" s="812"/>
      <c r="J75" s="812">
        <v>1</v>
      </c>
      <c r="K75" s="812">
        <v>2770</v>
      </c>
      <c r="L75" s="812">
        <v>1</v>
      </c>
      <c r="M75" s="812">
        <v>2770</v>
      </c>
      <c r="N75" s="812"/>
      <c r="O75" s="812"/>
      <c r="P75" s="800"/>
      <c r="Q75" s="813"/>
    </row>
    <row r="76" spans="1:17" ht="14.4" customHeight="1" x14ac:dyDescent="0.3">
      <c r="A76" s="794" t="s">
        <v>591</v>
      </c>
      <c r="B76" s="795" t="s">
        <v>3530</v>
      </c>
      <c r="C76" s="795" t="s">
        <v>3374</v>
      </c>
      <c r="D76" s="795" t="s">
        <v>3535</v>
      </c>
      <c r="E76" s="795" t="s">
        <v>3536</v>
      </c>
      <c r="F76" s="812"/>
      <c r="G76" s="812"/>
      <c r="H76" s="812"/>
      <c r="I76" s="812"/>
      <c r="J76" s="812">
        <v>1</v>
      </c>
      <c r="K76" s="812">
        <v>2314</v>
      </c>
      <c r="L76" s="812">
        <v>1</v>
      </c>
      <c r="M76" s="812">
        <v>2314</v>
      </c>
      <c r="N76" s="812"/>
      <c r="O76" s="812"/>
      <c r="P76" s="800"/>
      <c r="Q76" s="813"/>
    </row>
    <row r="77" spans="1:17" ht="14.4" customHeight="1" x14ac:dyDescent="0.3">
      <c r="A77" s="794" t="s">
        <v>591</v>
      </c>
      <c r="B77" s="795" t="s">
        <v>3530</v>
      </c>
      <c r="C77" s="795" t="s">
        <v>3374</v>
      </c>
      <c r="D77" s="795" t="s">
        <v>3537</v>
      </c>
      <c r="E77" s="795" t="s">
        <v>3538</v>
      </c>
      <c r="F77" s="812"/>
      <c r="G77" s="812"/>
      <c r="H77" s="812"/>
      <c r="I77" s="812"/>
      <c r="J77" s="812"/>
      <c r="K77" s="812"/>
      <c r="L77" s="812"/>
      <c r="M77" s="812"/>
      <c r="N77" s="812">
        <v>1</v>
      </c>
      <c r="O77" s="812">
        <v>532</v>
      </c>
      <c r="P77" s="800"/>
      <c r="Q77" s="813">
        <v>532</v>
      </c>
    </row>
    <row r="78" spans="1:17" ht="14.4" customHeight="1" x14ac:dyDescent="0.3">
      <c r="A78" s="794" t="s">
        <v>591</v>
      </c>
      <c r="B78" s="795" t="s">
        <v>3530</v>
      </c>
      <c r="C78" s="795" t="s">
        <v>3374</v>
      </c>
      <c r="D78" s="795" t="s">
        <v>3539</v>
      </c>
      <c r="E78" s="795" t="s">
        <v>3540</v>
      </c>
      <c r="F78" s="812"/>
      <c r="G78" s="812"/>
      <c r="H78" s="812"/>
      <c r="I78" s="812"/>
      <c r="J78" s="812"/>
      <c r="K78" s="812"/>
      <c r="L78" s="812"/>
      <c r="M78" s="812"/>
      <c r="N78" s="812">
        <v>1</v>
      </c>
      <c r="O78" s="812">
        <v>6288</v>
      </c>
      <c r="P78" s="800"/>
      <c r="Q78" s="813">
        <v>6288</v>
      </c>
    </row>
    <row r="79" spans="1:17" ht="14.4" customHeight="1" x14ac:dyDescent="0.3">
      <c r="A79" s="794" t="s">
        <v>591</v>
      </c>
      <c r="B79" s="795" t="s">
        <v>3530</v>
      </c>
      <c r="C79" s="795" t="s">
        <v>3374</v>
      </c>
      <c r="D79" s="795" t="s">
        <v>3541</v>
      </c>
      <c r="E79" s="795" t="s">
        <v>3542</v>
      </c>
      <c r="F79" s="812"/>
      <c r="G79" s="812"/>
      <c r="H79" s="812"/>
      <c r="I79" s="812"/>
      <c r="J79" s="812"/>
      <c r="K79" s="812"/>
      <c r="L79" s="812"/>
      <c r="M79" s="812"/>
      <c r="N79" s="812">
        <v>1</v>
      </c>
      <c r="O79" s="812">
        <v>9346</v>
      </c>
      <c r="P79" s="800"/>
      <c r="Q79" s="813">
        <v>9346</v>
      </c>
    </row>
    <row r="80" spans="1:17" ht="14.4" customHeight="1" x14ac:dyDescent="0.3">
      <c r="A80" s="794" t="s">
        <v>591</v>
      </c>
      <c r="B80" s="795" t="s">
        <v>3530</v>
      </c>
      <c r="C80" s="795" t="s">
        <v>3374</v>
      </c>
      <c r="D80" s="795" t="s">
        <v>3543</v>
      </c>
      <c r="E80" s="795" t="s">
        <v>3544</v>
      </c>
      <c r="F80" s="812"/>
      <c r="G80" s="812"/>
      <c r="H80" s="812"/>
      <c r="I80" s="812"/>
      <c r="J80" s="812">
        <v>1</v>
      </c>
      <c r="K80" s="812">
        <v>3612</v>
      </c>
      <c r="L80" s="812">
        <v>1</v>
      </c>
      <c r="M80" s="812">
        <v>3612</v>
      </c>
      <c r="N80" s="812"/>
      <c r="O80" s="812"/>
      <c r="P80" s="800"/>
      <c r="Q80" s="813"/>
    </row>
    <row r="81" spans="1:17" ht="14.4" customHeight="1" x14ac:dyDescent="0.3">
      <c r="A81" s="794" t="s">
        <v>591</v>
      </c>
      <c r="B81" s="795" t="s">
        <v>3530</v>
      </c>
      <c r="C81" s="795" t="s">
        <v>3374</v>
      </c>
      <c r="D81" s="795" t="s">
        <v>636</v>
      </c>
      <c r="E81" s="795" t="s">
        <v>3545</v>
      </c>
      <c r="F81" s="812">
        <v>1</v>
      </c>
      <c r="G81" s="812">
        <v>1912</v>
      </c>
      <c r="H81" s="812"/>
      <c r="I81" s="812">
        <v>1912</v>
      </c>
      <c r="J81" s="812"/>
      <c r="K81" s="812"/>
      <c r="L81" s="812"/>
      <c r="M81" s="812"/>
      <c r="N81" s="812"/>
      <c r="O81" s="812"/>
      <c r="P81" s="800"/>
      <c r="Q81" s="813"/>
    </row>
    <row r="82" spans="1:17" ht="14.4" customHeight="1" x14ac:dyDescent="0.3">
      <c r="A82" s="794" t="s">
        <v>591</v>
      </c>
      <c r="B82" s="795" t="s">
        <v>3530</v>
      </c>
      <c r="C82" s="795" t="s">
        <v>3374</v>
      </c>
      <c r="D82" s="795" t="s">
        <v>3546</v>
      </c>
      <c r="E82" s="795" t="s">
        <v>3547</v>
      </c>
      <c r="F82" s="812">
        <v>1</v>
      </c>
      <c r="G82" s="812">
        <v>8684</v>
      </c>
      <c r="H82" s="812"/>
      <c r="I82" s="812">
        <v>8684</v>
      </c>
      <c r="J82" s="812"/>
      <c r="K82" s="812"/>
      <c r="L82" s="812"/>
      <c r="M82" s="812"/>
      <c r="N82" s="812"/>
      <c r="O82" s="812"/>
      <c r="P82" s="800"/>
      <c r="Q82" s="813"/>
    </row>
    <row r="83" spans="1:17" ht="14.4" customHeight="1" x14ac:dyDescent="0.3">
      <c r="A83" s="794" t="s">
        <v>591</v>
      </c>
      <c r="B83" s="795" t="s">
        <v>3530</v>
      </c>
      <c r="C83" s="795" t="s">
        <v>3374</v>
      </c>
      <c r="D83" s="795" t="s">
        <v>3548</v>
      </c>
      <c r="E83" s="795" t="s">
        <v>3549</v>
      </c>
      <c r="F83" s="812"/>
      <c r="G83" s="812"/>
      <c r="H83" s="812"/>
      <c r="I83" s="812"/>
      <c r="J83" s="812"/>
      <c r="K83" s="812"/>
      <c r="L83" s="812"/>
      <c r="M83" s="812"/>
      <c r="N83" s="812">
        <v>1</v>
      </c>
      <c r="O83" s="812">
        <v>4667</v>
      </c>
      <c r="P83" s="800"/>
      <c r="Q83" s="813">
        <v>4667</v>
      </c>
    </row>
    <row r="84" spans="1:17" ht="14.4" customHeight="1" x14ac:dyDescent="0.3">
      <c r="A84" s="794" t="s">
        <v>591</v>
      </c>
      <c r="B84" s="795" t="s">
        <v>3530</v>
      </c>
      <c r="C84" s="795" t="s">
        <v>3374</v>
      </c>
      <c r="D84" s="795" t="s">
        <v>3550</v>
      </c>
      <c r="E84" s="795" t="s">
        <v>3551</v>
      </c>
      <c r="F84" s="812"/>
      <c r="G84" s="812"/>
      <c r="H84" s="812"/>
      <c r="I84" s="812"/>
      <c r="J84" s="812"/>
      <c r="K84" s="812"/>
      <c r="L84" s="812"/>
      <c r="M84" s="812"/>
      <c r="N84" s="812">
        <v>1</v>
      </c>
      <c r="O84" s="812">
        <v>6206</v>
      </c>
      <c r="P84" s="800"/>
      <c r="Q84" s="813">
        <v>6206</v>
      </c>
    </row>
    <row r="85" spans="1:17" ht="14.4" customHeight="1" x14ac:dyDescent="0.3">
      <c r="A85" s="794" t="s">
        <v>591</v>
      </c>
      <c r="B85" s="795" t="s">
        <v>3530</v>
      </c>
      <c r="C85" s="795" t="s">
        <v>3374</v>
      </c>
      <c r="D85" s="795" t="s">
        <v>3552</v>
      </c>
      <c r="E85" s="795" t="s">
        <v>3553</v>
      </c>
      <c r="F85" s="812"/>
      <c r="G85" s="812"/>
      <c r="H85" s="812"/>
      <c r="I85" s="812"/>
      <c r="J85" s="812"/>
      <c r="K85" s="812"/>
      <c r="L85" s="812"/>
      <c r="M85" s="812"/>
      <c r="N85" s="812">
        <v>1</v>
      </c>
      <c r="O85" s="812">
        <v>8593</v>
      </c>
      <c r="P85" s="800"/>
      <c r="Q85" s="813">
        <v>8593</v>
      </c>
    </row>
    <row r="86" spans="1:17" ht="14.4" customHeight="1" x14ac:dyDescent="0.3">
      <c r="A86" s="794" t="s">
        <v>591</v>
      </c>
      <c r="B86" s="795" t="s">
        <v>3509</v>
      </c>
      <c r="C86" s="795" t="s">
        <v>3365</v>
      </c>
      <c r="D86" s="795" t="s">
        <v>3554</v>
      </c>
      <c r="E86" s="795" t="s">
        <v>3555</v>
      </c>
      <c r="F86" s="812"/>
      <c r="G86" s="812"/>
      <c r="H86" s="812"/>
      <c r="I86" s="812"/>
      <c r="J86" s="812">
        <v>1</v>
      </c>
      <c r="K86" s="812">
        <v>49.93</v>
      </c>
      <c r="L86" s="812">
        <v>1</v>
      </c>
      <c r="M86" s="812">
        <v>49.93</v>
      </c>
      <c r="N86" s="812">
        <v>6</v>
      </c>
      <c r="O86" s="812">
        <v>299.58</v>
      </c>
      <c r="P86" s="800">
        <v>6</v>
      </c>
      <c r="Q86" s="813">
        <v>49.93</v>
      </c>
    </row>
    <row r="87" spans="1:17" ht="14.4" customHeight="1" x14ac:dyDescent="0.3">
      <c r="A87" s="794" t="s">
        <v>591</v>
      </c>
      <c r="B87" s="795" t="s">
        <v>3509</v>
      </c>
      <c r="C87" s="795" t="s">
        <v>3365</v>
      </c>
      <c r="D87" s="795" t="s">
        <v>3556</v>
      </c>
      <c r="E87" s="795" t="s">
        <v>1563</v>
      </c>
      <c r="F87" s="812">
        <v>149</v>
      </c>
      <c r="G87" s="812">
        <v>16811.669999999998</v>
      </c>
      <c r="H87" s="812">
        <v>2.0702497352412381</v>
      </c>
      <c r="I87" s="812">
        <v>112.82999999999998</v>
      </c>
      <c r="J87" s="812">
        <v>95</v>
      </c>
      <c r="K87" s="812">
        <v>8120.5999999999995</v>
      </c>
      <c r="L87" s="812">
        <v>1</v>
      </c>
      <c r="M87" s="812">
        <v>85.47999999999999</v>
      </c>
      <c r="N87" s="812">
        <v>43</v>
      </c>
      <c r="O87" s="812">
        <v>3443.44</v>
      </c>
      <c r="P87" s="800">
        <v>0.42403763268723987</v>
      </c>
      <c r="Q87" s="813">
        <v>80.08</v>
      </c>
    </row>
    <row r="88" spans="1:17" ht="14.4" customHeight="1" x14ac:dyDescent="0.3">
      <c r="A88" s="794" t="s">
        <v>591</v>
      </c>
      <c r="B88" s="795" t="s">
        <v>3509</v>
      </c>
      <c r="C88" s="795" t="s">
        <v>3365</v>
      </c>
      <c r="D88" s="795" t="s">
        <v>3557</v>
      </c>
      <c r="E88" s="795" t="s">
        <v>1351</v>
      </c>
      <c r="F88" s="812">
        <v>2.6</v>
      </c>
      <c r="G88" s="812">
        <v>822.11</v>
      </c>
      <c r="H88" s="812"/>
      <c r="I88" s="812">
        <v>316.19615384615383</v>
      </c>
      <c r="J88" s="812"/>
      <c r="K88" s="812"/>
      <c r="L88" s="812"/>
      <c r="M88" s="812"/>
      <c r="N88" s="812"/>
      <c r="O88" s="812"/>
      <c r="P88" s="800"/>
      <c r="Q88" s="813"/>
    </row>
    <row r="89" spans="1:17" ht="14.4" customHeight="1" x14ac:dyDescent="0.3">
      <c r="A89" s="794" t="s">
        <v>591</v>
      </c>
      <c r="B89" s="795" t="s">
        <v>3509</v>
      </c>
      <c r="C89" s="795" t="s">
        <v>3365</v>
      </c>
      <c r="D89" s="795" t="s">
        <v>3558</v>
      </c>
      <c r="E89" s="795" t="s">
        <v>3559</v>
      </c>
      <c r="F89" s="812">
        <v>6</v>
      </c>
      <c r="G89" s="812">
        <v>482.58</v>
      </c>
      <c r="H89" s="812"/>
      <c r="I89" s="812">
        <v>80.429999999999993</v>
      </c>
      <c r="J89" s="812"/>
      <c r="K89" s="812"/>
      <c r="L89" s="812"/>
      <c r="M89" s="812"/>
      <c r="N89" s="812"/>
      <c r="O89" s="812"/>
      <c r="P89" s="800"/>
      <c r="Q89" s="813"/>
    </row>
    <row r="90" spans="1:17" ht="14.4" customHeight="1" x14ac:dyDescent="0.3">
      <c r="A90" s="794" t="s">
        <v>591</v>
      </c>
      <c r="B90" s="795" t="s">
        <v>3509</v>
      </c>
      <c r="C90" s="795" t="s">
        <v>3365</v>
      </c>
      <c r="D90" s="795" t="s">
        <v>3560</v>
      </c>
      <c r="E90" s="795" t="s">
        <v>1017</v>
      </c>
      <c r="F90" s="812">
        <v>155</v>
      </c>
      <c r="G90" s="812">
        <v>9065.25</v>
      </c>
      <c r="H90" s="812">
        <v>4.8508401113013706</v>
      </c>
      <c r="I90" s="812">
        <v>58.485483870967741</v>
      </c>
      <c r="J90" s="812">
        <v>32</v>
      </c>
      <c r="K90" s="812">
        <v>1868.7999999999997</v>
      </c>
      <c r="L90" s="812">
        <v>1</v>
      </c>
      <c r="M90" s="812">
        <v>58.399999999999991</v>
      </c>
      <c r="N90" s="812">
        <v>176</v>
      </c>
      <c r="O90" s="812">
        <v>10278.4</v>
      </c>
      <c r="P90" s="800">
        <v>5.5000000000000009</v>
      </c>
      <c r="Q90" s="813">
        <v>58.4</v>
      </c>
    </row>
    <row r="91" spans="1:17" ht="14.4" customHeight="1" x14ac:dyDescent="0.3">
      <c r="A91" s="794" t="s">
        <v>591</v>
      </c>
      <c r="B91" s="795" t="s">
        <v>3509</v>
      </c>
      <c r="C91" s="795" t="s">
        <v>3365</v>
      </c>
      <c r="D91" s="795" t="s">
        <v>3561</v>
      </c>
      <c r="E91" s="795" t="s">
        <v>3562</v>
      </c>
      <c r="F91" s="812">
        <v>4</v>
      </c>
      <c r="G91" s="812">
        <v>4427.2</v>
      </c>
      <c r="H91" s="812"/>
      <c r="I91" s="812">
        <v>1106.8</v>
      </c>
      <c r="J91" s="812"/>
      <c r="K91" s="812"/>
      <c r="L91" s="812"/>
      <c r="M91" s="812"/>
      <c r="N91" s="812"/>
      <c r="O91" s="812"/>
      <c r="P91" s="800"/>
      <c r="Q91" s="813"/>
    </row>
    <row r="92" spans="1:17" ht="14.4" customHeight="1" x14ac:dyDescent="0.3">
      <c r="A92" s="794" t="s">
        <v>591</v>
      </c>
      <c r="B92" s="795" t="s">
        <v>3509</v>
      </c>
      <c r="C92" s="795" t="s">
        <v>3365</v>
      </c>
      <c r="D92" s="795" t="s">
        <v>3563</v>
      </c>
      <c r="E92" s="795" t="s">
        <v>3564</v>
      </c>
      <c r="F92" s="812"/>
      <c r="G92" s="812"/>
      <c r="H92" s="812"/>
      <c r="I92" s="812"/>
      <c r="J92" s="812">
        <v>11</v>
      </c>
      <c r="K92" s="812">
        <v>424.71</v>
      </c>
      <c r="L92" s="812">
        <v>1</v>
      </c>
      <c r="M92" s="812">
        <v>38.61</v>
      </c>
      <c r="N92" s="812"/>
      <c r="O92" s="812"/>
      <c r="P92" s="800"/>
      <c r="Q92" s="813"/>
    </row>
    <row r="93" spans="1:17" ht="14.4" customHeight="1" x14ac:dyDescent="0.3">
      <c r="A93" s="794" t="s">
        <v>591</v>
      </c>
      <c r="B93" s="795" t="s">
        <v>3509</v>
      </c>
      <c r="C93" s="795" t="s">
        <v>3365</v>
      </c>
      <c r="D93" s="795" t="s">
        <v>3565</v>
      </c>
      <c r="E93" s="795" t="s">
        <v>3566</v>
      </c>
      <c r="F93" s="812">
        <v>20.6</v>
      </c>
      <c r="G93" s="812">
        <v>7967.5</v>
      </c>
      <c r="H93" s="812">
        <v>1.0152293966090638</v>
      </c>
      <c r="I93" s="812">
        <v>386.77184466019418</v>
      </c>
      <c r="J93" s="812">
        <v>20.3</v>
      </c>
      <c r="K93" s="812">
        <v>7847.9800000000005</v>
      </c>
      <c r="L93" s="812">
        <v>1</v>
      </c>
      <c r="M93" s="812">
        <v>386.6</v>
      </c>
      <c r="N93" s="812">
        <v>25.8</v>
      </c>
      <c r="O93" s="812">
        <v>9974.2800000000007</v>
      </c>
      <c r="P93" s="800">
        <v>1.270935960591133</v>
      </c>
      <c r="Q93" s="813">
        <v>386.6</v>
      </c>
    </row>
    <row r="94" spans="1:17" ht="14.4" customHeight="1" x14ac:dyDescent="0.3">
      <c r="A94" s="794" t="s">
        <v>591</v>
      </c>
      <c r="B94" s="795" t="s">
        <v>3509</v>
      </c>
      <c r="C94" s="795" t="s">
        <v>3365</v>
      </c>
      <c r="D94" s="795" t="s">
        <v>1359</v>
      </c>
      <c r="E94" s="795" t="s">
        <v>3567</v>
      </c>
      <c r="F94" s="812"/>
      <c r="G94" s="812"/>
      <c r="H94" s="812"/>
      <c r="I94" s="812"/>
      <c r="J94" s="812"/>
      <c r="K94" s="812"/>
      <c r="L94" s="812"/>
      <c r="M94" s="812"/>
      <c r="N94" s="812">
        <v>5</v>
      </c>
      <c r="O94" s="812">
        <v>45791.350000000006</v>
      </c>
      <c r="P94" s="800"/>
      <c r="Q94" s="813">
        <v>9158.27</v>
      </c>
    </row>
    <row r="95" spans="1:17" ht="14.4" customHeight="1" x14ac:dyDescent="0.3">
      <c r="A95" s="794" t="s">
        <v>591</v>
      </c>
      <c r="B95" s="795" t="s">
        <v>3509</v>
      </c>
      <c r="C95" s="795" t="s">
        <v>3365</v>
      </c>
      <c r="D95" s="795" t="s">
        <v>3568</v>
      </c>
      <c r="E95" s="795" t="s">
        <v>3569</v>
      </c>
      <c r="F95" s="812">
        <v>0.4</v>
      </c>
      <c r="G95" s="812">
        <v>108.06</v>
      </c>
      <c r="H95" s="812"/>
      <c r="I95" s="812">
        <v>270.14999999999998</v>
      </c>
      <c r="J95" s="812"/>
      <c r="K95" s="812"/>
      <c r="L95" s="812"/>
      <c r="M95" s="812"/>
      <c r="N95" s="812"/>
      <c r="O95" s="812"/>
      <c r="P95" s="800"/>
      <c r="Q95" s="813"/>
    </row>
    <row r="96" spans="1:17" ht="14.4" customHeight="1" x14ac:dyDescent="0.3">
      <c r="A96" s="794" t="s">
        <v>591</v>
      </c>
      <c r="B96" s="795" t="s">
        <v>3509</v>
      </c>
      <c r="C96" s="795" t="s">
        <v>3365</v>
      </c>
      <c r="D96" s="795" t="s">
        <v>3570</v>
      </c>
      <c r="E96" s="795" t="s">
        <v>3571</v>
      </c>
      <c r="F96" s="812">
        <v>20.400000000000002</v>
      </c>
      <c r="G96" s="812">
        <v>7410.3</v>
      </c>
      <c r="H96" s="812">
        <v>1.8427164669020737</v>
      </c>
      <c r="I96" s="812">
        <v>363.24999999999994</v>
      </c>
      <c r="J96" s="812">
        <v>14.799999999999999</v>
      </c>
      <c r="K96" s="812">
        <v>4021.4000000000005</v>
      </c>
      <c r="L96" s="812">
        <v>1</v>
      </c>
      <c r="M96" s="812">
        <v>271.71621621621625</v>
      </c>
      <c r="N96" s="812">
        <v>15.600000000000001</v>
      </c>
      <c r="O96" s="812">
        <v>4238.7999999999993</v>
      </c>
      <c r="P96" s="800">
        <v>1.0540607748545279</v>
      </c>
      <c r="Q96" s="813">
        <v>271.71794871794867</v>
      </c>
    </row>
    <row r="97" spans="1:17" ht="14.4" customHeight="1" x14ac:dyDescent="0.3">
      <c r="A97" s="794" t="s">
        <v>591</v>
      </c>
      <c r="B97" s="795" t="s">
        <v>3509</v>
      </c>
      <c r="C97" s="795" t="s">
        <v>3365</v>
      </c>
      <c r="D97" s="795" t="s">
        <v>3572</v>
      </c>
      <c r="E97" s="795" t="s">
        <v>3573</v>
      </c>
      <c r="F97" s="812">
        <v>20</v>
      </c>
      <c r="G97" s="812">
        <v>2629.6</v>
      </c>
      <c r="H97" s="812"/>
      <c r="I97" s="812">
        <v>131.47999999999999</v>
      </c>
      <c r="J97" s="812"/>
      <c r="K97" s="812"/>
      <c r="L97" s="812"/>
      <c r="M97" s="812"/>
      <c r="N97" s="812"/>
      <c r="O97" s="812"/>
      <c r="P97" s="800"/>
      <c r="Q97" s="813"/>
    </row>
    <row r="98" spans="1:17" ht="14.4" customHeight="1" x14ac:dyDescent="0.3">
      <c r="A98" s="794" t="s">
        <v>591</v>
      </c>
      <c r="B98" s="795" t="s">
        <v>3509</v>
      </c>
      <c r="C98" s="795" t="s">
        <v>3365</v>
      </c>
      <c r="D98" s="795" t="s">
        <v>3574</v>
      </c>
      <c r="E98" s="795" t="s">
        <v>3575</v>
      </c>
      <c r="F98" s="812">
        <v>65</v>
      </c>
      <c r="G98" s="812">
        <v>2546.6999999999998</v>
      </c>
      <c r="H98" s="812">
        <v>6.2309160305343507</v>
      </c>
      <c r="I98" s="812">
        <v>39.18</v>
      </c>
      <c r="J98" s="812">
        <v>6</v>
      </c>
      <c r="K98" s="812">
        <v>408.72</v>
      </c>
      <c r="L98" s="812">
        <v>1</v>
      </c>
      <c r="M98" s="812">
        <v>68.12</v>
      </c>
      <c r="N98" s="812">
        <v>12</v>
      </c>
      <c r="O98" s="812">
        <v>804.72</v>
      </c>
      <c r="P98" s="800">
        <v>1.9688784497944802</v>
      </c>
      <c r="Q98" s="813">
        <v>67.06</v>
      </c>
    </row>
    <row r="99" spans="1:17" ht="14.4" customHeight="1" x14ac:dyDescent="0.3">
      <c r="A99" s="794" t="s">
        <v>591</v>
      </c>
      <c r="B99" s="795" t="s">
        <v>3509</v>
      </c>
      <c r="C99" s="795" t="s">
        <v>3365</v>
      </c>
      <c r="D99" s="795" t="s">
        <v>3576</v>
      </c>
      <c r="E99" s="795" t="s">
        <v>3577</v>
      </c>
      <c r="F99" s="812">
        <v>23</v>
      </c>
      <c r="G99" s="812">
        <v>1512.25</v>
      </c>
      <c r="H99" s="812"/>
      <c r="I99" s="812">
        <v>65.75</v>
      </c>
      <c r="J99" s="812"/>
      <c r="K99" s="812"/>
      <c r="L99" s="812"/>
      <c r="M99" s="812"/>
      <c r="N99" s="812"/>
      <c r="O99" s="812"/>
      <c r="P99" s="800"/>
      <c r="Q99" s="813"/>
    </row>
    <row r="100" spans="1:17" ht="14.4" customHeight="1" x14ac:dyDescent="0.3">
      <c r="A100" s="794" t="s">
        <v>591</v>
      </c>
      <c r="B100" s="795" t="s">
        <v>3509</v>
      </c>
      <c r="C100" s="795" t="s">
        <v>3365</v>
      </c>
      <c r="D100" s="795" t="s">
        <v>3578</v>
      </c>
      <c r="E100" s="795" t="s">
        <v>3579</v>
      </c>
      <c r="F100" s="812"/>
      <c r="G100" s="812"/>
      <c r="H100" s="812"/>
      <c r="I100" s="812"/>
      <c r="J100" s="812"/>
      <c r="K100" s="812"/>
      <c r="L100" s="812"/>
      <c r="M100" s="812"/>
      <c r="N100" s="812">
        <v>9</v>
      </c>
      <c r="O100" s="812">
        <v>38834.19</v>
      </c>
      <c r="P100" s="800"/>
      <c r="Q100" s="813">
        <v>4314.91</v>
      </c>
    </row>
    <row r="101" spans="1:17" ht="14.4" customHeight="1" x14ac:dyDescent="0.3">
      <c r="A101" s="794" t="s">
        <v>591</v>
      </c>
      <c r="B101" s="795" t="s">
        <v>3509</v>
      </c>
      <c r="C101" s="795" t="s">
        <v>3365</v>
      </c>
      <c r="D101" s="795" t="s">
        <v>3580</v>
      </c>
      <c r="E101" s="795" t="s">
        <v>3579</v>
      </c>
      <c r="F101" s="812"/>
      <c r="G101" s="812"/>
      <c r="H101" s="812"/>
      <c r="I101" s="812"/>
      <c r="J101" s="812"/>
      <c r="K101" s="812"/>
      <c r="L101" s="812"/>
      <c r="M101" s="812"/>
      <c r="N101" s="812">
        <v>12</v>
      </c>
      <c r="O101" s="812">
        <v>103557.96</v>
      </c>
      <c r="P101" s="800"/>
      <c r="Q101" s="813">
        <v>8629.83</v>
      </c>
    </row>
    <row r="102" spans="1:17" ht="14.4" customHeight="1" x14ac:dyDescent="0.3">
      <c r="A102" s="794" t="s">
        <v>591</v>
      </c>
      <c r="B102" s="795" t="s">
        <v>3509</v>
      </c>
      <c r="C102" s="795" t="s">
        <v>3365</v>
      </c>
      <c r="D102" s="795" t="s">
        <v>3581</v>
      </c>
      <c r="E102" s="795" t="s">
        <v>3582</v>
      </c>
      <c r="F102" s="812">
        <v>16</v>
      </c>
      <c r="G102" s="812">
        <v>3606.8</v>
      </c>
      <c r="H102" s="812"/>
      <c r="I102" s="812">
        <v>225.42500000000001</v>
      </c>
      <c r="J102" s="812"/>
      <c r="K102" s="812"/>
      <c r="L102" s="812"/>
      <c r="M102" s="812"/>
      <c r="N102" s="812"/>
      <c r="O102" s="812"/>
      <c r="P102" s="800"/>
      <c r="Q102" s="813"/>
    </row>
    <row r="103" spans="1:17" ht="14.4" customHeight="1" x14ac:dyDescent="0.3">
      <c r="A103" s="794" t="s">
        <v>591</v>
      </c>
      <c r="B103" s="795" t="s">
        <v>3509</v>
      </c>
      <c r="C103" s="795" t="s">
        <v>3365</v>
      </c>
      <c r="D103" s="795" t="s">
        <v>3583</v>
      </c>
      <c r="E103" s="795" t="s">
        <v>3584</v>
      </c>
      <c r="F103" s="812">
        <v>9</v>
      </c>
      <c r="G103" s="812">
        <v>591.75</v>
      </c>
      <c r="H103" s="812"/>
      <c r="I103" s="812">
        <v>65.75</v>
      </c>
      <c r="J103" s="812"/>
      <c r="K103" s="812"/>
      <c r="L103" s="812"/>
      <c r="M103" s="812"/>
      <c r="N103" s="812"/>
      <c r="O103" s="812"/>
      <c r="P103" s="800"/>
      <c r="Q103" s="813"/>
    </row>
    <row r="104" spans="1:17" ht="14.4" customHeight="1" x14ac:dyDescent="0.3">
      <c r="A104" s="794" t="s">
        <v>591</v>
      </c>
      <c r="B104" s="795" t="s">
        <v>3509</v>
      </c>
      <c r="C104" s="795" t="s">
        <v>3365</v>
      </c>
      <c r="D104" s="795" t="s">
        <v>3585</v>
      </c>
      <c r="E104" s="795" t="s">
        <v>3586</v>
      </c>
      <c r="F104" s="812">
        <v>0.4</v>
      </c>
      <c r="G104" s="812">
        <v>37.08</v>
      </c>
      <c r="H104" s="812">
        <v>1.5685279187817258</v>
      </c>
      <c r="I104" s="812">
        <v>92.699999999999989</v>
      </c>
      <c r="J104" s="812">
        <v>0.3</v>
      </c>
      <c r="K104" s="812">
        <v>23.64</v>
      </c>
      <c r="L104" s="812">
        <v>1</v>
      </c>
      <c r="M104" s="812">
        <v>78.800000000000011</v>
      </c>
      <c r="N104" s="812">
        <v>2.4</v>
      </c>
      <c r="O104" s="812">
        <v>189.13</v>
      </c>
      <c r="P104" s="800">
        <v>8.0004230118443314</v>
      </c>
      <c r="Q104" s="813">
        <v>78.804166666666674</v>
      </c>
    </row>
    <row r="105" spans="1:17" ht="14.4" customHeight="1" x14ac:dyDescent="0.3">
      <c r="A105" s="794" t="s">
        <v>591</v>
      </c>
      <c r="B105" s="795" t="s">
        <v>3509</v>
      </c>
      <c r="C105" s="795" t="s">
        <v>3365</v>
      </c>
      <c r="D105" s="795" t="s">
        <v>3587</v>
      </c>
      <c r="E105" s="795" t="s">
        <v>1441</v>
      </c>
      <c r="F105" s="812">
        <v>12</v>
      </c>
      <c r="G105" s="812">
        <v>768</v>
      </c>
      <c r="H105" s="812"/>
      <c r="I105" s="812">
        <v>64</v>
      </c>
      <c r="J105" s="812"/>
      <c r="K105" s="812"/>
      <c r="L105" s="812"/>
      <c r="M105" s="812"/>
      <c r="N105" s="812">
        <v>11</v>
      </c>
      <c r="O105" s="812">
        <v>485.43</v>
      </c>
      <c r="P105" s="800"/>
      <c r="Q105" s="813">
        <v>44.13</v>
      </c>
    </row>
    <row r="106" spans="1:17" ht="14.4" customHeight="1" x14ac:dyDescent="0.3">
      <c r="A106" s="794" t="s">
        <v>591</v>
      </c>
      <c r="B106" s="795" t="s">
        <v>3509</v>
      </c>
      <c r="C106" s="795" t="s">
        <v>3365</v>
      </c>
      <c r="D106" s="795" t="s">
        <v>3588</v>
      </c>
      <c r="E106" s="795" t="s">
        <v>3589</v>
      </c>
      <c r="F106" s="812"/>
      <c r="G106" s="812"/>
      <c r="H106" s="812"/>
      <c r="I106" s="812"/>
      <c r="J106" s="812"/>
      <c r="K106" s="812"/>
      <c r="L106" s="812"/>
      <c r="M106" s="812"/>
      <c r="N106" s="812">
        <v>1</v>
      </c>
      <c r="O106" s="812">
        <v>2348.11</v>
      </c>
      <c r="P106" s="800"/>
      <c r="Q106" s="813">
        <v>2348.11</v>
      </c>
    </row>
    <row r="107" spans="1:17" ht="14.4" customHeight="1" x14ac:dyDescent="0.3">
      <c r="A107" s="794" t="s">
        <v>591</v>
      </c>
      <c r="B107" s="795" t="s">
        <v>3509</v>
      </c>
      <c r="C107" s="795" t="s">
        <v>3365</v>
      </c>
      <c r="D107" s="795" t="s">
        <v>3590</v>
      </c>
      <c r="E107" s="795" t="s">
        <v>1632</v>
      </c>
      <c r="F107" s="812"/>
      <c r="G107" s="812"/>
      <c r="H107" s="812"/>
      <c r="I107" s="812"/>
      <c r="J107" s="812"/>
      <c r="K107" s="812"/>
      <c r="L107" s="812"/>
      <c r="M107" s="812"/>
      <c r="N107" s="812">
        <v>0.8</v>
      </c>
      <c r="O107" s="812">
        <v>313.44</v>
      </c>
      <c r="P107" s="800"/>
      <c r="Q107" s="813">
        <v>391.79999999999995</v>
      </c>
    </row>
    <row r="108" spans="1:17" ht="14.4" customHeight="1" x14ac:dyDescent="0.3">
      <c r="A108" s="794" t="s">
        <v>591</v>
      </c>
      <c r="B108" s="795" t="s">
        <v>3509</v>
      </c>
      <c r="C108" s="795" t="s">
        <v>3365</v>
      </c>
      <c r="D108" s="795" t="s">
        <v>3591</v>
      </c>
      <c r="E108" s="795" t="s">
        <v>1054</v>
      </c>
      <c r="F108" s="812">
        <v>4.9000000000000004</v>
      </c>
      <c r="G108" s="812">
        <v>3783.51</v>
      </c>
      <c r="H108" s="812"/>
      <c r="I108" s="812">
        <v>772.14489795918371</v>
      </c>
      <c r="J108" s="812"/>
      <c r="K108" s="812"/>
      <c r="L108" s="812"/>
      <c r="M108" s="812"/>
      <c r="N108" s="812"/>
      <c r="O108" s="812"/>
      <c r="P108" s="800"/>
      <c r="Q108" s="813"/>
    </row>
    <row r="109" spans="1:17" ht="14.4" customHeight="1" x14ac:dyDescent="0.3">
      <c r="A109" s="794" t="s">
        <v>591</v>
      </c>
      <c r="B109" s="795" t="s">
        <v>3509</v>
      </c>
      <c r="C109" s="795" t="s">
        <v>3365</v>
      </c>
      <c r="D109" s="795" t="s">
        <v>3592</v>
      </c>
      <c r="E109" s="795" t="s">
        <v>3593</v>
      </c>
      <c r="F109" s="812">
        <v>1.44</v>
      </c>
      <c r="G109" s="812">
        <v>5224.38</v>
      </c>
      <c r="H109" s="812"/>
      <c r="I109" s="812">
        <v>3628.041666666667</v>
      </c>
      <c r="J109" s="812"/>
      <c r="K109" s="812"/>
      <c r="L109" s="812"/>
      <c r="M109" s="812"/>
      <c r="N109" s="812">
        <v>7.2</v>
      </c>
      <c r="O109" s="812">
        <v>24487.8</v>
      </c>
      <c r="P109" s="800"/>
      <c r="Q109" s="813">
        <v>3401.083333333333</v>
      </c>
    </row>
    <row r="110" spans="1:17" ht="14.4" customHeight="1" x14ac:dyDescent="0.3">
      <c r="A110" s="794" t="s">
        <v>591</v>
      </c>
      <c r="B110" s="795" t="s">
        <v>3509</v>
      </c>
      <c r="C110" s="795" t="s">
        <v>3365</v>
      </c>
      <c r="D110" s="795" t="s">
        <v>3594</v>
      </c>
      <c r="E110" s="795" t="s">
        <v>1444</v>
      </c>
      <c r="F110" s="812"/>
      <c r="G110" s="812"/>
      <c r="H110" s="812"/>
      <c r="I110" s="812"/>
      <c r="J110" s="812"/>
      <c r="K110" s="812"/>
      <c r="L110" s="812"/>
      <c r="M110" s="812"/>
      <c r="N110" s="812">
        <v>0.6</v>
      </c>
      <c r="O110" s="812">
        <v>257.22000000000003</v>
      </c>
      <c r="P110" s="800"/>
      <c r="Q110" s="813">
        <v>428.70000000000005</v>
      </c>
    </row>
    <row r="111" spans="1:17" ht="14.4" customHeight="1" x14ac:dyDescent="0.3">
      <c r="A111" s="794" t="s">
        <v>591</v>
      </c>
      <c r="B111" s="795" t="s">
        <v>3509</v>
      </c>
      <c r="C111" s="795" t="s">
        <v>3365</v>
      </c>
      <c r="D111" s="795" t="s">
        <v>3595</v>
      </c>
      <c r="E111" s="795" t="s">
        <v>3596</v>
      </c>
      <c r="F111" s="812"/>
      <c r="G111" s="812"/>
      <c r="H111" s="812"/>
      <c r="I111" s="812"/>
      <c r="J111" s="812"/>
      <c r="K111" s="812"/>
      <c r="L111" s="812"/>
      <c r="M111" s="812"/>
      <c r="N111" s="812">
        <v>7.2</v>
      </c>
      <c r="O111" s="812">
        <v>17426.419999999998</v>
      </c>
      <c r="P111" s="800"/>
      <c r="Q111" s="813">
        <v>2420.3361111111108</v>
      </c>
    </row>
    <row r="112" spans="1:17" ht="14.4" customHeight="1" x14ac:dyDescent="0.3">
      <c r="A112" s="794" t="s">
        <v>591</v>
      </c>
      <c r="B112" s="795" t="s">
        <v>3509</v>
      </c>
      <c r="C112" s="795" t="s">
        <v>3365</v>
      </c>
      <c r="D112" s="795" t="s">
        <v>3597</v>
      </c>
      <c r="E112" s="795" t="s">
        <v>3598</v>
      </c>
      <c r="F112" s="812"/>
      <c r="G112" s="812"/>
      <c r="H112" s="812"/>
      <c r="I112" s="812"/>
      <c r="J112" s="812">
        <v>3.4</v>
      </c>
      <c r="K112" s="812">
        <v>11096.69</v>
      </c>
      <c r="L112" s="812">
        <v>1</v>
      </c>
      <c r="M112" s="812">
        <v>3263.7323529411765</v>
      </c>
      <c r="N112" s="812"/>
      <c r="O112" s="812"/>
      <c r="P112" s="800"/>
      <c r="Q112" s="813"/>
    </row>
    <row r="113" spans="1:17" ht="14.4" customHeight="1" x14ac:dyDescent="0.3">
      <c r="A113" s="794" t="s">
        <v>591</v>
      </c>
      <c r="B113" s="795" t="s">
        <v>3509</v>
      </c>
      <c r="C113" s="795" t="s">
        <v>3365</v>
      </c>
      <c r="D113" s="795" t="s">
        <v>3599</v>
      </c>
      <c r="E113" s="795" t="s">
        <v>3600</v>
      </c>
      <c r="F113" s="812"/>
      <c r="G113" s="812"/>
      <c r="H113" s="812"/>
      <c r="I113" s="812"/>
      <c r="J113" s="812">
        <v>2.2000000000000002</v>
      </c>
      <c r="K113" s="812">
        <v>24846.47</v>
      </c>
      <c r="L113" s="812">
        <v>1</v>
      </c>
      <c r="M113" s="812">
        <v>11293.85</v>
      </c>
      <c r="N113" s="812"/>
      <c r="O113" s="812"/>
      <c r="P113" s="800"/>
      <c r="Q113" s="813"/>
    </row>
    <row r="114" spans="1:17" ht="14.4" customHeight="1" x14ac:dyDescent="0.3">
      <c r="A114" s="794" t="s">
        <v>591</v>
      </c>
      <c r="B114" s="795" t="s">
        <v>3509</v>
      </c>
      <c r="C114" s="795" t="s">
        <v>3601</v>
      </c>
      <c r="D114" s="795" t="s">
        <v>3602</v>
      </c>
      <c r="E114" s="795" t="s">
        <v>3603</v>
      </c>
      <c r="F114" s="812">
        <v>8</v>
      </c>
      <c r="G114" s="812">
        <v>14924.64</v>
      </c>
      <c r="H114" s="812">
        <v>0.53190395917159972</v>
      </c>
      <c r="I114" s="812">
        <v>1865.58</v>
      </c>
      <c r="J114" s="812">
        <v>14</v>
      </c>
      <c r="K114" s="812">
        <v>28058.9</v>
      </c>
      <c r="L114" s="812">
        <v>1</v>
      </c>
      <c r="M114" s="812">
        <v>2004.207142857143</v>
      </c>
      <c r="N114" s="812">
        <v>29</v>
      </c>
      <c r="O114" s="812">
        <v>61709.17</v>
      </c>
      <c r="P114" s="800">
        <v>2.1992726015631403</v>
      </c>
      <c r="Q114" s="813">
        <v>2127.9024137931033</v>
      </c>
    </row>
    <row r="115" spans="1:17" ht="14.4" customHeight="1" x14ac:dyDescent="0.3">
      <c r="A115" s="794" t="s">
        <v>591</v>
      </c>
      <c r="B115" s="795" t="s">
        <v>3509</v>
      </c>
      <c r="C115" s="795" t="s">
        <v>3601</v>
      </c>
      <c r="D115" s="795" t="s">
        <v>3604</v>
      </c>
      <c r="E115" s="795" t="s">
        <v>3605</v>
      </c>
      <c r="F115" s="812">
        <v>1</v>
      </c>
      <c r="G115" s="812">
        <v>2728.71</v>
      </c>
      <c r="H115" s="812">
        <v>1.1088305450467109</v>
      </c>
      <c r="I115" s="812">
        <v>2728.71</v>
      </c>
      <c r="J115" s="812">
        <v>1</v>
      </c>
      <c r="K115" s="812">
        <v>2460.89</v>
      </c>
      <c r="L115" s="812">
        <v>1</v>
      </c>
      <c r="M115" s="812">
        <v>2460.89</v>
      </c>
      <c r="N115" s="812">
        <v>3</v>
      </c>
      <c r="O115" s="812">
        <v>7923.45</v>
      </c>
      <c r="P115" s="800">
        <v>3.2197497653288041</v>
      </c>
      <c r="Q115" s="813">
        <v>2641.15</v>
      </c>
    </row>
    <row r="116" spans="1:17" ht="14.4" customHeight="1" x14ac:dyDescent="0.3">
      <c r="A116" s="794" t="s">
        <v>591</v>
      </c>
      <c r="B116" s="795" t="s">
        <v>3509</v>
      </c>
      <c r="C116" s="795" t="s">
        <v>3601</v>
      </c>
      <c r="D116" s="795" t="s">
        <v>3606</v>
      </c>
      <c r="E116" s="795" t="s">
        <v>3607</v>
      </c>
      <c r="F116" s="812"/>
      <c r="G116" s="812"/>
      <c r="H116" s="812"/>
      <c r="I116" s="812"/>
      <c r="J116" s="812"/>
      <c r="K116" s="812"/>
      <c r="L116" s="812"/>
      <c r="M116" s="812"/>
      <c r="N116" s="812">
        <v>5</v>
      </c>
      <c r="O116" s="812">
        <v>10797.850000000002</v>
      </c>
      <c r="P116" s="800"/>
      <c r="Q116" s="813">
        <v>2159.5700000000006</v>
      </c>
    </row>
    <row r="117" spans="1:17" ht="14.4" customHeight="1" x14ac:dyDescent="0.3">
      <c r="A117" s="794" t="s">
        <v>591</v>
      </c>
      <c r="B117" s="795" t="s">
        <v>3509</v>
      </c>
      <c r="C117" s="795" t="s">
        <v>3601</v>
      </c>
      <c r="D117" s="795" t="s">
        <v>3608</v>
      </c>
      <c r="E117" s="795" t="s">
        <v>3609</v>
      </c>
      <c r="F117" s="812"/>
      <c r="G117" s="812"/>
      <c r="H117" s="812"/>
      <c r="I117" s="812"/>
      <c r="J117" s="812"/>
      <c r="K117" s="812"/>
      <c r="L117" s="812"/>
      <c r="M117" s="812"/>
      <c r="N117" s="812">
        <v>2</v>
      </c>
      <c r="O117" s="812">
        <v>17804.72</v>
      </c>
      <c r="P117" s="800"/>
      <c r="Q117" s="813">
        <v>8902.36</v>
      </c>
    </row>
    <row r="118" spans="1:17" ht="14.4" customHeight="1" x14ac:dyDescent="0.3">
      <c r="A118" s="794" t="s">
        <v>591</v>
      </c>
      <c r="B118" s="795" t="s">
        <v>3509</v>
      </c>
      <c r="C118" s="795" t="s">
        <v>3601</v>
      </c>
      <c r="D118" s="795" t="s">
        <v>3610</v>
      </c>
      <c r="E118" s="795" t="s">
        <v>3611</v>
      </c>
      <c r="F118" s="812">
        <v>2</v>
      </c>
      <c r="G118" s="812">
        <v>1851.14</v>
      </c>
      <c r="H118" s="812">
        <v>0.87069038503146667</v>
      </c>
      <c r="I118" s="812">
        <v>925.57</v>
      </c>
      <c r="J118" s="812">
        <v>2</v>
      </c>
      <c r="K118" s="812">
        <v>2126.06</v>
      </c>
      <c r="L118" s="812">
        <v>1</v>
      </c>
      <c r="M118" s="812">
        <v>1063.03</v>
      </c>
      <c r="N118" s="812">
        <v>18</v>
      </c>
      <c r="O118" s="812">
        <v>21660.399999999998</v>
      </c>
      <c r="P118" s="800">
        <v>10.188047374015785</v>
      </c>
      <c r="Q118" s="813">
        <v>1203.3555555555554</v>
      </c>
    </row>
    <row r="119" spans="1:17" ht="14.4" customHeight="1" x14ac:dyDescent="0.3">
      <c r="A119" s="794" t="s">
        <v>591</v>
      </c>
      <c r="B119" s="795" t="s">
        <v>3509</v>
      </c>
      <c r="C119" s="795" t="s">
        <v>3612</v>
      </c>
      <c r="D119" s="795" t="s">
        <v>3613</v>
      </c>
      <c r="E119" s="795" t="s">
        <v>3614</v>
      </c>
      <c r="F119" s="812">
        <v>183</v>
      </c>
      <c r="G119" s="812">
        <v>60386.340000000004</v>
      </c>
      <c r="H119" s="812">
        <v>1.2534246575342467</v>
      </c>
      <c r="I119" s="812">
        <v>329.98</v>
      </c>
      <c r="J119" s="812">
        <v>146</v>
      </c>
      <c r="K119" s="812">
        <v>48177.08</v>
      </c>
      <c r="L119" s="812">
        <v>1</v>
      </c>
      <c r="M119" s="812">
        <v>329.98</v>
      </c>
      <c r="N119" s="812">
        <v>209</v>
      </c>
      <c r="O119" s="812">
        <v>68965.820000000007</v>
      </c>
      <c r="P119" s="800">
        <v>1.4315068493150687</v>
      </c>
      <c r="Q119" s="813">
        <v>329.98</v>
      </c>
    </row>
    <row r="120" spans="1:17" ht="14.4" customHeight="1" x14ac:dyDescent="0.3">
      <c r="A120" s="794" t="s">
        <v>591</v>
      </c>
      <c r="B120" s="795" t="s">
        <v>3509</v>
      </c>
      <c r="C120" s="795" t="s">
        <v>3612</v>
      </c>
      <c r="D120" s="795" t="s">
        <v>3615</v>
      </c>
      <c r="E120" s="795" t="s">
        <v>3614</v>
      </c>
      <c r="F120" s="812">
        <v>11</v>
      </c>
      <c r="G120" s="812">
        <v>4767.51</v>
      </c>
      <c r="H120" s="812">
        <v>1</v>
      </c>
      <c r="I120" s="812">
        <v>433.41</v>
      </c>
      <c r="J120" s="812">
        <v>11</v>
      </c>
      <c r="K120" s="812">
        <v>4767.51</v>
      </c>
      <c r="L120" s="812">
        <v>1</v>
      </c>
      <c r="M120" s="812">
        <v>433.41</v>
      </c>
      <c r="N120" s="812">
        <v>11</v>
      </c>
      <c r="O120" s="812">
        <v>4767.51</v>
      </c>
      <c r="P120" s="800">
        <v>1</v>
      </c>
      <c r="Q120" s="813">
        <v>433.41</v>
      </c>
    </row>
    <row r="121" spans="1:17" ht="14.4" customHeight="1" x14ac:dyDescent="0.3">
      <c r="A121" s="794" t="s">
        <v>591</v>
      </c>
      <c r="B121" s="795" t="s">
        <v>3509</v>
      </c>
      <c r="C121" s="795" t="s">
        <v>3612</v>
      </c>
      <c r="D121" s="795" t="s">
        <v>3616</v>
      </c>
      <c r="E121" s="795" t="s">
        <v>3617</v>
      </c>
      <c r="F121" s="812">
        <v>7</v>
      </c>
      <c r="G121" s="812">
        <v>10047.519999999999</v>
      </c>
      <c r="H121" s="812">
        <v>1.1666666666666665</v>
      </c>
      <c r="I121" s="812">
        <v>1435.36</v>
      </c>
      <c r="J121" s="812">
        <v>6</v>
      </c>
      <c r="K121" s="812">
        <v>8612.16</v>
      </c>
      <c r="L121" s="812">
        <v>1</v>
      </c>
      <c r="M121" s="812">
        <v>1435.36</v>
      </c>
      <c r="N121" s="812">
        <v>10</v>
      </c>
      <c r="O121" s="812">
        <v>14353.6</v>
      </c>
      <c r="P121" s="800">
        <v>1.6666666666666667</v>
      </c>
      <c r="Q121" s="813">
        <v>1435.3600000000001</v>
      </c>
    </row>
    <row r="122" spans="1:17" ht="14.4" customHeight="1" x14ac:dyDescent="0.3">
      <c r="A122" s="794" t="s">
        <v>591</v>
      </c>
      <c r="B122" s="795" t="s">
        <v>3509</v>
      </c>
      <c r="C122" s="795" t="s">
        <v>3612</v>
      </c>
      <c r="D122" s="795" t="s">
        <v>3618</v>
      </c>
      <c r="E122" s="795" t="s">
        <v>3617</v>
      </c>
      <c r="F122" s="812"/>
      <c r="G122" s="812"/>
      <c r="H122" s="812"/>
      <c r="I122" s="812"/>
      <c r="J122" s="812"/>
      <c r="K122" s="812"/>
      <c r="L122" s="812"/>
      <c r="M122" s="812"/>
      <c r="N122" s="812">
        <v>1</v>
      </c>
      <c r="O122" s="812">
        <v>1697.77</v>
      </c>
      <c r="P122" s="800"/>
      <c r="Q122" s="813">
        <v>1697.77</v>
      </c>
    </row>
    <row r="123" spans="1:17" ht="14.4" customHeight="1" x14ac:dyDescent="0.3">
      <c r="A123" s="794" t="s">
        <v>591</v>
      </c>
      <c r="B123" s="795" t="s">
        <v>3509</v>
      </c>
      <c r="C123" s="795" t="s">
        <v>3612</v>
      </c>
      <c r="D123" s="795" t="s">
        <v>3619</v>
      </c>
      <c r="E123" s="795" t="s">
        <v>3620</v>
      </c>
      <c r="F123" s="812">
        <v>9</v>
      </c>
      <c r="G123" s="812">
        <v>6506.7300000000005</v>
      </c>
      <c r="H123" s="812">
        <v>0.81818181818181823</v>
      </c>
      <c r="I123" s="812">
        <v>722.97</v>
      </c>
      <c r="J123" s="812">
        <v>11</v>
      </c>
      <c r="K123" s="812">
        <v>7952.67</v>
      </c>
      <c r="L123" s="812">
        <v>1</v>
      </c>
      <c r="M123" s="812">
        <v>722.97</v>
      </c>
      <c r="N123" s="812">
        <v>2</v>
      </c>
      <c r="O123" s="812">
        <v>1445.94</v>
      </c>
      <c r="P123" s="800">
        <v>0.18181818181818182</v>
      </c>
      <c r="Q123" s="813">
        <v>722.97</v>
      </c>
    </row>
    <row r="124" spans="1:17" ht="14.4" customHeight="1" x14ac:dyDescent="0.3">
      <c r="A124" s="794" t="s">
        <v>591</v>
      </c>
      <c r="B124" s="795" t="s">
        <v>3509</v>
      </c>
      <c r="C124" s="795" t="s">
        <v>3612</v>
      </c>
      <c r="D124" s="795" t="s">
        <v>3621</v>
      </c>
      <c r="E124" s="795" t="s">
        <v>3620</v>
      </c>
      <c r="F124" s="812">
        <v>31</v>
      </c>
      <c r="G124" s="812">
        <v>14646.880000000001</v>
      </c>
      <c r="H124" s="812">
        <v>1.8235294117647061</v>
      </c>
      <c r="I124" s="812">
        <v>472.48</v>
      </c>
      <c r="J124" s="812">
        <v>17</v>
      </c>
      <c r="K124" s="812">
        <v>8032.16</v>
      </c>
      <c r="L124" s="812">
        <v>1</v>
      </c>
      <c r="M124" s="812">
        <v>472.48</v>
      </c>
      <c r="N124" s="812">
        <v>34</v>
      </c>
      <c r="O124" s="812">
        <v>16064.32</v>
      </c>
      <c r="P124" s="800">
        <v>2</v>
      </c>
      <c r="Q124" s="813">
        <v>472.48</v>
      </c>
    </row>
    <row r="125" spans="1:17" ht="14.4" customHeight="1" x14ac:dyDescent="0.3">
      <c r="A125" s="794" t="s">
        <v>591</v>
      </c>
      <c r="B125" s="795" t="s">
        <v>3509</v>
      </c>
      <c r="C125" s="795" t="s">
        <v>3612</v>
      </c>
      <c r="D125" s="795" t="s">
        <v>3622</v>
      </c>
      <c r="E125" s="795" t="s">
        <v>3620</v>
      </c>
      <c r="F125" s="812">
        <v>4</v>
      </c>
      <c r="G125" s="812">
        <v>1865.88</v>
      </c>
      <c r="H125" s="812">
        <v>0.44444444444444453</v>
      </c>
      <c r="I125" s="812">
        <v>466.47</v>
      </c>
      <c r="J125" s="812">
        <v>9</v>
      </c>
      <c r="K125" s="812">
        <v>4198.2299999999996</v>
      </c>
      <c r="L125" s="812">
        <v>1</v>
      </c>
      <c r="M125" s="812">
        <v>466.46999999999997</v>
      </c>
      <c r="N125" s="812"/>
      <c r="O125" s="812"/>
      <c r="P125" s="800"/>
      <c r="Q125" s="813"/>
    </row>
    <row r="126" spans="1:17" ht="14.4" customHeight="1" x14ac:dyDescent="0.3">
      <c r="A126" s="794" t="s">
        <v>591</v>
      </c>
      <c r="B126" s="795" t="s">
        <v>3509</v>
      </c>
      <c r="C126" s="795" t="s">
        <v>3612</v>
      </c>
      <c r="D126" s="795" t="s">
        <v>3623</v>
      </c>
      <c r="E126" s="795" t="s">
        <v>3624</v>
      </c>
      <c r="F126" s="812">
        <v>2</v>
      </c>
      <c r="G126" s="812">
        <v>8624</v>
      </c>
      <c r="H126" s="812"/>
      <c r="I126" s="812">
        <v>4312</v>
      </c>
      <c r="J126" s="812"/>
      <c r="K126" s="812"/>
      <c r="L126" s="812"/>
      <c r="M126" s="812"/>
      <c r="N126" s="812">
        <v>1</v>
      </c>
      <c r="O126" s="812">
        <v>4312</v>
      </c>
      <c r="P126" s="800"/>
      <c r="Q126" s="813">
        <v>4312</v>
      </c>
    </row>
    <row r="127" spans="1:17" ht="14.4" customHeight="1" x14ac:dyDescent="0.3">
      <c r="A127" s="794" t="s">
        <v>591</v>
      </c>
      <c r="B127" s="795" t="s">
        <v>3509</v>
      </c>
      <c r="C127" s="795" t="s">
        <v>3612</v>
      </c>
      <c r="D127" s="795" t="s">
        <v>3625</v>
      </c>
      <c r="E127" s="795" t="s">
        <v>3626</v>
      </c>
      <c r="F127" s="812">
        <v>1</v>
      </c>
      <c r="G127" s="812">
        <v>4436.47</v>
      </c>
      <c r="H127" s="812">
        <v>1</v>
      </c>
      <c r="I127" s="812">
        <v>4436.47</v>
      </c>
      <c r="J127" s="812">
        <v>1</v>
      </c>
      <c r="K127" s="812">
        <v>4436.47</v>
      </c>
      <c r="L127" s="812">
        <v>1</v>
      </c>
      <c r="M127" s="812">
        <v>4436.47</v>
      </c>
      <c r="N127" s="812"/>
      <c r="O127" s="812"/>
      <c r="P127" s="800"/>
      <c r="Q127" s="813"/>
    </row>
    <row r="128" spans="1:17" ht="14.4" customHeight="1" x14ac:dyDescent="0.3">
      <c r="A128" s="794" t="s">
        <v>591</v>
      </c>
      <c r="B128" s="795" t="s">
        <v>3509</v>
      </c>
      <c r="C128" s="795" t="s">
        <v>3612</v>
      </c>
      <c r="D128" s="795" t="s">
        <v>3627</v>
      </c>
      <c r="E128" s="795" t="s">
        <v>3628</v>
      </c>
      <c r="F128" s="812"/>
      <c r="G128" s="812"/>
      <c r="H128" s="812"/>
      <c r="I128" s="812"/>
      <c r="J128" s="812">
        <v>2</v>
      </c>
      <c r="K128" s="812">
        <v>8249.0400000000009</v>
      </c>
      <c r="L128" s="812">
        <v>1</v>
      </c>
      <c r="M128" s="812">
        <v>4124.5200000000004</v>
      </c>
      <c r="N128" s="812">
        <v>3</v>
      </c>
      <c r="O128" s="812">
        <v>12373.560000000001</v>
      </c>
      <c r="P128" s="800">
        <v>1.5</v>
      </c>
      <c r="Q128" s="813">
        <v>4124.5200000000004</v>
      </c>
    </row>
    <row r="129" spans="1:17" ht="14.4" customHeight="1" x14ac:dyDescent="0.3">
      <c r="A129" s="794" t="s">
        <v>591</v>
      </c>
      <c r="B129" s="795" t="s">
        <v>3509</v>
      </c>
      <c r="C129" s="795" t="s">
        <v>3612</v>
      </c>
      <c r="D129" s="795" t="s">
        <v>3629</v>
      </c>
      <c r="E129" s="795" t="s">
        <v>3630</v>
      </c>
      <c r="F129" s="812"/>
      <c r="G129" s="812"/>
      <c r="H129" s="812"/>
      <c r="I129" s="812"/>
      <c r="J129" s="812"/>
      <c r="K129" s="812"/>
      <c r="L129" s="812"/>
      <c r="M129" s="812"/>
      <c r="N129" s="812">
        <v>1</v>
      </c>
      <c r="O129" s="812">
        <v>607.41</v>
      </c>
      <c r="P129" s="800"/>
      <c r="Q129" s="813">
        <v>607.41</v>
      </c>
    </row>
    <row r="130" spans="1:17" ht="14.4" customHeight="1" x14ac:dyDescent="0.3">
      <c r="A130" s="794" t="s">
        <v>591</v>
      </c>
      <c r="B130" s="795" t="s">
        <v>3509</v>
      </c>
      <c r="C130" s="795" t="s">
        <v>3612</v>
      </c>
      <c r="D130" s="795" t="s">
        <v>3631</v>
      </c>
      <c r="E130" s="795" t="s">
        <v>3632</v>
      </c>
      <c r="F130" s="812">
        <v>1.3</v>
      </c>
      <c r="G130" s="812">
        <v>1645.55</v>
      </c>
      <c r="H130" s="812">
        <v>1.0833327847159588</v>
      </c>
      <c r="I130" s="812">
        <v>1265.8076923076922</v>
      </c>
      <c r="J130" s="812">
        <v>1.2</v>
      </c>
      <c r="K130" s="812">
        <v>1518.97</v>
      </c>
      <c r="L130" s="812">
        <v>1</v>
      </c>
      <c r="M130" s="812">
        <v>1265.8083333333334</v>
      </c>
      <c r="N130" s="812">
        <v>0.1</v>
      </c>
      <c r="O130" s="812">
        <v>126.58</v>
      </c>
      <c r="P130" s="800">
        <v>8.3332784715958841E-2</v>
      </c>
      <c r="Q130" s="813">
        <v>1265.8</v>
      </c>
    </row>
    <row r="131" spans="1:17" ht="14.4" customHeight="1" x14ac:dyDescent="0.3">
      <c r="A131" s="794" t="s">
        <v>591</v>
      </c>
      <c r="B131" s="795" t="s">
        <v>3509</v>
      </c>
      <c r="C131" s="795" t="s">
        <v>3612</v>
      </c>
      <c r="D131" s="795" t="s">
        <v>3633</v>
      </c>
      <c r="E131" s="795" t="s">
        <v>3634</v>
      </c>
      <c r="F131" s="812">
        <v>29</v>
      </c>
      <c r="G131" s="812">
        <v>2524.4499999999998</v>
      </c>
      <c r="H131" s="812">
        <v>1.9333333333333331</v>
      </c>
      <c r="I131" s="812">
        <v>87.05</v>
      </c>
      <c r="J131" s="812">
        <v>15</v>
      </c>
      <c r="K131" s="812">
        <v>1305.75</v>
      </c>
      <c r="L131" s="812">
        <v>1</v>
      </c>
      <c r="M131" s="812">
        <v>87.05</v>
      </c>
      <c r="N131" s="812">
        <v>10</v>
      </c>
      <c r="O131" s="812">
        <v>870.5</v>
      </c>
      <c r="P131" s="800">
        <v>0.66666666666666663</v>
      </c>
      <c r="Q131" s="813">
        <v>87.05</v>
      </c>
    </row>
    <row r="132" spans="1:17" ht="14.4" customHeight="1" x14ac:dyDescent="0.3">
      <c r="A132" s="794" t="s">
        <v>591</v>
      </c>
      <c r="B132" s="795" t="s">
        <v>3509</v>
      </c>
      <c r="C132" s="795" t="s">
        <v>3612</v>
      </c>
      <c r="D132" s="795" t="s">
        <v>3635</v>
      </c>
      <c r="E132" s="795" t="s">
        <v>3634</v>
      </c>
      <c r="F132" s="812">
        <v>2</v>
      </c>
      <c r="G132" s="812">
        <v>258.06</v>
      </c>
      <c r="H132" s="812">
        <v>0.18181818181818182</v>
      </c>
      <c r="I132" s="812">
        <v>129.03</v>
      </c>
      <c r="J132" s="812">
        <v>11</v>
      </c>
      <c r="K132" s="812">
        <v>1419.33</v>
      </c>
      <c r="L132" s="812">
        <v>1</v>
      </c>
      <c r="M132" s="812">
        <v>129.03</v>
      </c>
      <c r="N132" s="812">
        <v>2</v>
      </c>
      <c r="O132" s="812">
        <v>258.06</v>
      </c>
      <c r="P132" s="800">
        <v>0.18181818181818182</v>
      </c>
      <c r="Q132" s="813">
        <v>129.03</v>
      </c>
    </row>
    <row r="133" spans="1:17" ht="14.4" customHeight="1" x14ac:dyDescent="0.3">
      <c r="A133" s="794" t="s">
        <v>591</v>
      </c>
      <c r="B133" s="795" t="s">
        <v>3509</v>
      </c>
      <c r="C133" s="795" t="s">
        <v>3612</v>
      </c>
      <c r="D133" s="795" t="s">
        <v>3636</v>
      </c>
      <c r="E133" s="795" t="s">
        <v>3637</v>
      </c>
      <c r="F133" s="812">
        <v>1</v>
      </c>
      <c r="G133" s="812">
        <v>875.93</v>
      </c>
      <c r="H133" s="812"/>
      <c r="I133" s="812">
        <v>875.93</v>
      </c>
      <c r="J133" s="812"/>
      <c r="K133" s="812"/>
      <c r="L133" s="812"/>
      <c r="M133" s="812"/>
      <c r="N133" s="812"/>
      <c r="O133" s="812"/>
      <c r="P133" s="800"/>
      <c r="Q133" s="813"/>
    </row>
    <row r="134" spans="1:17" ht="14.4" customHeight="1" x14ac:dyDescent="0.3">
      <c r="A134" s="794" t="s">
        <v>591</v>
      </c>
      <c r="B134" s="795" t="s">
        <v>3509</v>
      </c>
      <c r="C134" s="795" t="s">
        <v>3612</v>
      </c>
      <c r="D134" s="795" t="s">
        <v>3638</v>
      </c>
      <c r="E134" s="795" t="s">
        <v>3639</v>
      </c>
      <c r="F134" s="812">
        <v>1</v>
      </c>
      <c r="G134" s="812">
        <v>511.45</v>
      </c>
      <c r="H134" s="812"/>
      <c r="I134" s="812">
        <v>511.45</v>
      </c>
      <c r="J134" s="812"/>
      <c r="K134" s="812"/>
      <c r="L134" s="812"/>
      <c r="M134" s="812"/>
      <c r="N134" s="812"/>
      <c r="O134" s="812"/>
      <c r="P134" s="800"/>
      <c r="Q134" s="813"/>
    </row>
    <row r="135" spans="1:17" ht="14.4" customHeight="1" x14ac:dyDescent="0.3">
      <c r="A135" s="794" t="s">
        <v>591</v>
      </c>
      <c r="B135" s="795" t="s">
        <v>3509</v>
      </c>
      <c r="C135" s="795" t="s">
        <v>3612</v>
      </c>
      <c r="D135" s="795" t="s">
        <v>3640</v>
      </c>
      <c r="E135" s="795" t="s">
        <v>3641</v>
      </c>
      <c r="F135" s="812">
        <v>0.7</v>
      </c>
      <c r="G135" s="812">
        <v>673.93000000000006</v>
      </c>
      <c r="H135" s="812"/>
      <c r="I135" s="812">
        <v>962.75714285714298</v>
      </c>
      <c r="J135" s="812"/>
      <c r="K135" s="812"/>
      <c r="L135" s="812"/>
      <c r="M135" s="812"/>
      <c r="N135" s="812"/>
      <c r="O135" s="812"/>
      <c r="P135" s="800"/>
      <c r="Q135" s="813"/>
    </row>
    <row r="136" spans="1:17" ht="14.4" customHeight="1" x14ac:dyDescent="0.3">
      <c r="A136" s="794" t="s">
        <v>591</v>
      </c>
      <c r="B136" s="795" t="s">
        <v>3509</v>
      </c>
      <c r="C136" s="795" t="s">
        <v>3612</v>
      </c>
      <c r="D136" s="795" t="s">
        <v>3642</v>
      </c>
      <c r="E136" s="795" t="s">
        <v>3643</v>
      </c>
      <c r="F136" s="812"/>
      <c r="G136" s="812"/>
      <c r="H136" s="812"/>
      <c r="I136" s="812"/>
      <c r="J136" s="812"/>
      <c r="K136" s="812"/>
      <c r="L136" s="812"/>
      <c r="M136" s="812"/>
      <c r="N136" s="812">
        <v>0.7</v>
      </c>
      <c r="O136" s="812">
        <v>80.22</v>
      </c>
      <c r="P136" s="800"/>
      <c r="Q136" s="813">
        <v>114.60000000000001</v>
      </c>
    </row>
    <row r="137" spans="1:17" ht="14.4" customHeight="1" x14ac:dyDescent="0.3">
      <c r="A137" s="794" t="s">
        <v>591</v>
      </c>
      <c r="B137" s="795" t="s">
        <v>3509</v>
      </c>
      <c r="C137" s="795" t="s">
        <v>3612</v>
      </c>
      <c r="D137" s="795" t="s">
        <v>3644</v>
      </c>
      <c r="E137" s="795" t="s">
        <v>3643</v>
      </c>
      <c r="F137" s="812"/>
      <c r="G137" s="812"/>
      <c r="H137" s="812"/>
      <c r="I137" s="812"/>
      <c r="J137" s="812"/>
      <c r="K137" s="812"/>
      <c r="L137" s="812"/>
      <c r="M137" s="812"/>
      <c r="N137" s="812">
        <v>0.8</v>
      </c>
      <c r="O137" s="812">
        <v>110.35</v>
      </c>
      <c r="P137" s="800"/>
      <c r="Q137" s="813">
        <v>137.93749999999997</v>
      </c>
    </row>
    <row r="138" spans="1:17" ht="14.4" customHeight="1" x14ac:dyDescent="0.3">
      <c r="A138" s="794" t="s">
        <v>591</v>
      </c>
      <c r="B138" s="795" t="s">
        <v>3509</v>
      </c>
      <c r="C138" s="795" t="s">
        <v>3612</v>
      </c>
      <c r="D138" s="795" t="s">
        <v>3645</v>
      </c>
      <c r="E138" s="795" t="s">
        <v>3643</v>
      </c>
      <c r="F138" s="812">
        <v>1.7999999999999998</v>
      </c>
      <c r="G138" s="812">
        <v>1133.25</v>
      </c>
      <c r="H138" s="812">
        <v>0.33962790028590784</v>
      </c>
      <c r="I138" s="812">
        <v>629.58333333333337</v>
      </c>
      <c r="J138" s="812">
        <v>5.3</v>
      </c>
      <c r="K138" s="812">
        <v>3336.74</v>
      </c>
      <c r="L138" s="812">
        <v>1</v>
      </c>
      <c r="M138" s="812">
        <v>629.57358490566037</v>
      </c>
      <c r="N138" s="812">
        <v>6</v>
      </c>
      <c r="O138" s="812">
        <v>3777.5000000000005</v>
      </c>
      <c r="P138" s="800">
        <v>1.1320930009530261</v>
      </c>
      <c r="Q138" s="813">
        <v>629.58333333333337</v>
      </c>
    </row>
    <row r="139" spans="1:17" ht="14.4" customHeight="1" x14ac:dyDescent="0.3">
      <c r="A139" s="794" t="s">
        <v>591</v>
      </c>
      <c r="B139" s="795" t="s">
        <v>3509</v>
      </c>
      <c r="C139" s="795" t="s">
        <v>3612</v>
      </c>
      <c r="D139" s="795" t="s">
        <v>3646</v>
      </c>
      <c r="E139" s="795" t="s">
        <v>3647</v>
      </c>
      <c r="F139" s="812">
        <v>1</v>
      </c>
      <c r="G139" s="812">
        <v>3680.54</v>
      </c>
      <c r="H139" s="812"/>
      <c r="I139" s="812">
        <v>3680.54</v>
      </c>
      <c r="J139" s="812"/>
      <c r="K139" s="812"/>
      <c r="L139" s="812"/>
      <c r="M139" s="812"/>
      <c r="N139" s="812"/>
      <c r="O139" s="812"/>
      <c r="P139" s="800"/>
      <c r="Q139" s="813"/>
    </row>
    <row r="140" spans="1:17" ht="14.4" customHeight="1" x14ac:dyDescent="0.3">
      <c r="A140" s="794" t="s">
        <v>591</v>
      </c>
      <c r="B140" s="795" t="s">
        <v>3509</v>
      </c>
      <c r="C140" s="795" t="s">
        <v>3612</v>
      </c>
      <c r="D140" s="795" t="s">
        <v>3648</v>
      </c>
      <c r="E140" s="795" t="s">
        <v>3647</v>
      </c>
      <c r="F140" s="812">
        <v>3</v>
      </c>
      <c r="G140" s="812">
        <v>6335.4000000000005</v>
      </c>
      <c r="H140" s="812">
        <v>3</v>
      </c>
      <c r="I140" s="812">
        <v>2111.8000000000002</v>
      </c>
      <c r="J140" s="812">
        <v>1</v>
      </c>
      <c r="K140" s="812">
        <v>2111.8000000000002</v>
      </c>
      <c r="L140" s="812">
        <v>1</v>
      </c>
      <c r="M140" s="812">
        <v>2111.8000000000002</v>
      </c>
      <c r="N140" s="812">
        <v>2</v>
      </c>
      <c r="O140" s="812">
        <v>4223.6000000000004</v>
      </c>
      <c r="P140" s="800">
        <v>2</v>
      </c>
      <c r="Q140" s="813">
        <v>2111.8000000000002</v>
      </c>
    </row>
    <row r="141" spans="1:17" ht="14.4" customHeight="1" x14ac:dyDescent="0.3">
      <c r="A141" s="794" t="s">
        <v>591</v>
      </c>
      <c r="B141" s="795" t="s">
        <v>3509</v>
      </c>
      <c r="C141" s="795" t="s">
        <v>3612</v>
      </c>
      <c r="D141" s="795" t="s">
        <v>3649</v>
      </c>
      <c r="E141" s="795" t="s">
        <v>3650</v>
      </c>
      <c r="F141" s="812">
        <v>10</v>
      </c>
      <c r="G141" s="812">
        <v>10342.9</v>
      </c>
      <c r="H141" s="812"/>
      <c r="I141" s="812">
        <v>1034.29</v>
      </c>
      <c r="J141" s="812"/>
      <c r="K141" s="812"/>
      <c r="L141" s="812"/>
      <c r="M141" s="812"/>
      <c r="N141" s="812">
        <v>8</v>
      </c>
      <c r="O141" s="812">
        <v>8274.32</v>
      </c>
      <c r="P141" s="800"/>
      <c r="Q141" s="813">
        <v>1034.29</v>
      </c>
    </row>
    <row r="142" spans="1:17" ht="14.4" customHeight="1" x14ac:dyDescent="0.3">
      <c r="A142" s="794" t="s">
        <v>591</v>
      </c>
      <c r="B142" s="795" t="s">
        <v>3509</v>
      </c>
      <c r="C142" s="795" t="s">
        <v>3612</v>
      </c>
      <c r="D142" s="795" t="s">
        <v>3651</v>
      </c>
      <c r="E142" s="795" t="s">
        <v>3650</v>
      </c>
      <c r="F142" s="812">
        <v>19</v>
      </c>
      <c r="G142" s="812">
        <v>20892.019999999997</v>
      </c>
      <c r="H142" s="812">
        <v>0.79166666666666663</v>
      </c>
      <c r="I142" s="812">
        <v>1099.58</v>
      </c>
      <c r="J142" s="812">
        <v>24</v>
      </c>
      <c r="K142" s="812">
        <v>26389.919999999998</v>
      </c>
      <c r="L142" s="812">
        <v>1</v>
      </c>
      <c r="M142" s="812">
        <v>1099.58</v>
      </c>
      <c r="N142" s="812">
        <v>32</v>
      </c>
      <c r="O142" s="812">
        <v>35186.559999999998</v>
      </c>
      <c r="P142" s="800">
        <v>1.3333333333333333</v>
      </c>
      <c r="Q142" s="813">
        <v>1099.58</v>
      </c>
    </row>
    <row r="143" spans="1:17" ht="14.4" customHeight="1" x14ac:dyDescent="0.3">
      <c r="A143" s="794" t="s">
        <v>591</v>
      </c>
      <c r="B143" s="795" t="s">
        <v>3509</v>
      </c>
      <c r="C143" s="795" t="s">
        <v>3612</v>
      </c>
      <c r="D143" s="795" t="s">
        <v>3652</v>
      </c>
      <c r="E143" s="795" t="s">
        <v>3650</v>
      </c>
      <c r="F143" s="812">
        <v>18</v>
      </c>
      <c r="G143" s="812">
        <v>21247.56</v>
      </c>
      <c r="H143" s="812">
        <v>0.51428571428571435</v>
      </c>
      <c r="I143" s="812">
        <v>1180.42</v>
      </c>
      <c r="J143" s="812">
        <v>35</v>
      </c>
      <c r="K143" s="812">
        <v>41314.699999999997</v>
      </c>
      <c r="L143" s="812">
        <v>1</v>
      </c>
      <c r="M143" s="812">
        <v>1180.4199999999998</v>
      </c>
      <c r="N143" s="812">
        <v>28</v>
      </c>
      <c r="O143" s="812">
        <v>33051.760000000002</v>
      </c>
      <c r="P143" s="800">
        <v>0.80000000000000016</v>
      </c>
      <c r="Q143" s="813">
        <v>1180.42</v>
      </c>
    </row>
    <row r="144" spans="1:17" ht="14.4" customHeight="1" x14ac:dyDescent="0.3">
      <c r="A144" s="794" t="s">
        <v>591</v>
      </c>
      <c r="B144" s="795" t="s">
        <v>3509</v>
      </c>
      <c r="C144" s="795" t="s">
        <v>3612</v>
      </c>
      <c r="D144" s="795" t="s">
        <v>3653</v>
      </c>
      <c r="E144" s="795" t="s">
        <v>3650</v>
      </c>
      <c r="F144" s="812">
        <v>14</v>
      </c>
      <c r="G144" s="812">
        <v>17468.919999999998</v>
      </c>
      <c r="H144" s="812">
        <v>0.43749999999999994</v>
      </c>
      <c r="I144" s="812">
        <v>1247.78</v>
      </c>
      <c r="J144" s="812">
        <v>32</v>
      </c>
      <c r="K144" s="812">
        <v>39928.959999999999</v>
      </c>
      <c r="L144" s="812">
        <v>1</v>
      </c>
      <c r="M144" s="812">
        <v>1247.78</v>
      </c>
      <c r="N144" s="812">
        <v>15</v>
      </c>
      <c r="O144" s="812">
        <v>18716.699999999997</v>
      </c>
      <c r="P144" s="800">
        <v>0.46874999999999994</v>
      </c>
      <c r="Q144" s="813">
        <v>1247.7799999999997</v>
      </c>
    </row>
    <row r="145" spans="1:17" ht="14.4" customHeight="1" x14ac:dyDescent="0.3">
      <c r="A145" s="794" t="s">
        <v>591</v>
      </c>
      <c r="B145" s="795" t="s">
        <v>3509</v>
      </c>
      <c r="C145" s="795" t="s">
        <v>3612</v>
      </c>
      <c r="D145" s="795" t="s">
        <v>3654</v>
      </c>
      <c r="E145" s="795" t="s">
        <v>3650</v>
      </c>
      <c r="F145" s="812">
        <v>4</v>
      </c>
      <c r="G145" s="812">
        <v>5505.16</v>
      </c>
      <c r="H145" s="812">
        <v>0.8</v>
      </c>
      <c r="I145" s="812">
        <v>1376.29</v>
      </c>
      <c r="J145" s="812">
        <v>5</v>
      </c>
      <c r="K145" s="812">
        <v>6881.45</v>
      </c>
      <c r="L145" s="812">
        <v>1</v>
      </c>
      <c r="M145" s="812">
        <v>1376.29</v>
      </c>
      <c r="N145" s="812">
        <v>3</v>
      </c>
      <c r="O145" s="812">
        <v>4128.87</v>
      </c>
      <c r="P145" s="800">
        <v>0.6</v>
      </c>
      <c r="Q145" s="813">
        <v>1376.29</v>
      </c>
    </row>
    <row r="146" spans="1:17" ht="14.4" customHeight="1" x14ac:dyDescent="0.3">
      <c r="A146" s="794" t="s">
        <v>591</v>
      </c>
      <c r="B146" s="795" t="s">
        <v>3509</v>
      </c>
      <c r="C146" s="795" t="s">
        <v>3612</v>
      </c>
      <c r="D146" s="795" t="s">
        <v>3655</v>
      </c>
      <c r="E146" s="795" t="s">
        <v>3656</v>
      </c>
      <c r="F146" s="812">
        <v>1</v>
      </c>
      <c r="G146" s="812">
        <v>10625.84</v>
      </c>
      <c r="H146" s="812">
        <v>0.25</v>
      </c>
      <c r="I146" s="812">
        <v>10625.84</v>
      </c>
      <c r="J146" s="812">
        <v>4</v>
      </c>
      <c r="K146" s="812">
        <v>42503.360000000001</v>
      </c>
      <c r="L146" s="812">
        <v>1</v>
      </c>
      <c r="M146" s="812">
        <v>10625.84</v>
      </c>
      <c r="N146" s="812">
        <v>1</v>
      </c>
      <c r="O146" s="812">
        <v>10625.84</v>
      </c>
      <c r="P146" s="800">
        <v>0.25</v>
      </c>
      <c r="Q146" s="813">
        <v>10625.84</v>
      </c>
    </row>
    <row r="147" spans="1:17" ht="14.4" customHeight="1" x14ac:dyDescent="0.3">
      <c r="A147" s="794" t="s">
        <v>591</v>
      </c>
      <c r="B147" s="795" t="s">
        <v>3509</v>
      </c>
      <c r="C147" s="795" t="s">
        <v>3612</v>
      </c>
      <c r="D147" s="795" t="s">
        <v>3657</v>
      </c>
      <c r="E147" s="795" t="s">
        <v>3658</v>
      </c>
      <c r="F147" s="812">
        <v>8</v>
      </c>
      <c r="G147" s="812">
        <v>20516</v>
      </c>
      <c r="H147" s="812"/>
      <c r="I147" s="812">
        <v>2564.5</v>
      </c>
      <c r="J147" s="812"/>
      <c r="K147" s="812"/>
      <c r="L147" s="812"/>
      <c r="M147" s="812"/>
      <c r="N147" s="812"/>
      <c r="O147" s="812"/>
      <c r="P147" s="800"/>
      <c r="Q147" s="813"/>
    </row>
    <row r="148" spans="1:17" ht="14.4" customHeight="1" x14ac:dyDescent="0.3">
      <c r="A148" s="794" t="s">
        <v>591</v>
      </c>
      <c r="B148" s="795" t="s">
        <v>3509</v>
      </c>
      <c r="C148" s="795" t="s">
        <v>3612</v>
      </c>
      <c r="D148" s="795" t="s">
        <v>3659</v>
      </c>
      <c r="E148" s="795" t="s">
        <v>3660</v>
      </c>
      <c r="F148" s="812">
        <v>4</v>
      </c>
      <c r="G148" s="812">
        <v>7775.6</v>
      </c>
      <c r="H148" s="812"/>
      <c r="I148" s="812">
        <v>1943.9</v>
      </c>
      <c r="J148" s="812"/>
      <c r="K148" s="812"/>
      <c r="L148" s="812"/>
      <c r="M148" s="812"/>
      <c r="N148" s="812"/>
      <c r="O148" s="812"/>
      <c r="P148" s="800"/>
      <c r="Q148" s="813"/>
    </row>
    <row r="149" spans="1:17" ht="14.4" customHeight="1" x14ac:dyDescent="0.3">
      <c r="A149" s="794" t="s">
        <v>591</v>
      </c>
      <c r="B149" s="795" t="s">
        <v>3509</v>
      </c>
      <c r="C149" s="795" t="s">
        <v>3612</v>
      </c>
      <c r="D149" s="795" t="s">
        <v>3661</v>
      </c>
      <c r="E149" s="795" t="s">
        <v>3660</v>
      </c>
      <c r="F149" s="812">
        <v>4</v>
      </c>
      <c r="G149" s="812">
        <v>7775.6</v>
      </c>
      <c r="H149" s="812"/>
      <c r="I149" s="812">
        <v>1943.9</v>
      </c>
      <c r="J149" s="812"/>
      <c r="K149" s="812"/>
      <c r="L149" s="812"/>
      <c r="M149" s="812"/>
      <c r="N149" s="812"/>
      <c r="O149" s="812"/>
      <c r="P149" s="800"/>
      <c r="Q149" s="813"/>
    </row>
    <row r="150" spans="1:17" ht="14.4" customHeight="1" x14ac:dyDescent="0.3">
      <c r="A150" s="794" t="s">
        <v>591</v>
      </c>
      <c r="B150" s="795" t="s">
        <v>3509</v>
      </c>
      <c r="C150" s="795" t="s">
        <v>3612</v>
      </c>
      <c r="D150" s="795" t="s">
        <v>3662</v>
      </c>
      <c r="E150" s="795" t="s">
        <v>3663</v>
      </c>
      <c r="F150" s="812">
        <v>3</v>
      </c>
      <c r="G150" s="812">
        <v>1498.59</v>
      </c>
      <c r="H150" s="812"/>
      <c r="I150" s="812">
        <v>499.53</v>
      </c>
      <c r="J150" s="812"/>
      <c r="K150" s="812"/>
      <c r="L150" s="812"/>
      <c r="M150" s="812"/>
      <c r="N150" s="812">
        <v>7</v>
      </c>
      <c r="O150" s="812">
        <v>3496.71</v>
      </c>
      <c r="P150" s="800"/>
      <c r="Q150" s="813">
        <v>499.53000000000003</v>
      </c>
    </row>
    <row r="151" spans="1:17" ht="14.4" customHeight="1" x14ac:dyDescent="0.3">
      <c r="A151" s="794" t="s">
        <v>591</v>
      </c>
      <c r="B151" s="795" t="s">
        <v>3509</v>
      </c>
      <c r="C151" s="795" t="s">
        <v>3612</v>
      </c>
      <c r="D151" s="795" t="s">
        <v>3664</v>
      </c>
      <c r="E151" s="795" t="s">
        <v>3663</v>
      </c>
      <c r="F151" s="812">
        <v>1</v>
      </c>
      <c r="G151" s="812">
        <v>426.98</v>
      </c>
      <c r="H151" s="812"/>
      <c r="I151" s="812">
        <v>426.98</v>
      </c>
      <c r="J151" s="812"/>
      <c r="K151" s="812"/>
      <c r="L151" s="812"/>
      <c r="M151" s="812"/>
      <c r="N151" s="812"/>
      <c r="O151" s="812"/>
      <c r="P151" s="800"/>
      <c r="Q151" s="813"/>
    </row>
    <row r="152" spans="1:17" ht="14.4" customHeight="1" x14ac:dyDescent="0.3">
      <c r="A152" s="794" t="s">
        <v>591</v>
      </c>
      <c r="B152" s="795" t="s">
        <v>3509</v>
      </c>
      <c r="C152" s="795" t="s">
        <v>3612</v>
      </c>
      <c r="D152" s="795" t="s">
        <v>3665</v>
      </c>
      <c r="E152" s="795" t="s">
        <v>3666</v>
      </c>
      <c r="F152" s="812">
        <v>1</v>
      </c>
      <c r="G152" s="812">
        <v>9657.8700000000008</v>
      </c>
      <c r="H152" s="812"/>
      <c r="I152" s="812">
        <v>9657.8700000000008</v>
      </c>
      <c r="J152" s="812"/>
      <c r="K152" s="812"/>
      <c r="L152" s="812"/>
      <c r="M152" s="812"/>
      <c r="N152" s="812">
        <v>2</v>
      </c>
      <c r="O152" s="812">
        <v>19315.740000000002</v>
      </c>
      <c r="P152" s="800"/>
      <c r="Q152" s="813">
        <v>9657.8700000000008</v>
      </c>
    </row>
    <row r="153" spans="1:17" ht="14.4" customHeight="1" x14ac:dyDescent="0.3">
      <c r="A153" s="794" t="s">
        <v>591</v>
      </c>
      <c r="B153" s="795" t="s">
        <v>3509</v>
      </c>
      <c r="C153" s="795" t="s">
        <v>3612</v>
      </c>
      <c r="D153" s="795" t="s">
        <v>3667</v>
      </c>
      <c r="E153" s="795" t="s">
        <v>3634</v>
      </c>
      <c r="F153" s="812">
        <v>88</v>
      </c>
      <c r="G153" s="812">
        <v>6073.76</v>
      </c>
      <c r="H153" s="812">
        <v>1.2222222222222219</v>
      </c>
      <c r="I153" s="812">
        <v>69.02</v>
      </c>
      <c r="J153" s="812">
        <v>72</v>
      </c>
      <c r="K153" s="812">
        <v>4969.4400000000014</v>
      </c>
      <c r="L153" s="812">
        <v>1</v>
      </c>
      <c r="M153" s="812">
        <v>69.020000000000024</v>
      </c>
      <c r="N153" s="812">
        <v>58</v>
      </c>
      <c r="O153" s="812">
        <v>4003.16</v>
      </c>
      <c r="P153" s="800">
        <v>0.80555555555555525</v>
      </c>
      <c r="Q153" s="813">
        <v>69.02</v>
      </c>
    </row>
    <row r="154" spans="1:17" ht="14.4" customHeight="1" x14ac:dyDescent="0.3">
      <c r="A154" s="794" t="s">
        <v>591</v>
      </c>
      <c r="B154" s="795" t="s">
        <v>3509</v>
      </c>
      <c r="C154" s="795" t="s">
        <v>3612</v>
      </c>
      <c r="D154" s="795" t="s">
        <v>3668</v>
      </c>
      <c r="E154" s="795" t="s">
        <v>3634</v>
      </c>
      <c r="F154" s="812">
        <v>8</v>
      </c>
      <c r="G154" s="812">
        <v>679.83999999999992</v>
      </c>
      <c r="H154" s="812">
        <v>0.10126582278481013</v>
      </c>
      <c r="I154" s="812">
        <v>84.97999999999999</v>
      </c>
      <c r="J154" s="812">
        <v>79</v>
      </c>
      <c r="K154" s="812">
        <v>6713.4199999999992</v>
      </c>
      <c r="L154" s="812">
        <v>1</v>
      </c>
      <c r="M154" s="812">
        <v>84.97999999999999</v>
      </c>
      <c r="N154" s="812">
        <v>13</v>
      </c>
      <c r="O154" s="812">
        <v>1104.74</v>
      </c>
      <c r="P154" s="800">
        <v>0.16455696202531647</v>
      </c>
      <c r="Q154" s="813">
        <v>84.98</v>
      </c>
    </row>
    <row r="155" spans="1:17" ht="14.4" customHeight="1" x14ac:dyDescent="0.3">
      <c r="A155" s="794" t="s">
        <v>591</v>
      </c>
      <c r="B155" s="795" t="s">
        <v>3509</v>
      </c>
      <c r="C155" s="795" t="s">
        <v>3612</v>
      </c>
      <c r="D155" s="795" t="s">
        <v>3669</v>
      </c>
      <c r="E155" s="795" t="s">
        <v>3670</v>
      </c>
      <c r="F155" s="812">
        <v>20</v>
      </c>
      <c r="G155" s="812">
        <v>14260.399999999998</v>
      </c>
      <c r="H155" s="812">
        <v>2.4999999999999996</v>
      </c>
      <c r="I155" s="812">
        <v>713.01999999999987</v>
      </c>
      <c r="J155" s="812">
        <v>8</v>
      </c>
      <c r="K155" s="812">
        <v>5704.16</v>
      </c>
      <c r="L155" s="812">
        <v>1</v>
      </c>
      <c r="M155" s="812">
        <v>713.02</v>
      </c>
      <c r="N155" s="812">
        <v>1</v>
      </c>
      <c r="O155" s="812">
        <v>713.02</v>
      </c>
      <c r="P155" s="800">
        <v>0.125</v>
      </c>
      <c r="Q155" s="813">
        <v>713.02</v>
      </c>
    </row>
    <row r="156" spans="1:17" ht="14.4" customHeight="1" x14ac:dyDescent="0.3">
      <c r="A156" s="794" t="s">
        <v>591</v>
      </c>
      <c r="B156" s="795" t="s">
        <v>3509</v>
      </c>
      <c r="C156" s="795" t="s">
        <v>3612</v>
      </c>
      <c r="D156" s="795" t="s">
        <v>3671</v>
      </c>
      <c r="E156" s="795" t="s">
        <v>3672</v>
      </c>
      <c r="F156" s="812">
        <v>32</v>
      </c>
      <c r="G156" s="812">
        <v>7362.2400000000007</v>
      </c>
      <c r="H156" s="812">
        <v>2.6666666666666674</v>
      </c>
      <c r="I156" s="812">
        <v>230.07000000000002</v>
      </c>
      <c r="J156" s="812">
        <v>12</v>
      </c>
      <c r="K156" s="812">
        <v>2760.8399999999997</v>
      </c>
      <c r="L156" s="812">
        <v>1</v>
      </c>
      <c r="M156" s="812">
        <v>230.06999999999996</v>
      </c>
      <c r="N156" s="812">
        <v>27</v>
      </c>
      <c r="O156" s="812">
        <v>6211.8899999999994</v>
      </c>
      <c r="P156" s="800">
        <v>2.25</v>
      </c>
      <c r="Q156" s="813">
        <v>230.06999999999996</v>
      </c>
    </row>
    <row r="157" spans="1:17" ht="14.4" customHeight="1" x14ac:dyDescent="0.3">
      <c r="A157" s="794" t="s">
        <v>591</v>
      </c>
      <c r="B157" s="795" t="s">
        <v>3509</v>
      </c>
      <c r="C157" s="795" t="s">
        <v>3612</v>
      </c>
      <c r="D157" s="795" t="s">
        <v>3673</v>
      </c>
      <c r="E157" s="795" t="s">
        <v>3674</v>
      </c>
      <c r="F157" s="812">
        <v>1</v>
      </c>
      <c r="G157" s="812">
        <v>123.33</v>
      </c>
      <c r="H157" s="812"/>
      <c r="I157" s="812">
        <v>123.33</v>
      </c>
      <c r="J157" s="812"/>
      <c r="K157" s="812"/>
      <c r="L157" s="812"/>
      <c r="M157" s="812"/>
      <c r="N157" s="812"/>
      <c r="O157" s="812"/>
      <c r="P157" s="800"/>
      <c r="Q157" s="813"/>
    </row>
    <row r="158" spans="1:17" ht="14.4" customHeight="1" x14ac:dyDescent="0.3">
      <c r="A158" s="794" t="s">
        <v>591</v>
      </c>
      <c r="B158" s="795" t="s">
        <v>3509</v>
      </c>
      <c r="C158" s="795" t="s">
        <v>3612</v>
      </c>
      <c r="D158" s="795" t="s">
        <v>3675</v>
      </c>
      <c r="E158" s="795" t="s">
        <v>3676</v>
      </c>
      <c r="F158" s="812">
        <v>3</v>
      </c>
      <c r="G158" s="812">
        <v>652.91999999999996</v>
      </c>
      <c r="H158" s="812"/>
      <c r="I158" s="812">
        <v>217.64</v>
      </c>
      <c r="J158" s="812"/>
      <c r="K158" s="812"/>
      <c r="L158" s="812"/>
      <c r="M158" s="812"/>
      <c r="N158" s="812">
        <v>2</v>
      </c>
      <c r="O158" s="812">
        <v>435.28</v>
      </c>
      <c r="P158" s="800"/>
      <c r="Q158" s="813">
        <v>217.64</v>
      </c>
    </row>
    <row r="159" spans="1:17" ht="14.4" customHeight="1" x14ac:dyDescent="0.3">
      <c r="A159" s="794" t="s">
        <v>591</v>
      </c>
      <c r="B159" s="795" t="s">
        <v>3509</v>
      </c>
      <c r="C159" s="795" t="s">
        <v>3612</v>
      </c>
      <c r="D159" s="795" t="s">
        <v>3677</v>
      </c>
      <c r="E159" s="795" t="s">
        <v>3676</v>
      </c>
      <c r="F159" s="812">
        <v>1</v>
      </c>
      <c r="G159" s="812">
        <v>265.31</v>
      </c>
      <c r="H159" s="812">
        <v>1</v>
      </c>
      <c r="I159" s="812">
        <v>265.31</v>
      </c>
      <c r="J159" s="812">
        <v>1</v>
      </c>
      <c r="K159" s="812">
        <v>265.31</v>
      </c>
      <c r="L159" s="812">
        <v>1</v>
      </c>
      <c r="M159" s="812">
        <v>265.31</v>
      </c>
      <c r="N159" s="812">
        <v>2</v>
      </c>
      <c r="O159" s="812">
        <v>530.62</v>
      </c>
      <c r="P159" s="800">
        <v>2</v>
      </c>
      <c r="Q159" s="813">
        <v>265.31</v>
      </c>
    </row>
    <row r="160" spans="1:17" ht="14.4" customHeight="1" x14ac:dyDescent="0.3">
      <c r="A160" s="794" t="s">
        <v>591</v>
      </c>
      <c r="B160" s="795" t="s">
        <v>3509</v>
      </c>
      <c r="C160" s="795" t="s">
        <v>3612</v>
      </c>
      <c r="D160" s="795" t="s">
        <v>3678</v>
      </c>
      <c r="E160" s="795" t="s">
        <v>3679</v>
      </c>
      <c r="F160" s="812">
        <v>8</v>
      </c>
      <c r="G160" s="812">
        <v>4145.4399999999996</v>
      </c>
      <c r="H160" s="812">
        <v>1.1428571428571428</v>
      </c>
      <c r="I160" s="812">
        <v>518.17999999999995</v>
      </c>
      <c r="J160" s="812">
        <v>7</v>
      </c>
      <c r="K160" s="812">
        <v>3627.2599999999998</v>
      </c>
      <c r="L160" s="812">
        <v>1</v>
      </c>
      <c r="M160" s="812">
        <v>518.17999999999995</v>
      </c>
      <c r="N160" s="812">
        <v>6</v>
      </c>
      <c r="O160" s="812">
        <v>3109.08</v>
      </c>
      <c r="P160" s="800">
        <v>0.85714285714285721</v>
      </c>
      <c r="Q160" s="813">
        <v>518.17999999999995</v>
      </c>
    </row>
    <row r="161" spans="1:17" ht="14.4" customHeight="1" x14ac:dyDescent="0.3">
      <c r="A161" s="794" t="s">
        <v>591</v>
      </c>
      <c r="B161" s="795" t="s">
        <v>3509</v>
      </c>
      <c r="C161" s="795" t="s">
        <v>3612</v>
      </c>
      <c r="D161" s="795" t="s">
        <v>3680</v>
      </c>
      <c r="E161" s="795" t="s">
        <v>3681</v>
      </c>
      <c r="F161" s="812"/>
      <c r="G161" s="812"/>
      <c r="H161" s="812"/>
      <c r="I161" s="812"/>
      <c r="J161" s="812"/>
      <c r="K161" s="812"/>
      <c r="L161" s="812"/>
      <c r="M161" s="812"/>
      <c r="N161" s="812">
        <v>4</v>
      </c>
      <c r="O161" s="812">
        <v>4137.16</v>
      </c>
      <c r="P161" s="800"/>
      <c r="Q161" s="813">
        <v>1034.29</v>
      </c>
    </row>
    <row r="162" spans="1:17" ht="14.4" customHeight="1" x14ac:dyDescent="0.3">
      <c r="A162" s="794" t="s">
        <v>591</v>
      </c>
      <c r="B162" s="795" t="s">
        <v>3509</v>
      </c>
      <c r="C162" s="795" t="s">
        <v>3612</v>
      </c>
      <c r="D162" s="795" t="s">
        <v>3682</v>
      </c>
      <c r="E162" s="795" t="s">
        <v>3632</v>
      </c>
      <c r="F162" s="812"/>
      <c r="G162" s="812"/>
      <c r="H162" s="812"/>
      <c r="I162" s="812"/>
      <c r="J162" s="812"/>
      <c r="K162" s="812"/>
      <c r="L162" s="812"/>
      <c r="M162" s="812"/>
      <c r="N162" s="812">
        <v>0.3</v>
      </c>
      <c r="O162" s="812">
        <v>27.36</v>
      </c>
      <c r="P162" s="800"/>
      <c r="Q162" s="813">
        <v>91.2</v>
      </c>
    </row>
    <row r="163" spans="1:17" ht="14.4" customHeight="1" x14ac:dyDescent="0.3">
      <c r="A163" s="794" t="s">
        <v>591</v>
      </c>
      <c r="B163" s="795" t="s">
        <v>3509</v>
      </c>
      <c r="C163" s="795" t="s">
        <v>3612</v>
      </c>
      <c r="D163" s="795" t="s">
        <v>3683</v>
      </c>
      <c r="E163" s="795" t="s">
        <v>3634</v>
      </c>
      <c r="F163" s="812"/>
      <c r="G163" s="812"/>
      <c r="H163" s="812"/>
      <c r="I163" s="812"/>
      <c r="J163" s="812">
        <v>6</v>
      </c>
      <c r="K163" s="812">
        <v>578.28</v>
      </c>
      <c r="L163" s="812">
        <v>1</v>
      </c>
      <c r="M163" s="812">
        <v>96.38</v>
      </c>
      <c r="N163" s="812">
        <v>6</v>
      </c>
      <c r="O163" s="812">
        <v>578.28</v>
      </c>
      <c r="P163" s="800">
        <v>1</v>
      </c>
      <c r="Q163" s="813">
        <v>96.38</v>
      </c>
    </row>
    <row r="164" spans="1:17" ht="14.4" customHeight="1" x14ac:dyDescent="0.3">
      <c r="A164" s="794" t="s">
        <v>591</v>
      </c>
      <c r="B164" s="795" t="s">
        <v>3509</v>
      </c>
      <c r="C164" s="795" t="s">
        <v>3612</v>
      </c>
      <c r="D164" s="795" t="s">
        <v>3684</v>
      </c>
      <c r="E164" s="795" t="s">
        <v>3634</v>
      </c>
      <c r="F164" s="812">
        <v>13</v>
      </c>
      <c r="G164" s="812">
        <v>1576.25</v>
      </c>
      <c r="H164" s="812">
        <v>1.625</v>
      </c>
      <c r="I164" s="812">
        <v>121.25</v>
      </c>
      <c r="J164" s="812">
        <v>8</v>
      </c>
      <c r="K164" s="812">
        <v>970</v>
      </c>
      <c r="L164" s="812">
        <v>1</v>
      </c>
      <c r="M164" s="812">
        <v>121.25</v>
      </c>
      <c r="N164" s="812">
        <v>4</v>
      </c>
      <c r="O164" s="812">
        <v>485</v>
      </c>
      <c r="P164" s="800">
        <v>0.5</v>
      </c>
      <c r="Q164" s="813">
        <v>121.25</v>
      </c>
    </row>
    <row r="165" spans="1:17" ht="14.4" customHeight="1" x14ac:dyDescent="0.3">
      <c r="A165" s="794" t="s">
        <v>591</v>
      </c>
      <c r="B165" s="795" t="s">
        <v>3509</v>
      </c>
      <c r="C165" s="795" t="s">
        <v>3612</v>
      </c>
      <c r="D165" s="795" t="s">
        <v>3685</v>
      </c>
      <c r="E165" s="795" t="s">
        <v>3634</v>
      </c>
      <c r="F165" s="812"/>
      <c r="G165" s="812"/>
      <c r="H165" s="812"/>
      <c r="I165" s="812"/>
      <c r="J165" s="812"/>
      <c r="K165" s="812"/>
      <c r="L165" s="812"/>
      <c r="M165" s="812"/>
      <c r="N165" s="812">
        <v>1</v>
      </c>
      <c r="O165" s="812">
        <v>103.64</v>
      </c>
      <c r="P165" s="800"/>
      <c r="Q165" s="813">
        <v>103.64</v>
      </c>
    </row>
    <row r="166" spans="1:17" ht="14.4" customHeight="1" x14ac:dyDescent="0.3">
      <c r="A166" s="794" t="s">
        <v>591</v>
      </c>
      <c r="B166" s="795" t="s">
        <v>3509</v>
      </c>
      <c r="C166" s="795" t="s">
        <v>3612</v>
      </c>
      <c r="D166" s="795" t="s">
        <v>3686</v>
      </c>
      <c r="E166" s="795" t="s">
        <v>3634</v>
      </c>
      <c r="F166" s="812"/>
      <c r="G166" s="812"/>
      <c r="H166" s="812"/>
      <c r="I166" s="812"/>
      <c r="J166" s="812">
        <v>5</v>
      </c>
      <c r="K166" s="812">
        <v>570</v>
      </c>
      <c r="L166" s="812">
        <v>1</v>
      </c>
      <c r="M166" s="812">
        <v>114</v>
      </c>
      <c r="N166" s="812"/>
      <c r="O166" s="812"/>
      <c r="P166" s="800"/>
      <c r="Q166" s="813"/>
    </row>
    <row r="167" spans="1:17" ht="14.4" customHeight="1" x14ac:dyDescent="0.3">
      <c r="A167" s="794" t="s">
        <v>591</v>
      </c>
      <c r="B167" s="795" t="s">
        <v>3509</v>
      </c>
      <c r="C167" s="795" t="s">
        <v>3612</v>
      </c>
      <c r="D167" s="795" t="s">
        <v>3687</v>
      </c>
      <c r="E167" s="795" t="s">
        <v>3634</v>
      </c>
      <c r="F167" s="812">
        <v>2</v>
      </c>
      <c r="G167" s="812">
        <v>344.08</v>
      </c>
      <c r="H167" s="812"/>
      <c r="I167" s="812">
        <v>172.04</v>
      </c>
      <c r="J167" s="812"/>
      <c r="K167" s="812"/>
      <c r="L167" s="812"/>
      <c r="M167" s="812"/>
      <c r="N167" s="812"/>
      <c r="O167" s="812"/>
      <c r="P167" s="800"/>
      <c r="Q167" s="813"/>
    </row>
    <row r="168" spans="1:17" ht="14.4" customHeight="1" x14ac:dyDescent="0.3">
      <c r="A168" s="794" t="s">
        <v>591</v>
      </c>
      <c r="B168" s="795" t="s">
        <v>3509</v>
      </c>
      <c r="C168" s="795" t="s">
        <v>3612</v>
      </c>
      <c r="D168" s="795" t="s">
        <v>3688</v>
      </c>
      <c r="E168" s="795" t="s">
        <v>3634</v>
      </c>
      <c r="F168" s="812">
        <v>45</v>
      </c>
      <c r="G168" s="812">
        <v>4057.2000000000003</v>
      </c>
      <c r="H168" s="812">
        <v>2.8125000000000004</v>
      </c>
      <c r="I168" s="812">
        <v>90.160000000000011</v>
      </c>
      <c r="J168" s="812">
        <v>16</v>
      </c>
      <c r="K168" s="812">
        <v>1442.56</v>
      </c>
      <c r="L168" s="812">
        <v>1</v>
      </c>
      <c r="M168" s="812">
        <v>90.16</v>
      </c>
      <c r="N168" s="812">
        <v>59</v>
      </c>
      <c r="O168" s="812">
        <v>5319.44</v>
      </c>
      <c r="P168" s="800">
        <v>3.6875</v>
      </c>
      <c r="Q168" s="813">
        <v>90.16</v>
      </c>
    </row>
    <row r="169" spans="1:17" ht="14.4" customHeight="1" x14ac:dyDescent="0.3">
      <c r="A169" s="794" t="s">
        <v>591</v>
      </c>
      <c r="B169" s="795" t="s">
        <v>3509</v>
      </c>
      <c r="C169" s="795" t="s">
        <v>3612</v>
      </c>
      <c r="D169" s="795" t="s">
        <v>3689</v>
      </c>
      <c r="E169" s="795" t="s">
        <v>3690</v>
      </c>
      <c r="F169" s="812">
        <v>2</v>
      </c>
      <c r="G169" s="812">
        <v>8904.1200000000008</v>
      </c>
      <c r="H169" s="812">
        <v>2</v>
      </c>
      <c r="I169" s="812">
        <v>4452.0600000000004</v>
      </c>
      <c r="J169" s="812">
        <v>1</v>
      </c>
      <c r="K169" s="812">
        <v>4452.0600000000004</v>
      </c>
      <c r="L169" s="812">
        <v>1</v>
      </c>
      <c r="M169" s="812">
        <v>4452.0600000000004</v>
      </c>
      <c r="N169" s="812">
        <v>1</v>
      </c>
      <c r="O169" s="812">
        <v>4452.0600000000004</v>
      </c>
      <c r="P169" s="800">
        <v>1</v>
      </c>
      <c r="Q169" s="813">
        <v>4452.0600000000004</v>
      </c>
    </row>
    <row r="170" spans="1:17" ht="14.4" customHeight="1" x14ac:dyDescent="0.3">
      <c r="A170" s="794" t="s">
        <v>591</v>
      </c>
      <c r="B170" s="795" t="s">
        <v>3509</v>
      </c>
      <c r="C170" s="795" t="s">
        <v>3612</v>
      </c>
      <c r="D170" s="795" t="s">
        <v>3691</v>
      </c>
      <c r="E170" s="795" t="s">
        <v>3692</v>
      </c>
      <c r="F170" s="812"/>
      <c r="G170" s="812"/>
      <c r="H170" s="812"/>
      <c r="I170" s="812"/>
      <c r="J170" s="812">
        <v>1</v>
      </c>
      <c r="K170" s="812">
        <v>4902</v>
      </c>
      <c r="L170" s="812">
        <v>1</v>
      </c>
      <c r="M170" s="812">
        <v>4902</v>
      </c>
      <c r="N170" s="812">
        <v>3</v>
      </c>
      <c r="O170" s="812">
        <v>14706</v>
      </c>
      <c r="P170" s="800">
        <v>3</v>
      </c>
      <c r="Q170" s="813">
        <v>4902</v>
      </c>
    </row>
    <row r="171" spans="1:17" ht="14.4" customHeight="1" x14ac:dyDescent="0.3">
      <c r="A171" s="794" t="s">
        <v>591</v>
      </c>
      <c r="B171" s="795" t="s">
        <v>3509</v>
      </c>
      <c r="C171" s="795" t="s">
        <v>3612</v>
      </c>
      <c r="D171" s="795" t="s">
        <v>3693</v>
      </c>
      <c r="E171" s="795" t="s">
        <v>3694</v>
      </c>
      <c r="F171" s="812">
        <v>2</v>
      </c>
      <c r="G171" s="812">
        <v>9980</v>
      </c>
      <c r="H171" s="812">
        <v>2</v>
      </c>
      <c r="I171" s="812">
        <v>4990</v>
      </c>
      <c r="J171" s="812">
        <v>1</v>
      </c>
      <c r="K171" s="812">
        <v>4990</v>
      </c>
      <c r="L171" s="812">
        <v>1</v>
      </c>
      <c r="M171" s="812">
        <v>4990</v>
      </c>
      <c r="N171" s="812">
        <v>4</v>
      </c>
      <c r="O171" s="812">
        <v>19960</v>
      </c>
      <c r="P171" s="800">
        <v>4</v>
      </c>
      <c r="Q171" s="813">
        <v>4990</v>
      </c>
    </row>
    <row r="172" spans="1:17" ht="14.4" customHeight="1" x14ac:dyDescent="0.3">
      <c r="A172" s="794" t="s">
        <v>591</v>
      </c>
      <c r="B172" s="795" t="s">
        <v>3509</v>
      </c>
      <c r="C172" s="795" t="s">
        <v>3612</v>
      </c>
      <c r="D172" s="795" t="s">
        <v>3695</v>
      </c>
      <c r="E172" s="795" t="s">
        <v>3696</v>
      </c>
      <c r="F172" s="812"/>
      <c r="G172" s="812"/>
      <c r="H172" s="812"/>
      <c r="I172" s="812"/>
      <c r="J172" s="812"/>
      <c r="K172" s="812"/>
      <c r="L172" s="812"/>
      <c r="M172" s="812"/>
      <c r="N172" s="812">
        <v>2</v>
      </c>
      <c r="O172" s="812">
        <v>2972.3</v>
      </c>
      <c r="P172" s="800"/>
      <c r="Q172" s="813">
        <v>1486.15</v>
      </c>
    </row>
    <row r="173" spans="1:17" ht="14.4" customHeight="1" x14ac:dyDescent="0.3">
      <c r="A173" s="794" t="s">
        <v>591</v>
      </c>
      <c r="B173" s="795" t="s">
        <v>3509</v>
      </c>
      <c r="C173" s="795" t="s">
        <v>3612</v>
      </c>
      <c r="D173" s="795" t="s">
        <v>3697</v>
      </c>
      <c r="E173" s="795" t="s">
        <v>3698</v>
      </c>
      <c r="F173" s="812"/>
      <c r="G173" s="812"/>
      <c r="H173" s="812"/>
      <c r="I173" s="812"/>
      <c r="J173" s="812"/>
      <c r="K173" s="812"/>
      <c r="L173" s="812"/>
      <c r="M173" s="812"/>
      <c r="N173" s="812">
        <v>2</v>
      </c>
      <c r="O173" s="812">
        <v>5832.66</v>
      </c>
      <c r="P173" s="800"/>
      <c r="Q173" s="813">
        <v>2916.33</v>
      </c>
    </row>
    <row r="174" spans="1:17" ht="14.4" customHeight="1" x14ac:dyDescent="0.3">
      <c r="A174" s="794" t="s">
        <v>591</v>
      </c>
      <c r="B174" s="795" t="s">
        <v>3509</v>
      </c>
      <c r="C174" s="795" t="s">
        <v>3612</v>
      </c>
      <c r="D174" s="795" t="s">
        <v>3699</v>
      </c>
      <c r="E174" s="795" t="s">
        <v>3700</v>
      </c>
      <c r="F174" s="812">
        <v>1</v>
      </c>
      <c r="G174" s="812">
        <v>2834.45</v>
      </c>
      <c r="H174" s="812"/>
      <c r="I174" s="812">
        <v>2834.45</v>
      </c>
      <c r="J174" s="812"/>
      <c r="K174" s="812"/>
      <c r="L174" s="812"/>
      <c r="M174" s="812"/>
      <c r="N174" s="812">
        <v>1</v>
      </c>
      <c r="O174" s="812">
        <v>2834.45</v>
      </c>
      <c r="P174" s="800"/>
      <c r="Q174" s="813">
        <v>2834.45</v>
      </c>
    </row>
    <row r="175" spans="1:17" ht="14.4" customHeight="1" x14ac:dyDescent="0.3">
      <c r="A175" s="794" t="s">
        <v>591</v>
      </c>
      <c r="B175" s="795" t="s">
        <v>3509</v>
      </c>
      <c r="C175" s="795" t="s">
        <v>3612</v>
      </c>
      <c r="D175" s="795" t="s">
        <v>3701</v>
      </c>
      <c r="E175" s="795" t="s">
        <v>3700</v>
      </c>
      <c r="F175" s="812">
        <v>1</v>
      </c>
      <c r="G175" s="812">
        <v>4301.95</v>
      </c>
      <c r="H175" s="812"/>
      <c r="I175" s="812">
        <v>4301.95</v>
      </c>
      <c r="J175" s="812"/>
      <c r="K175" s="812"/>
      <c r="L175" s="812"/>
      <c r="M175" s="812"/>
      <c r="N175" s="812"/>
      <c r="O175" s="812"/>
      <c r="P175" s="800"/>
      <c r="Q175" s="813"/>
    </row>
    <row r="176" spans="1:17" ht="14.4" customHeight="1" x14ac:dyDescent="0.3">
      <c r="A176" s="794" t="s">
        <v>591</v>
      </c>
      <c r="B176" s="795" t="s">
        <v>3509</v>
      </c>
      <c r="C176" s="795" t="s">
        <v>3612</v>
      </c>
      <c r="D176" s="795" t="s">
        <v>3702</v>
      </c>
      <c r="E176" s="795" t="s">
        <v>3703</v>
      </c>
      <c r="F176" s="812">
        <v>4</v>
      </c>
      <c r="G176" s="812">
        <v>4991.12</v>
      </c>
      <c r="H176" s="812"/>
      <c r="I176" s="812">
        <v>1247.78</v>
      </c>
      <c r="J176" s="812"/>
      <c r="K176" s="812"/>
      <c r="L176" s="812"/>
      <c r="M176" s="812"/>
      <c r="N176" s="812">
        <v>7</v>
      </c>
      <c r="O176" s="812">
        <v>8734.4600000000009</v>
      </c>
      <c r="P176" s="800"/>
      <c r="Q176" s="813">
        <v>1247.7800000000002</v>
      </c>
    </row>
    <row r="177" spans="1:17" ht="14.4" customHeight="1" x14ac:dyDescent="0.3">
      <c r="A177" s="794" t="s">
        <v>591</v>
      </c>
      <c r="B177" s="795" t="s">
        <v>3509</v>
      </c>
      <c r="C177" s="795" t="s">
        <v>3612</v>
      </c>
      <c r="D177" s="795" t="s">
        <v>3704</v>
      </c>
      <c r="E177" s="795" t="s">
        <v>3703</v>
      </c>
      <c r="F177" s="812">
        <v>4</v>
      </c>
      <c r="G177" s="812">
        <v>5687.56</v>
      </c>
      <c r="H177" s="812">
        <v>0.25</v>
      </c>
      <c r="I177" s="812">
        <v>1421.89</v>
      </c>
      <c r="J177" s="812">
        <v>16</v>
      </c>
      <c r="K177" s="812">
        <v>22750.240000000002</v>
      </c>
      <c r="L177" s="812">
        <v>1</v>
      </c>
      <c r="M177" s="812">
        <v>1421.89</v>
      </c>
      <c r="N177" s="812">
        <v>18</v>
      </c>
      <c r="O177" s="812">
        <v>25594.02</v>
      </c>
      <c r="P177" s="800">
        <v>1.125</v>
      </c>
      <c r="Q177" s="813">
        <v>1421.89</v>
      </c>
    </row>
    <row r="178" spans="1:17" ht="14.4" customHeight="1" x14ac:dyDescent="0.3">
      <c r="A178" s="794" t="s">
        <v>591</v>
      </c>
      <c r="B178" s="795" t="s">
        <v>3509</v>
      </c>
      <c r="C178" s="795" t="s">
        <v>3612</v>
      </c>
      <c r="D178" s="795" t="s">
        <v>3705</v>
      </c>
      <c r="E178" s="795" t="s">
        <v>3703</v>
      </c>
      <c r="F178" s="812">
        <v>6</v>
      </c>
      <c r="G178" s="812">
        <v>9936.66</v>
      </c>
      <c r="H178" s="812">
        <v>3</v>
      </c>
      <c r="I178" s="812">
        <v>1656.11</v>
      </c>
      <c r="J178" s="812">
        <v>2</v>
      </c>
      <c r="K178" s="812">
        <v>3312.22</v>
      </c>
      <c r="L178" s="812">
        <v>1</v>
      </c>
      <c r="M178" s="812">
        <v>1656.11</v>
      </c>
      <c r="N178" s="812">
        <v>4</v>
      </c>
      <c r="O178" s="812">
        <v>6624.44</v>
      </c>
      <c r="P178" s="800">
        <v>2</v>
      </c>
      <c r="Q178" s="813">
        <v>1656.11</v>
      </c>
    </row>
    <row r="179" spans="1:17" ht="14.4" customHeight="1" x14ac:dyDescent="0.3">
      <c r="A179" s="794" t="s">
        <v>591</v>
      </c>
      <c r="B179" s="795" t="s">
        <v>3509</v>
      </c>
      <c r="C179" s="795" t="s">
        <v>3612</v>
      </c>
      <c r="D179" s="795" t="s">
        <v>3706</v>
      </c>
      <c r="E179" s="795" t="s">
        <v>3707</v>
      </c>
      <c r="F179" s="812">
        <v>12</v>
      </c>
      <c r="G179" s="812">
        <v>17037.84</v>
      </c>
      <c r="H179" s="812">
        <v>0.46153846153846156</v>
      </c>
      <c r="I179" s="812">
        <v>1419.82</v>
      </c>
      <c r="J179" s="812">
        <v>26</v>
      </c>
      <c r="K179" s="812">
        <v>36915.32</v>
      </c>
      <c r="L179" s="812">
        <v>1</v>
      </c>
      <c r="M179" s="812">
        <v>1419.82</v>
      </c>
      <c r="N179" s="812">
        <v>14</v>
      </c>
      <c r="O179" s="812">
        <v>19877.48</v>
      </c>
      <c r="P179" s="800">
        <v>0.53846153846153844</v>
      </c>
      <c r="Q179" s="813">
        <v>1419.82</v>
      </c>
    </row>
    <row r="180" spans="1:17" ht="14.4" customHeight="1" x14ac:dyDescent="0.3">
      <c r="A180" s="794" t="s">
        <v>591</v>
      </c>
      <c r="B180" s="795" t="s">
        <v>3509</v>
      </c>
      <c r="C180" s="795" t="s">
        <v>3612</v>
      </c>
      <c r="D180" s="795" t="s">
        <v>3708</v>
      </c>
      <c r="E180" s="795" t="s">
        <v>3707</v>
      </c>
      <c r="F180" s="812">
        <v>15</v>
      </c>
      <c r="G180" s="812">
        <v>23209.350000000002</v>
      </c>
      <c r="H180" s="812">
        <v>1.363636363636364</v>
      </c>
      <c r="I180" s="812">
        <v>1547.2900000000002</v>
      </c>
      <c r="J180" s="812">
        <v>11</v>
      </c>
      <c r="K180" s="812">
        <v>17020.189999999999</v>
      </c>
      <c r="L180" s="812">
        <v>1</v>
      </c>
      <c r="M180" s="812">
        <v>1547.29</v>
      </c>
      <c r="N180" s="812">
        <v>16</v>
      </c>
      <c r="O180" s="812">
        <v>24756.640000000003</v>
      </c>
      <c r="P180" s="800">
        <v>1.4545454545454548</v>
      </c>
      <c r="Q180" s="813">
        <v>1547.2900000000002</v>
      </c>
    </row>
    <row r="181" spans="1:17" ht="14.4" customHeight="1" x14ac:dyDescent="0.3">
      <c r="A181" s="794" t="s">
        <v>591</v>
      </c>
      <c r="B181" s="795" t="s">
        <v>3509</v>
      </c>
      <c r="C181" s="795" t="s">
        <v>3612</v>
      </c>
      <c r="D181" s="795" t="s">
        <v>3709</v>
      </c>
      <c r="E181" s="795" t="s">
        <v>3707</v>
      </c>
      <c r="F181" s="812"/>
      <c r="G181" s="812"/>
      <c r="H181" s="812"/>
      <c r="I181" s="812"/>
      <c r="J181" s="812">
        <v>3</v>
      </c>
      <c r="K181" s="812">
        <v>4934.13</v>
      </c>
      <c r="L181" s="812">
        <v>1</v>
      </c>
      <c r="M181" s="812">
        <v>1644.71</v>
      </c>
      <c r="N181" s="812">
        <v>2</v>
      </c>
      <c r="O181" s="812">
        <v>3289.42</v>
      </c>
      <c r="P181" s="800">
        <v>0.66666666666666663</v>
      </c>
      <c r="Q181" s="813">
        <v>1644.71</v>
      </c>
    </row>
    <row r="182" spans="1:17" ht="14.4" customHeight="1" x14ac:dyDescent="0.3">
      <c r="A182" s="794" t="s">
        <v>591</v>
      </c>
      <c r="B182" s="795" t="s">
        <v>3509</v>
      </c>
      <c r="C182" s="795" t="s">
        <v>3612</v>
      </c>
      <c r="D182" s="795" t="s">
        <v>3710</v>
      </c>
      <c r="E182" s="795" t="s">
        <v>3711</v>
      </c>
      <c r="F182" s="812">
        <v>19</v>
      </c>
      <c r="G182" s="812">
        <v>14996.509999999998</v>
      </c>
      <c r="H182" s="812">
        <v>0.7599999999999999</v>
      </c>
      <c r="I182" s="812">
        <v>789.29</v>
      </c>
      <c r="J182" s="812">
        <v>25</v>
      </c>
      <c r="K182" s="812">
        <v>19732.25</v>
      </c>
      <c r="L182" s="812">
        <v>1</v>
      </c>
      <c r="M182" s="812">
        <v>789.29</v>
      </c>
      <c r="N182" s="812">
        <v>41</v>
      </c>
      <c r="O182" s="812">
        <v>32360.89</v>
      </c>
      <c r="P182" s="800">
        <v>1.64</v>
      </c>
      <c r="Q182" s="813">
        <v>789.29</v>
      </c>
    </row>
    <row r="183" spans="1:17" ht="14.4" customHeight="1" x14ac:dyDescent="0.3">
      <c r="A183" s="794" t="s">
        <v>591</v>
      </c>
      <c r="B183" s="795" t="s">
        <v>3509</v>
      </c>
      <c r="C183" s="795" t="s">
        <v>3612</v>
      </c>
      <c r="D183" s="795" t="s">
        <v>3712</v>
      </c>
      <c r="E183" s="795" t="s">
        <v>3713</v>
      </c>
      <c r="F183" s="812">
        <v>1</v>
      </c>
      <c r="G183" s="812">
        <v>2603.5500000000002</v>
      </c>
      <c r="H183" s="812">
        <v>1</v>
      </c>
      <c r="I183" s="812">
        <v>2603.5500000000002</v>
      </c>
      <c r="J183" s="812">
        <v>1</v>
      </c>
      <c r="K183" s="812">
        <v>2603.5500000000002</v>
      </c>
      <c r="L183" s="812">
        <v>1</v>
      </c>
      <c r="M183" s="812">
        <v>2603.5500000000002</v>
      </c>
      <c r="N183" s="812"/>
      <c r="O183" s="812"/>
      <c r="P183" s="800"/>
      <c r="Q183" s="813"/>
    </row>
    <row r="184" spans="1:17" ht="14.4" customHeight="1" x14ac:dyDescent="0.3">
      <c r="A184" s="794" t="s">
        <v>591</v>
      </c>
      <c r="B184" s="795" t="s">
        <v>3509</v>
      </c>
      <c r="C184" s="795" t="s">
        <v>3612</v>
      </c>
      <c r="D184" s="795" t="s">
        <v>3714</v>
      </c>
      <c r="E184" s="795" t="s">
        <v>3715</v>
      </c>
      <c r="F184" s="812">
        <v>2</v>
      </c>
      <c r="G184" s="812">
        <v>16445.02</v>
      </c>
      <c r="H184" s="812">
        <v>0.39999999999999997</v>
      </c>
      <c r="I184" s="812">
        <v>8222.51</v>
      </c>
      <c r="J184" s="812">
        <v>5</v>
      </c>
      <c r="K184" s="812">
        <v>41112.550000000003</v>
      </c>
      <c r="L184" s="812">
        <v>1</v>
      </c>
      <c r="M184" s="812">
        <v>8222.51</v>
      </c>
      <c r="N184" s="812">
        <v>2</v>
      </c>
      <c r="O184" s="812">
        <v>16445.02</v>
      </c>
      <c r="P184" s="800">
        <v>0.39999999999999997</v>
      </c>
      <c r="Q184" s="813">
        <v>8222.51</v>
      </c>
    </row>
    <row r="185" spans="1:17" ht="14.4" customHeight="1" x14ac:dyDescent="0.3">
      <c r="A185" s="794" t="s">
        <v>591</v>
      </c>
      <c r="B185" s="795" t="s">
        <v>3509</v>
      </c>
      <c r="C185" s="795" t="s">
        <v>3612</v>
      </c>
      <c r="D185" s="795" t="s">
        <v>3716</v>
      </c>
      <c r="E185" s="795" t="s">
        <v>3707</v>
      </c>
      <c r="F185" s="812">
        <v>10</v>
      </c>
      <c r="G185" s="812">
        <v>12747.3</v>
      </c>
      <c r="H185" s="812">
        <v>0.5</v>
      </c>
      <c r="I185" s="812">
        <v>1274.73</v>
      </c>
      <c r="J185" s="812">
        <v>20</v>
      </c>
      <c r="K185" s="812">
        <v>25494.6</v>
      </c>
      <c r="L185" s="812">
        <v>1</v>
      </c>
      <c r="M185" s="812">
        <v>1274.73</v>
      </c>
      <c r="N185" s="812">
        <v>7</v>
      </c>
      <c r="O185" s="812">
        <v>8923.11</v>
      </c>
      <c r="P185" s="800">
        <v>0.35000000000000003</v>
      </c>
      <c r="Q185" s="813">
        <v>1274.73</v>
      </c>
    </row>
    <row r="186" spans="1:17" ht="14.4" customHeight="1" x14ac:dyDescent="0.3">
      <c r="A186" s="794" t="s">
        <v>591</v>
      </c>
      <c r="B186" s="795" t="s">
        <v>3509</v>
      </c>
      <c r="C186" s="795" t="s">
        <v>3612</v>
      </c>
      <c r="D186" s="795" t="s">
        <v>3717</v>
      </c>
      <c r="E186" s="795" t="s">
        <v>3718</v>
      </c>
      <c r="F186" s="812">
        <v>1</v>
      </c>
      <c r="G186" s="812">
        <v>12640.53</v>
      </c>
      <c r="H186" s="812">
        <v>0.33333333333333331</v>
      </c>
      <c r="I186" s="812">
        <v>12640.53</v>
      </c>
      <c r="J186" s="812">
        <v>3</v>
      </c>
      <c r="K186" s="812">
        <v>37921.590000000004</v>
      </c>
      <c r="L186" s="812">
        <v>1</v>
      </c>
      <c r="M186" s="812">
        <v>12640.53</v>
      </c>
      <c r="N186" s="812">
        <v>2</v>
      </c>
      <c r="O186" s="812">
        <v>25281.06</v>
      </c>
      <c r="P186" s="800">
        <v>0.66666666666666663</v>
      </c>
      <c r="Q186" s="813">
        <v>12640.53</v>
      </c>
    </row>
    <row r="187" spans="1:17" ht="14.4" customHeight="1" x14ac:dyDescent="0.3">
      <c r="A187" s="794" t="s">
        <v>591</v>
      </c>
      <c r="B187" s="795" t="s">
        <v>3509</v>
      </c>
      <c r="C187" s="795" t="s">
        <v>3612</v>
      </c>
      <c r="D187" s="795" t="s">
        <v>3719</v>
      </c>
      <c r="E187" s="795" t="s">
        <v>3720</v>
      </c>
      <c r="F187" s="812">
        <v>1</v>
      </c>
      <c r="G187" s="812">
        <v>12451.91</v>
      </c>
      <c r="H187" s="812"/>
      <c r="I187" s="812">
        <v>12451.91</v>
      </c>
      <c r="J187" s="812"/>
      <c r="K187" s="812"/>
      <c r="L187" s="812"/>
      <c r="M187" s="812"/>
      <c r="N187" s="812"/>
      <c r="O187" s="812"/>
      <c r="P187" s="800"/>
      <c r="Q187" s="813"/>
    </row>
    <row r="188" spans="1:17" ht="14.4" customHeight="1" x14ac:dyDescent="0.3">
      <c r="A188" s="794" t="s">
        <v>591</v>
      </c>
      <c r="B188" s="795" t="s">
        <v>3509</v>
      </c>
      <c r="C188" s="795" t="s">
        <v>3612</v>
      </c>
      <c r="D188" s="795" t="s">
        <v>3721</v>
      </c>
      <c r="E188" s="795" t="s">
        <v>3720</v>
      </c>
      <c r="F188" s="812"/>
      <c r="G188" s="812"/>
      <c r="H188" s="812"/>
      <c r="I188" s="812"/>
      <c r="J188" s="812">
        <v>1</v>
      </c>
      <c r="K188" s="812">
        <v>13282.04</v>
      </c>
      <c r="L188" s="812">
        <v>1</v>
      </c>
      <c r="M188" s="812">
        <v>13282.04</v>
      </c>
      <c r="N188" s="812">
        <v>1</v>
      </c>
      <c r="O188" s="812">
        <v>13282.04</v>
      </c>
      <c r="P188" s="800">
        <v>1</v>
      </c>
      <c r="Q188" s="813">
        <v>13282.04</v>
      </c>
    </row>
    <row r="189" spans="1:17" ht="14.4" customHeight="1" x14ac:dyDescent="0.3">
      <c r="A189" s="794" t="s">
        <v>591</v>
      </c>
      <c r="B189" s="795" t="s">
        <v>3509</v>
      </c>
      <c r="C189" s="795" t="s">
        <v>3612</v>
      </c>
      <c r="D189" s="795" t="s">
        <v>3722</v>
      </c>
      <c r="E189" s="795" t="s">
        <v>3723</v>
      </c>
      <c r="F189" s="812">
        <v>1</v>
      </c>
      <c r="G189" s="812">
        <v>10628.95</v>
      </c>
      <c r="H189" s="812"/>
      <c r="I189" s="812">
        <v>10628.95</v>
      </c>
      <c r="J189" s="812"/>
      <c r="K189" s="812"/>
      <c r="L189" s="812"/>
      <c r="M189" s="812"/>
      <c r="N189" s="812"/>
      <c r="O189" s="812"/>
      <c r="P189" s="800"/>
      <c r="Q189" s="813"/>
    </row>
    <row r="190" spans="1:17" ht="14.4" customHeight="1" x14ac:dyDescent="0.3">
      <c r="A190" s="794" t="s">
        <v>591</v>
      </c>
      <c r="B190" s="795" t="s">
        <v>3509</v>
      </c>
      <c r="C190" s="795" t="s">
        <v>3612</v>
      </c>
      <c r="D190" s="795" t="s">
        <v>3724</v>
      </c>
      <c r="E190" s="795" t="s">
        <v>3725</v>
      </c>
      <c r="F190" s="812">
        <v>1</v>
      </c>
      <c r="G190" s="812">
        <v>37159</v>
      </c>
      <c r="H190" s="812">
        <v>1</v>
      </c>
      <c r="I190" s="812">
        <v>37159</v>
      </c>
      <c r="J190" s="812">
        <v>1</v>
      </c>
      <c r="K190" s="812">
        <v>37159</v>
      </c>
      <c r="L190" s="812">
        <v>1</v>
      </c>
      <c r="M190" s="812">
        <v>37159</v>
      </c>
      <c r="N190" s="812">
        <v>1</v>
      </c>
      <c r="O190" s="812">
        <v>37159</v>
      </c>
      <c r="P190" s="800">
        <v>1</v>
      </c>
      <c r="Q190" s="813">
        <v>37159</v>
      </c>
    </row>
    <row r="191" spans="1:17" ht="14.4" customHeight="1" x14ac:dyDescent="0.3">
      <c r="A191" s="794" t="s">
        <v>591</v>
      </c>
      <c r="B191" s="795" t="s">
        <v>3509</v>
      </c>
      <c r="C191" s="795" t="s">
        <v>3612</v>
      </c>
      <c r="D191" s="795" t="s">
        <v>3726</v>
      </c>
      <c r="E191" s="795" t="s">
        <v>3727</v>
      </c>
      <c r="F191" s="812">
        <v>1</v>
      </c>
      <c r="G191" s="812">
        <v>9986</v>
      </c>
      <c r="H191" s="812">
        <v>1</v>
      </c>
      <c r="I191" s="812">
        <v>9986</v>
      </c>
      <c r="J191" s="812">
        <v>1</v>
      </c>
      <c r="K191" s="812">
        <v>9986</v>
      </c>
      <c r="L191" s="812">
        <v>1</v>
      </c>
      <c r="M191" s="812">
        <v>9986</v>
      </c>
      <c r="N191" s="812">
        <v>1</v>
      </c>
      <c r="O191" s="812">
        <v>9986</v>
      </c>
      <c r="P191" s="800">
        <v>1</v>
      </c>
      <c r="Q191" s="813">
        <v>9986</v>
      </c>
    </row>
    <row r="192" spans="1:17" ht="14.4" customHeight="1" x14ac:dyDescent="0.3">
      <c r="A192" s="794" t="s">
        <v>591</v>
      </c>
      <c r="B192" s="795" t="s">
        <v>3509</v>
      </c>
      <c r="C192" s="795" t="s">
        <v>3612</v>
      </c>
      <c r="D192" s="795" t="s">
        <v>3728</v>
      </c>
      <c r="E192" s="795" t="s">
        <v>3729</v>
      </c>
      <c r="F192" s="812"/>
      <c r="G192" s="812"/>
      <c r="H192" s="812"/>
      <c r="I192" s="812"/>
      <c r="J192" s="812">
        <v>1</v>
      </c>
      <c r="K192" s="812">
        <v>2347</v>
      </c>
      <c r="L192" s="812">
        <v>1</v>
      </c>
      <c r="M192" s="812">
        <v>2347</v>
      </c>
      <c r="N192" s="812">
        <v>1</v>
      </c>
      <c r="O192" s="812">
        <v>2347</v>
      </c>
      <c r="P192" s="800">
        <v>1</v>
      </c>
      <c r="Q192" s="813">
        <v>2347</v>
      </c>
    </row>
    <row r="193" spans="1:17" ht="14.4" customHeight="1" x14ac:dyDescent="0.3">
      <c r="A193" s="794" t="s">
        <v>591</v>
      </c>
      <c r="B193" s="795" t="s">
        <v>3509</v>
      </c>
      <c r="C193" s="795" t="s">
        <v>3612</v>
      </c>
      <c r="D193" s="795" t="s">
        <v>3730</v>
      </c>
      <c r="E193" s="795" t="s">
        <v>3731</v>
      </c>
      <c r="F193" s="812">
        <v>1</v>
      </c>
      <c r="G193" s="812">
        <v>6086</v>
      </c>
      <c r="H193" s="812"/>
      <c r="I193" s="812">
        <v>6086</v>
      </c>
      <c r="J193" s="812"/>
      <c r="K193" s="812"/>
      <c r="L193" s="812"/>
      <c r="M193" s="812"/>
      <c r="N193" s="812"/>
      <c r="O193" s="812"/>
      <c r="P193" s="800"/>
      <c r="Q193" s="813"/>
    </row>
    <row r="194" spans="1:17" ht="14.4" customHeight="1" x14ac:dyDescent="0.3">
      <c r="A194" s="794" t="s">
        <v>591</v>
      </c>
      <c r="B194" s="795" t="s">
        <v>3509</v>
      </c>
      <c r="C194" s="795" t="s">
        <v>3612</v>
      </c>
      <c r="D194" s="795" t="s">
        <v>3732</v>
      </c>
      <c r="E194" s="795" t="s">
        <v>3733</v>
      </c>
      <c r="F194" s="812">
        <v>3</v>
      </c>
      <c r="G194" s="812">
        <v>3285.69</v>
      </c>
      <c r="H194" s="812">
        <v>3</v>
      </c>
      <c r="I194" s="812">
        <v>1095.23</v>
      </c>
      <c r="J194" s="812">
        <v>1</v>
      </c>
      <c r="K194" s="812">
        <v>1095.23</v>
      </c>
      <c r="L194" s="812">
        <v>1</v>
      </c>
      <c r="M194" s="812">
        <v>1095.23</v>
      </c>
      <c r="N194" s="812">
        <v>4</v>
      </c>
      <c r="O194" s="812">
        <v>4380.92</v>
      </c>
      <c r="P194" s="800">
        <v>4</v>
      </c>
      <c r="Q194" s="813">
        <v>1095.23</v>
      </c>
    </row>
    <row r="195" spans="1:17" ht="14.4" customHeight="1" x14ac:dyDescent="0.3">
      <c r="A195" s="794" t="s">
        <v>591</v>
      </c>
      <c r="B195" s="795" t="s">
        <v>3509</v>
      </c>
      <c r="C195" s="795" t="s">
        <v>3612</v>
      </c>
      <c r="D195" s="795" t="s">
        <v>3734</v>
      </c>
      <c r="E195" s="795" t="s">
        <v>3735</v>
      </c>
      <c r="F195" s="812">
        <v>2</v>
      </c>
      <c r="G195" s="812">
        <v>23348</v>
      </c>
      <c r="H195" s="812"/>
      <c r="I195" s="812">
        <v>11674</v>
      </c>
      <c r="J195" s="812"/>
      <c r="K195" s="812"/>
      <c r="L195" s="812"/>
      <c r="M195" s="812"/>
      <c r="N195" s="812">
        <v>2</v>
      </c>
      <c r="O195" s="812">
        <v>23348</v>
      </c>
      <c r="P195" s="800"/>
      <c r="Q195" s="813">
        <v>11674</v>
      </c>
    </row>
    <row r="196" spans="1:17" ht="14.4" customHeight="1" x14ac:dyDescent="0.3">
      <c r="A196" s="794" t="s">
        <v>591</v>
      </c>
      <c r="B196" s="795" t="s">
        <v>3509</v>
      </c>
      <c r="C196" s="795" t="s">
        <v>3612</v>
      </c>
      <c r="D196" s="795" t="s">
        <v>3736</v>
      </c>
      <c r="E196" s="795" t="s">
        <v>3737</v>
      </c>
      <c r="F196" s="812">
        <v>6</v>
      </c>
      <c r="G196" s="812">
        <v>5416.02</v>
      </c>
      <c r="H196" s="812">
        <v>2</v>
      </c>
      <c r="I196" s="812">
        <v>902.67000000000007</v>
      </c>
      <c r="J196" s="812">
        <v>3</v>
      </c>
      <c r="K196" s="812">
        <v>2708.01</v>
      </c>
      <c r="L196" s="812">
        <v>1</v>
      </c>
      <c r="M196" s="812">
        <v>902.67000000000007</v>
      </c>
      <c r="N196" s="812">
        <v>7</v>
      </c>
      <c r="O196" s="812">
        <v>6318.69</v>
      </c>
      <c r="P196" s="800">
        <v>2.333333333333333</v>
      </c>
      <c r="Q196" s="813">
        <v>902.67</v>
      </c>
    </row>
    <row r="197" spans="1:17" ht="14.4" customHeight="1" x14ac:dyDescent="0.3">
      <c r="A197" s="794" t="s">
        <v>591</v>
      </c>
      <c r="B197" s="795" t="s">
        <v>3509</v>
      </c>
      <c r="C197" s="795" t="s">
        <v>3612</v>
      </c>
      <c r="D197" s="795" t="s">
        <v>3738</v>
      </c>
      <c r="E197" s="795" t="s">
        <v>3737</v>
      </c>
      <c r="F197" s="812">
        <v>14</v>
      </c>
      <c r="G197" s="812">
        <v>14411.88</v>
      </c>
      <c r="H197" s="812">
        <v>2.333333333333333</v>
      </c>
      <c r="I197" s="812">
        <v>1029.4199999999998</v>
      </c>
      <c r="J197" s="812">
        <v>6</v>
      </c>
      <c r="K197" s="812">
        <v>6176.52</v>
      </c>
      <c r="L197" s="812">
        <v>1</v>
      </c>
      <c r="M197" s="812">
        <v>1029.42</v>
      </c>
      <c r="N197" s="812">
        <v>12</v>
      </c>
      <c r="O197" s="812">
        <v>12353.04</v>
      </c>
      <c r="P197" s="800">
        <v>2</v>
      </c>
      <c r="Q197" s="813">
        <v>1029.42</v>
      </c>
    </row>
    <row r="198" spans="1:17" ht="14.4" customHeight="1" x14ac:dyDescent="0.3">
      <c r="A198" s="794" t="s">
        <v>591</v>
      </c>
      <c r="B198" s="795" t="s">
        <v>3509</v>
      </c>
      <c r="C198" s="795" t="s">
        <v>3612</v>
      </c>
      <c r="D198" s="795" t="s">
        <v>3739</v>
      </c>
      <c r="E198" s="795" t="s">
        <v>3740</v>
      </c>
      <c r="F198" s="812"/>
      <c r="G198" s="812"/>
      <c r="H198" s="812"/>
      <c r="I198" s="812"/>
      <c r="J198" s="812"/>
      <c r="K198" s="812"/>
      <c r="L198" s="812"/>
      <c r="M198" s="812"/>
      <c r="N198" s="812">
        <v>1</v>
      </c>
      <c r="O198" s="812">
        <v>1037.19</v>
      </c>
      <c r="P198" s="800"/>
      <c r="Q198" s="813">
        <v>1037.19</v>
      </c>
    </row>
    <row r="199" spans="1:17" ht="14.4" customHeight="1" x14ac:dyDescent="0.3">
      <c r="A199" s="794" t="s">
        <v>591</v>
      </c>
      <c r="B199" s="795" t="s">
        <v>3509</v>
      </c>
      <c r="C199" s="795" t="s">
        <v>3612</v>
      </c>
      <c r="D199" s="795" t="s">
        <v>3741</v>
      </c>
      <c r="E199" s="795" t="s">
        <v>3742</v>
      </c>
      <c r="F199" s="812">
        <v>2</v>
      </c>
      <c r="G199" s="812">
        <v>19008.98</v>
      </c>
      <c r="H199" s="812">
        <v>2</v>
      </c>
      <c r="I199" s="812">
        <v>9504.49</v>
      </c>
      <c r="J199" s="812">
        <v>1</v>
      </c>
      <c r="K199" s="812">
        <v>9504.49</v>
      </c>
      <c r="L199" s="812">
        <v>1</v>
      </c>
      <c r="M199" s="812">
        <v>9504.49</v>
      </c>
      <c r="N199" s="812">
        <v>2</v>
      </c>
      <c r="O199" s="812">
        <v>19008.98</v>
      </c>
      <c r="P199" s="800">
        <v>2</v>
      </c>
      <c r="Q199" s="813">
        <v>9504.49</v>
      </c>
    </row>
    <row r="200" spans="1:17" ht="14.4" customHeight="1" x14ac:dyDescent="0.3">
      <c r="A200" s="794" t="s">
        <v>591</v>
      </c>
      <c r="B200" s="795" t="s">
        <v>3509</v>
      </c>
      <c r="C200" s="795" t="s">
        <v>3612</v>
      </c>
      <c r="D200" s="795" t="s">
        <v>3743</v>
      </c>
      <c r="E200" s="795" t="s">
        <v>3744</v>
      </c>
      <c r="F200" s="812">
        <v>3</v>
      </c>
      <c r="G200" s="812">
        <v>7331.25</v>
      </c>
      <c r="H200" s="812"/>
      <c r="I200" s="812">
        <v>2443.75</v>
      </c>
      <c r="J200" s="812"/>
      <c r="K200" s="812"/>
      <c r="L200" s="812"/>
      <c r="M200" s="812"/>
      <c r="N200" s="812"/>
      <c r="O200" s="812"/>
      <c r="P200" s="800"/>
      <c r="Q200" s="813"/>
    </row>
    <row r="201" spans="1:17" ht="14.4" customHeight="1" x14ac:dyDescent="0.3">
      <c r="A201" s="794" t="s">
        <v>591</v>
      </c>
      <c r="B201" s="795" t="s">
        <v>3509</v>
      </c>
      <c r="C201" s="795" t="s">
        <v>3612</v>
      </c>
      <c r="D201" s="795" t="s">
        <v>3745</v>
      </c>
      <c r="E201" s="795" t="s">
        <v>3746</v>
      </c>
      <c r="F201" s="812"/>
      <c r="G201" s="812"/>
      <c r="H201" s="812"/>
      <c r="I201" s="812"/>
      <c r="J201" s="812"/>
      <c r="K201" s="812"/>
      <c r="L201" s="812"/>
      <c r="M201" s="812"/>
      <c r="N201" s="812">
        <v>5</v>
      </c>
      <c r="O201" s="812">
        <v>45926.450000000004</v>
      </c>
      <c r="P201" s="800"/>
      <c r="Q201" s="813">
        <v>9185.2900000000009</v>
      </c>
    </row>
    <row r="202" spans="1:17" ht="14.4" customHeight="1" x14ac:dyDescent="0.3">
      <c r="A202" s="794" t="s">
        <v>591</v>
      </c>
      <c r="B202" s="795" t="s">
        <v>3509</v>
      </c>
      <c r="C202" s="795" t="s">
        <v>3612</v>
      </c>
      <c r="D202" s="795" t="s">
        <v>3747</v>
      </c>
      <c r="E202" s="795" t="s">
        <v>3748</v>
      </c>
      <c r="F202" s="812">
        <v>1</v>
      </c>
      <c r="G202" s="812">
        <v>620.78</v>
      </c>
      <c r="H202" s="812">
        <v>0.5</v>
      </c>
      <c r="I202" s="812">
        <v>620.78</v>
      </c>
      <c r="J202" s="812">
        <v>2</v>
      </c>
      <c r="K202" s="812">
        <v>1241.56</v>
      </c>
      <c r="L202" s="812">
        <v>1</v>
      </c>
      <c r="M202" s="812">
        <v>620.78</v>
      </c>
      <c r="N202" s="812">
        <v>5</v>
      </c>
      <c r="O202" s="812">
        <v>3103.8999999999996</v>
      </c>
      <c r="P202" s="800">
        <v>2.5</v>
      </c>
      <c r="Q202" s="813">
        <v>620.78</v>
      </c>
    </row>
    <row r="203" spans="1:17" ht="14.4" customHeight="1" x14ac:dyDescent="0.3">
      <c r="A203" s="794" t="s">
        <v>591</v>
      </c>
      <c r="B203" s="795" t="s">
        <v>3509</v>
      </c>
      <c r="C203" s="795" t="s">
        <v>3612</v>
      </c>
      <c r="D203" s="795" t="s">
        <v>3749</v>
      </c>
      <c r="E203" s="795" t="s">
        <v>3748</v>
      </c>
      <c r="F203" s="812"/>
      <c r="G203" s="812"/>
      <c r="H203" s="812"/>
      <c r="I203" s="812"/>
      <c r="J203" s="812">
        <v>4</v>
      </c>
      <c r="K203" s="812">
        <v>2549.44</v>
      </c>
      <c r="L203" s="812">
        <v>1</v>
      </c>
      <c r="M203" s="812">
        <v>637.36</v>
      </c>
      <c r="N203" s="812">
        <v>5</v>
      </c>
      <c r="O203" s="812">
        <v>3186.8</v>
      </c>
      <c r="P203" s="800">
        <v>1.25</v>
      </c>
      <c r="Q203" s="813">
        <v>637.36</v>
      </c>
    </row>
    <row r="204" spans="1:17" ht="14.4" customHeight="1" x14ac:dyDescent="0.3">
      <c r="A204" s="794" t="s">
        <v>591</v>
      </c>
      <c r="B204" s="795" t="s">
        <v>3509</v>
      </c>
      <c r="C204" s="795" t="s">
        <v>3612</v>
      </c>
      <c r="D204" s="795" t="s">
        <v>3750</v>
      </c>
      <c r="E204" s="795" t="s">
        <v>3751</v>
      </c>
      <c r="F204" s="812"/>
      <c r="G204" s="812"/>
      <c r="H204" s="812"/>
      <c r="I204" s="812"/>
      <c r="J204" s="812">
        <v>1</v>
      </c>
      <c r="K204" s="812">
        <v>6115</v>
      </c>
      <c r="L204" s="812">
        <v>1</v>
      </c>
      <c r="M204" s="812">
        <v>6115</v>
      </c>
      <c r="N204" s="812"/>
      <c r="O204" s="812"/>
      <c r="P204" s="800"/>
      <c r="Q204" s="813"/>
    </row>
    <row r="205" spans="1:17" ht="14.4" customHeight="1" x14ac:dyDescent="0.3">
      <c r="A205" s="794" t="s">
        <v>591</v>
      </c>
      <c r="B205" s="795" t="s">
        <v>3509</v>
      </c>
      <c r="C205" s="795" t="s">
        <v>3612</v>
      </c>
      <c r="D205" s="795" t="s">
        <v>3752</v>
      </c>
      <c r="E205" s="795" t="s">
        <v>3753</v>
      </c>
      <c r="F205" s="812"/>
      <c r="G205" s="812"/>
      <c r="H205" s="812"/>
      <c r="I205" s="812"/>
      <c r="J205" s="812"/>
      <c r="K205" s="812"/>
      <c r="L205" s="812"/>
      <c r="M205" s="812"/>
      <c r="N205" s="812">
        <v>1</v>
      </c>
      <c r="O205" s="812">
        <v>1796</v>
      </c>
      <c r="P205" s="800"/>
      <c r="Q205" s="813">
        <v>1796</v>
      </c>
    </row>
    <row r="206" spans="1:17" ht="14.4" customHeight="1" x14ac:dyDescent="0.3">
      <c r="A206" s="794" t="s">
        <v>591</v>
      </c>
      <c r="B206" s="795" t="s">
        <v>3509</v>
      </c>
      <c r="C206" s="795" t="s">
        <v>3612</v>
      </c>
      <c r="D206" s="795" t="s">
        <v>3754</v>
      </c>
      <c r="E206" s="795" t="s">
        <v>3755</v>
      </c>
      <c r="F206" s="812">
        <v>13</v>
      </c>
      <c r="G206" s="812">
        <v>4701.97</v>
      </c>
      <c r="H206" s="812">
        <v>0.86666666666666681</v>
      </c>
      <c r="I206" s="812">
        <v>361.69</v>
      </c>
      <c r="J206" s="812">
        <v>15</v>
      </c>
      <c r="K206" s="812">
        <v>5425.3499999999995</v>
      </c>
      <c r="L206" s="812">
        <v>1</v>
      </c>
      <c r="M206" s="812">
        <v>361.68999999999994</v>
      </c>
      <c r="N206" s="812">
        <v>14</v>
      </c>
      <c r="O206" s="812">
        <v>5063.66</v>
      </c>
      <c r="P206" s="800">
        <v>0.93333333333333335</v>
      </c>
      <c r="Q206" s="813">
        <v>361.69</v>
      </c>
    </row>
    <row r="207" spans="1:17" ht="14.4" customHeight="1" x14ac:dyDescent="0.3">
      <c r="A207" s="794" t="s">
        <v>591</v>
      </c>
      <c r="B207" s="795" t="s">
        <v>3509</v>
      </c>
      <c r="C207" s="795" t="s">
        <v>3612</v>
      </c>
      <c r="D207" s="795" t="s">
        <v>3756</v>
      </c>
      <c r="E207" s="795" t="s">
        <v>3757</v>
      </c>
      <c r="F207" s="812">
        <v>1</v>
      </c>
      <c r="G207" s="812">
        <v>4618</v>
      </c>
      <c r="H207" s="812"/>
      <c r="I207" s="812">
        <v>4618</v>
      </c>
      <c r="J207" s="812"/>
      <c r="K207" s="812"/>
      <c r="L207" s="812"/>
      <c r="M207" s="812"/>
      <c r="N207" s="812"/>
      <c r="O207" s="812"/>
      <c r="P207" s="800"/>
      <c r="Q207" s="813"/>
    </row>
    <row r="208" spans="1:17" ht="14.4" customHeight="1" x14ac:dyDescent="0.3">
      <c r="A208" s="794" t="s">
        <v>591</v>
      </c>
      <c r="B208" s="795" t="s">
        <v>3509</v>
      </c>
      <c r="C208" s="795" t="s">
        <v>3612</v>
      </c>
      <c r="D208" s="795" t="s">
        <v>3758</v>
      </c>
      <c r="E208" s="795" t="s">
        <v>3759</v>
      </c>
      <c r="F208" s="812"/>
      <c r="G208" s="812"/>
      <c r="H208" s="812"/>
      <c r="I208" s="812"/>
      <c r="J208" s="812">
        <v>1</v>
      </c>
      <c r="K208" s="812">
        <v>2801.29</v>
      </c>
      <c r="L208" s="812">
        <v>1</v>
      </c>
      <c r="M208" s="812">
        <v>2801.29</v>
      </c>
      <c r="N208" s="812"/>
      <c r="O208" s="812"/>
      <c r="P208" s="800"/>
      <c r="Q208" s="813"/>
    </row>
    <row r="209" spans="1:17" ht="14.4" customHeight="1" x14ac:dyDescent="0.3">
      <c r="A209" s="794" t="s">
        <v>591</v>
      </c>
      <c r="B209" s="795" t="s">
        <v>3509</v>
      </c>
      <c r="C209" s="795" t="s">
        <v>3612</v>
      </c>
      <c r="D209" s="795" t="s">
        <v>3760</v>
      </c>
      <c r="E209" s="795" t="s">
        <v>3761</v>
      </c>
      <c r="F209" s="812">
        <v>1</v>
      </c>
      <c r="G209" s="812">
        <v>556.5</v>
      </c>
      <c r="H209" s="812"/>
      <c r="I209" s="812">
        <v>556.5</v>
      </c>
      <c r="J209" s="812"/>
      <c r="K209" s="812"/>
      <c r="L209" s="812"/>
      <c r="M209" s="812"/>
      <c r="N209" s="812"/>
      <c r="O209" s="812"/>
      <c r="P209" s="800"/>
      <c r="Q209" s="813"/>
    </row>
    <row r="210" spans="1:17" ht="14.4" customHeight="1" x14ac:dyDescent="0.3">
      <c r="A210" s="794" t="s">
        <v>591</v>
      </c>
      <c r="B210" s="795" t="s">
        <v>3509</v>
      </c>
      <c r="C210" s="795" t="s">
        <v>3612</v>
      </c>
      <c r="D210" s="795" t="s">
        <v>3762</v>
      </c>
      <c r="E210" s="795" t="s">
        <v>3763</v>
      </c>
      <c r="F210" s="812">
        <v>2</v>
      </c>
      <c r="G210" s="812">
        <v>13668</v>
      </c>
      <c r="H210" s="812">
        <v>0.5</v>
      </c>
      <c r="I210" s="812">
        <v>6834</v>
      </c>
      <c r="J210" s="812">
        <v>4</v>
      </c>
      <c r="K210" s="812">
        <v>27336</v>
      </c>
      <c r="L210" s="812">
        <v>1</v>
      </c>
      <c r="M210" s="812">
        <v>6834</v>
      </c>
      <c r="N210" s="812">
        <v>5</v>
      </c>
      <c r="O210" s="812">
        <v>34170</v>
      </c>
      <c r="P210" s="800">
        <v>1.25</v>
      </c>
      <c r="Q210" s="813">
        <v>6834</v>
      </c>
    </row>
    <row r="211" spans="1:17" ht="14.4" customHeight="1" x14ac:dyDescent="0.3">
      <c r="A211" s="794" t="s">
        <v>591</v>
      </c>
      <c r="B211" s="795" t="s">
        <v>3509</v>
      </c>
      <c r="C211" s="795" t="s">
        <v>3612</v>
      </c>
      <c r="D211" s="795" t="s">
        <v>3764</v>
      </c>
      <c r="E211" s="795" t="s">
        <v>3765</v>
      </c>
      <c r="F211" s="812">
        <v>1</v>
      </c>
      <c r="G211" s="812">
        <v>16754.669999999998</v>
      </c>
      <c r="H211" s="812"/>
      <c r="I211" s="812">
        <v>16754.669999999998</v>
      </c>
      <c r="J211" s="812"/>
      <c r="K211" s="812"/>
      <c r="L211" s="812"/>
      <c r="M211" s="812"/>
      <c r="N211" s="812"/>
      <c r="O211" s="812"/>
      <c r="P211" s="800"/>
      <c r="Q211" s="813"/>
    </row>
    <row r="212" spans="1:17" ht="14.4" customHeight="1" x14ac:dyDescent="0.3">
      <c r="A212" s="794" t="s">
        <v>591</v>
      </c>
      <c r="B212" s="795" t="s">
        <v>3509</v>
      </c>
      <c r="C212" s="795" t="s">
        <v>3612</v>
      </c>
      <c r="D212" s="795" t="s">
        <v>3766</v>
      </c>
      <c r="E212" s="795" t="s">
        <v>3765</v>
      </c>
      <c r="F212" s="812">
        <v>1</v>
      </c>
      <c r="G212" s="812">
        <v>16754.669999999998</v>
      </c>
      <c r="H212" s="812"/>
      <c r="I212" s="812">
        <v>16754.669999999998</v>
      </c>
      <c r="J212" s="812"/>
      <c r="K212" s="812"/>
      <c r="L212" s="812"/>
      <c r="M212" s="812"/>
      <c r="N212" s="812"/>
      <c r="O212" s="812"/>
      <c r="P212" s="800"/>
      <c r="Q212" s="813"/>
    </row>
    <row r="213" spans="1:17" ht="14.4" customHeight="1" x14ac:dyDescent="0.3">
      <c r="A213" s="794" t="s">
        <v>591</v>
      </c>
      <c r="B213" s="795" t="s">
        <v>3509</v>
      </c>
      <c r="C213" s="795" t="s">
        <v>3612</v>
      </c>
      <c r="D213" s="795" t="s">
        <v>3767</v>
      </c>
      <c r="E213" s="795" t="s">
        <v>3768</v>
      </c>
      <c r="F213" s="812">
        <v>1</v>
      </c>
      <c r="G213" s="812">
        <v>8471.24</v>
      </c>
      <c r="H213" s="812"/>
      <c r="I213" s="812">
        <v>8471.24</v>
      </c>
      <c r="J213" s="812"/>
      <c r="K213" s="812"/>
      <c r="L213" s="812"/>
      <c r="M213" s="812"/>
      <c r="N213" s="812"/>
      <c r="O213" s="812"/>
      <c r="P213" s="800"/>
      <c r="Q213" s="813"/>
    </row>
    <row r="214" spans="1:17" ht="14.4" customHeight="1" x14ac:dyDescent="0.3">
      <c r="A214" s="794" t="s">
        <v>591</v>
      </c>
      <c r="B214" s="795" t="s">
        <v>3509</v>
      </c>
      <c r="C214" s="795" t="s">
        <v>3612</v>
      </c>
      <c r="D214" s="795" t="s">
        <v>3769</v>
      </c>
      <c r="E214" s="795" t="s">
        <v>3770</v>
      </c>
      <c r="F214" s="812"/>
      <c r="G214" s="812"/>
      <c r="H214" s="812"/>
      <c r="I214" s="812"/>
      <c r="J214" s="812">
        <v>2</v>
      </c>
      <c r="K214" s="812">
        <v>1704.62</v>
      </c>
      <c r="L214" s="812">
        <v>1</v>
      </c>
      <c r="M214" s="812">
        <v>852.31</v>
      </c>
      <c r="N214" s="812"/>
      <c r="O214" s="812"/>
      <c r="P214" s="800"/>
      <c r="Q214" s="813"/>
    </row>
    <row r="215" spans="1:17" ht="14.4" customHeight="1" x14ac:dyDescent="0.3">
      <c r="A215" s="794" t="s">
        <v>591</v>
      </c>
      <c r="B215" s="795" t="s">
        <v>3509</v>
      </c>
      <c r="C215" s="795" t="s">
        <v>3612</v>
      </c>
      <c r="D215" s="795" t="s">
        <v>3771</v>
      </c>
      <c r="E215" s="795" t="s">
        <v>3772</v>
      </c>
      <c r="F215" s="812">
        <v>1</v>
      </c>
      <c r="G215" s="812">
        <v>4735.3500000000004</v>
      </c>
      <c r="H215" s="812"/>
      <c r="I215" s="812">
        <v>4735.3500000000004</v>
      </c>
      <c r="J215" s="812"/>
      <c r="K215" s="812"/>
      <c r="L215" s="812"/>
      <c r="M215" s="812"/>
      <c r="N215" s="812"/>
      <c r="O215" s="812"/>
      <c r="P215" s="800"/>
      <c r="Q215" s="813"/>
    </row>
    <row r="216" spans="1:17" ht="14.4" customHeight="1" x14ac:dyDescent="0.3">
      <c r="A216" s="794" t="s">
        <v>591</v>
      </c>
      <c r="B216" s="795" t="s">
        <v>3509</v>
      </c>
      <c r="C216" s="795" t="s">
        <v>3612</v>
      </c>
      <c r="D216" s="795" t="s">
        <v>3773</v>
      </c>
      <c r="E216" s="795" t="s">
        <v>3774</v>
      </c>
      <c r="F216" s="812">
        <v>1</v>
      </c>
      <c r="G216" s="812">
        <v>7993.16</v>
      </c>
      <c r="H216" s="812"/>
      <c r="I216" s="812">
        <v>7993.16</v>
      </c>
      <c r="J216" s="812"/>
      <c r="K216" s="812"/>
      <c r="L216" s="812"/>
      <c r="M216" s="812"/>
      <c r="N216" s="812"/>
      <c r="O216" s="812"/>
      <c r="P216" s="800"/>
      <c r="Q216" s="813"/>
    </row>
    <row r="217" spans="1:17" ht="14.4" customHeight="1" x14ac:dyDescent="0.3">
      <c r="A217" s="794" t="s">
        <v>591</v>
      </c>
      <c r="B217" s="795" t="s">
        <v>3509</v>
      </c>
      <c r="C217" s="795" t="s">
        <v>3612</v>
      </c>
      <c r="D217" s="795" t="s">
        <v>3775</v>
      </c>
      <c r="E217" s="795" t="s">
        <v>3776</v>
      </c>
      <c r="F217" s="812">
        <v>1</v>
      </c>
      <c r="G217" s="812">
        <v>2866.27</v>
      </c>
      <c r="H217" s="812"/>
      <c r="I217" s="812">
        <v>2866.27</v>
      </c>
      <c r="J217" s="812"/>
      <c r="K217" s="812"/>
      <c r="L217" s="812"/>
      <c r="M217" s="812"/>
      <c r="N217" s="812"/>
      <c r="O217" s="812"/>
      <c r="P217" s="800"/>
      <c r="Q217" s="813"/>
    </row>
    <row r="218" spans="1:17" ht="14.4" customHeight="1" x14ac:dyDescent="0.3">
      <c r="A218" s="794" t="s">
        <v>591</v>
      </c>
      <c r="B218" s="795" t="s">
        <v>3509</v>
      </c>
      <c r="C218" s="795" t="s">
        <v>3612</v>
      </c>
      <c r="D218" s="795" t="s">
        <v>3777</v>
      </c>
      <c r="E218" s="795" t="s">
        <v>3778</v>
      </c>
      <c r="F218" s="812">
        <v>1.1000000000000001</v>
      </c>
      <c r="G218" s="812">
        <v>277.22000000000003</v>
      </c>
      <c r="H218" s="812">
        <v>0.2619013878260541</v>
      </c>
      <c r="I218" s="812">
        <v>252.01818181818183</v>
      </c>
      <c r="J218" s="812">
        <v>4.1999999999999993</v>
      </c>
      <c r="K218" s="812">
        <v>1058.49</v>
      </c>
      <c r="L218" s="812">
        <v>1</v>
      </c>
      <c r="M218" s="812">
        <v>252.02142857142863</v>
      </c>
      <c r="N218" s="812">
        <v>2.8</v>
      </c>
      <c r="O218" s="812">
        <v>705.66000000000008</v>
      </c>
      <c r="P218" s="800">
        <v>0.66666666666666674</v>
      </c>
      <c r="Q218" s="813">
        <v>252.02142857142863</v>
      </c>
    </row>
    <row r="219" spans="1:17" ht="14.4" customHeight="1" x14ac:dyDescent="0.3">
      <c r="A219" s="794" t="s">
        <v>591</v>
      </c>
      <c r="B219" s="795" t="s">
        <v>3509</v>
      </c>
      <c r="C219" s="795" t="s">
        <v>3612</v>
      </c>
      <c r="D219" s="795" t="s">
        <v>3779</v>
      </c>
      <c r="E219" s="795" t="s">
        <v>3780</v>
      </c>
      <c r="F219" s="812"/>
      <c r="G219" s="812"/>
      <c r="H219" s="812"/>
      <c r="I219" s="812"/>
      <c r="J219" s="812">
        <v>2</v>
      </c>
      <c r="K219" s="812">
        <v>1123.42</v>
      </c>
      <c r="L219" s="812">
        <v>1</v>
      </c>
      <c r="M219" s="812">
        <v>561.71</v>
      </c>
      <c r="N219" s="812"/>
      <c r="O219" s="812"/>
      <c r="P219" s="800"/>
      <c r="Q219" s="813"/>
    </row>
    <row r="220" spans="1:17" ht="14.4" customHeight="1" x14ac:dyDescent="0.3">
      <c r="A220" s="794" t="s">
        <v>591</v>
      </c>
      <c r="B220" s="795" t="s">
        <v>3509</v>
      </c>
      <c r="C220" s="795" t="s">
        <v>3612</v>
      </c>
      <c r="D220" s="795" t="s">
        <v>3781</v>
      </c>
      <c r="E220" s="795" t="s">
        <v>3782</v>
      </c>
      <c r="F220" s="812">
        <v>2</v>
      </c>
      <c r="G220" s="812">
        <v>7633.86</v>
      </c>
      <c r="H220" s="812"/>
      <c r="I220" s="812">
        <v>3816.93</v>
      </c>
      <c r="J220" s="812"/>
      <c r="K220" s="812"/>
      <c r="L220" s="812"/>
      <c r="M220" s="812"/>
      <c r="N220" s="812"/>
      <c r="O220" s="812"/>
      <c r="P220" s="800"/>
      <c r="Q220" s="813"/>
    </row>
    <row r="221" spans="1:17" ht="14.4" customHeight="1" x14ac:dyDescent="0.3">
      <c r="A221" s="794" t="s">
        <v>591</v>
      </c>
      <c r="B221" s="795" t="s">
        <v>3509</v>
      </c>
      <c r="C221" s="795" t="s">
        <v>3612</v>
      </c>
      <c r="D221" s="795" t="s">
        <v>3783</v>
      </c>
      <c r="E221" s="795" t="s">
        <v>3778</v>
      </c>
      <c r="F221" s="812"/>
      <c r="G221" s="812"/>
      <c r="H221" s="812"/>
      <c r="I221" s="812"/>
      <c r="J221" s="812"/>
      <c r="K221" s="812"/>
      <c r="L221" s="812"/>
      <c r="M221" s="812"/>
      <c r="N221" s="812">
        <v>2</v>
      </c>
      <c r="O221" s="812">
        <v>1094.4000000000001</v>
      </c>
      <c r="P221" s="800"/>
      <c r="Q221" s="813">
        <v>547.20000000000005</v>
      </c>
    </row>
    <row r="222" spans="1:17" ht="14.4" customHeight="1" x14ac:dyDescent="0.3">
      <c r="A222" s="794" t="s">
        <v>591</v>
      </c>
      <c r="B222" s="795" t="s">
        <v>3509</v>
      </c>
      <c r="C222" s="795" t="s">
        <v>3612</v>
      </c>
      <c r="D222" s="795" t="s">
        <v>3784</v>
      </c>
      <c r="E222" s="795" t="s">
        <v>3778</v>
      </c>
      <c r="F222" s="812">
        <v>14</v>
      </c>
      <c r="G222" s="812">
        <v>25884.18</v>
      </c>
      <c r="H222" s="812">
        <v>0.35897435897435903</v>
      </c>
      <c r="I222" s="812">
        <v>1848.8700000000001</v>
      </c>
      <c r="J222" s="812">
        <v>39</v>
      </c>
      <c r="K222" s="812">
        <v>72105.929999999993</v>
      </c>
      <c r="L222" s="812">
        <v>1</v>
      </c>
      <c r="M222" s="812">
        <v>1848.87</v>
      </c>
      <c r="N222" s="812">
        <v>37</v>
      </c>
      <c r="O222" s="812">
        <v>68408.19</v>
      </c>
      <c r="P222" s="800">
        <v>0.94871794871794879</v>
      </c>
      <c r="Q222" s="813">
        <v>1848.8700000000001</v>
      </c>
    </row>
    <row r="223" spans="1:17" ht="14.4" customHeight="1" x14ac:dyDescent="0.3">
      <c r="A223" s="794" t="s">
        <v>591</v>
      </c>
      <c r="B223" s="795" t="s">
        <v>3509</v>
      </c>
      <c r="C223" s="795" t="s">
        <v>3612</v>
      </c>
      <c r="D223" s="795" t="s">
        <v>3785</v>
      </c>
      <c r="E223" s="795" t="s">
        <v>3786</v>
      </c>
      <c r="F223" s="812"/>
      <c r="G223" s="812"/>
      <c r="H223" s="812"/>
      <c r="I223" s="812"/>
      <c r="J223" s="812">
        <v>1</v>
      </c>
      <c r="K223" s="812">
        <v>2383.64</v>
      </c>
      <c r="L223" s="812">
        <v>1</v>
      </c>
      <c r="M223" s="812">
        <v>2383.64</v>
      </c>
      <c r="N223" s="812">
        <v>1</v>
      </c>
      <c r="O223" s="812">
        <v>2383.64</v>
      </c>
      <c r="P223" s="800">
        <v>1</v>
      </c>
      <c r="Q223" s="813">
        <v>2383.64</v>
      </c>
    </row>
    <row r="224" spans="1:17" ht="14.4" customHeight="1" x14ac:dyDescent="0.3">
      <c r="A224" s="794" t="s">
        <v>591</v>
      </c>
      <c r="B224" s="795" t="s">
        <v>3509</v>
      </c>
      <c r="C224" s="795" t="s">
        <v>3612</v>
      </c>
      <c r="D224" s="795" t="s">
        <v>3787</v>
      </c>
      <c r="E224" s="795" t="s">
        <v>3788</v>
      </c>
      <c r="F224" s="812">
        <v>2</v>
      </c>
      <c r="G224" s="812">
        <v>3689.46</v>
      </c>
      <c r="H224" s="812">
        <v>0.81300737763439723</v>
      </c>
      <c r="I224" s="812">
        <v>1844.73</v>
      </c>
      <c r="J224" s="812">
        <v>3</v>
      </c>
      <c r="K224" s="812">
        <v>4538.04</v>
      </c>
      <c r="L224" s="812">
        <v>1</v>
      </c>
      <c r="M224" s="812">
        <v>1512.68</v>
      </c>
      <c r="N224" s="812">
        <v>1</v>
      </c>
      <c r="O224" s="812">
        <v>1512.68</v>
      </c>
      <c r="P224" s="800">
        <v>0.33333333333333337</v>
      </c>
      <c r="Q224" s="813">
        <v>1512.68</v>
      </c>
    </row>
    <row r="225" spans="1:17" ht="14.4" customHeight="1" x14ac:dyDescent="0.3">
      <c r="A225" s="794" t="s">
        <v>591</v>
      </c>
      <c r="B225" s="795" t="s">
        <v>3509</v>
      </c>
      <c r="C225" s="795" t="s">
        <v>3612</v>
      </c>
      <c r="D225" s="795" t="s">
        <v>3789</v>
      </c>
      <c r="E225" s="795" t="s">
        <v>3790</v>
      </c>
      <c r="F225" s="812">
        <v>1</v>
      </c>
      <c r="G225" s="812">
        <v>22843.53</v>
      </c>
      <c r="H225" s="812">
        <v>1</v>
      </c>
      <c r="I225" s="812">
        <v>22843.53</v>
      </c>
      <c r="J225" s="812">
        <v>1</v>
      </c>
      <c r="K225" s="812">
        <v>22843.53</v>
      </c>
      <c r="L225" s="812">
        <v>1</v>
      </c>
      <c r="M225" s="812">
        <v>22843.53</v>
      </c>
      <c r="N225" s="812"/>
      <c r="O225" s="812"/>
      <c r="P225" s="800"/>
      <c r="Q225" s="813"/>
    </row>
    <row r="226" spans="1:17" ht="14.4" customHeight="1" x14ac:dyDescent="0.3">
      <c r="A226" s="794" t="s">
        <v>591</v>
      </c>
      <c r="B226" s="795" t="s">
        <v>3509</v>
      </c>
      <c r="C226" s="795" t="s">
        <v>3612</v>
      </c>
      <c r="D226" s="795" t="s">
        <v>3791</v>
      </c>
      <c r="E226" s="795" t="s">
        <v>3792</v>
      </c>
      <c r="F226" s="812">
        <v>1</v>
      </c>
      <c r="G226" s="812">
        <v>9229.85</v>
      </c>
      <c r="H226" s="812">
        <v>1.0869567777508227</v>
      </c>
      <c r="I226" s="812">
        <v>9229.85</v>
      </c>
      <c r="J226" s="812">
        <v>1</v>
      </c>
      <c r="K226" s="812">
        <v>8491.4599999999991</v>
      </c>
      <c r="L226" s="812">
        <v>1</v>
      </c>
      <c r="M226" s="812">
        <v>8491.4599999999991</v>
      </c>
      <c r="N226" s="812">
        <v>1</v>
      </c>
      <c r="O226" s="812">
        <v>8491.4599999999991</v>
      </c>
      <c r="P226" s="800">
        <v>1</v>
      </c>
      <c r="Q226" s="813">
        <v>8491.4599999999991</v>
      </c>
    </row>
    <row r="227" spans="1:17" ht="14.4" customHeight="1" x14ac:dyDescent="0.3">
      <c r="A227" s="794" t="s">
        <v>591</v>
      </c>
      <c r="B227" s="795" t="s">
        <v>3509</v>
      </c>
      <c r="C227" s="795" t="s">
        <v>3612</v>
      </c>
      <c r="D227" s="795" t="s">
        <v>3793</v>
      </c>
      <c r="E227" s="795" t="s">
        <v>3794</v>
      </c>
      <c r="F227" s="812">
        <v>6</v>
      </c>
      <c r="G227" s="812">
        <v>17995.439999999999</v>
      </c>
      <c r="H227" s="812">
        <v>0.8571428571428571</v>
      </c>
      <c r="I227" s="812">
        <v>2999.24</v>
      </c>
      <c r="J227" s="812">
        <v>7</v>
      </c>
      <c r="K227" s="812">
        <v>20994.68</v>
      </c>
      <c r="L227" s="812">
        <v>1</v>
      </c>
      <c r="M227" s="812">
        <v>2999.2400000000002</v>
      </c>
      <c r="N227" s="812">
        <v>3</v>
      </c>
      <c r="O227" s="812">
        <v>8997.7199999999993</v>
      </c>
      <c r="P227" s="800">
        <v>0.42857142857142855</v>
      </c>
      <c r="Q227" s="813">
        <v>2999.24</v>
      </c>
    </row>
    <row r="228" spans="1:17" ht="14.4" customHeight="1" x14ac:dyDescent="0.3">
      <c r="A228" s="794" t="s">
        <v>591</v>
      </c>
      <c r="B228" s="795" t="s">
        <v>3509</v>
      </c>
      <c r="C228" s="795" t="s">
        <v>3612</v>
      </c>
      <c r="D228" s="795" t="s">
        <v>3795</v>
      </c>
      <c r="E228" s="795" t="s">
        <v>3796</v>
      </c>
      <c r="F228" s="812"/>
      <c r="G228" s="812"/>
      <c r="H228" s="812"/>
      <c r="I228" s="812"/>
      <c r="J228" s="812">
        <v>3</v>
      </c>
      <c r="K228" s="812">
        <v>3699.81</v>
      </c>
      <c r="L228" s="812">
        <v>1</v>
      </c>
      <c r="M228" s="812">
        <v>1233.27</v>
      </c>
      <c r="N228" s="812"/>
      <c r="O228" s="812"/>
      <c r="P228" s="800"/>
      <c r="Q228" s="813"/>
    </row>
    <row r="229" spans="1:17" ht="14.4" customHeight="1" x14ac:dyDescent="0.3">
      <c r="A229" s="794" t="s">
        <v>591</v>
      </c>
      <c r="B229" s="795" t="s">
        <v>3509</v>
      </c>
      <c r="C229" s="795" t="s">
        <v>3612</v>
      </c>
      <c r="D229" s="795" t="s">
        <v>3797</v>
      </c>
      <c r="E229" s="795" t="s">
        <v>3798</v>
      </c>
      <c r="F229" s="812"/>
      <c r="G229" s="812"/>
      <c r="H229" s="812"/>
      <c r="I229" s="812"/>
      <c r="J229" s="812">
        <v>1</v>
      </c>
      <c r="K229" s="812">
        <v>5774.62</v>
      </c>
      <c r="L229" s="812">
        <v>1</v>
      </c>
      <c r="M229" s="812">
        <v>5774.62</v>
      </c>
      <c r="N229" s="812"/>
      <c r="O229" s="812"/>
      <c r="P229" s="800"/>
      <c r="Q229" s="813"/>
    </row>
    <row r="230" spans="1:17" ht="14.4" customHeight="1" x14ac:dyDescent="0.3">
      <c r="A230" s="794" t="s">
        <v>591</v>
      </c>
      <c r="B230" s="795" t="s">
        <v>3509</v>
      </c>
      <c r="C230" s="795" t="s">
        <v>3612</v>
      </c>
      <c r="D230" s="795" t="s">
        <v>3799</v>
      </c>
      <c r="E230" s="795" t="s">
        <v>3800</v>
      </c>
      <c r="F230" s="812"/>
      <c r="G230" s="812"/>
      <c r="H230" s="812"/>
      <c r="I230" s="812"/>
      <c r="J230" s="812">
        <v>2</v>
      </c>
      <c r="K230" s="812">
        <v>18795.5</v>
      </c>
      <c r="L230" s="812">
        <v>1</v>
      </c>
      <c r="M230" s="812">
        <v>9397.75</v>
      </c>
      <c r="N230" s="812"/>
      <c r="O230" s="812"/>
      <c r="P230" s="800"/>
      <c r="Q230" s="813"/>
    </row>
    <row r="231" spans="1:17" ht="14.4" customHeight="1" x14ac:dyDescent="0.3">
      <c r="A231" s="794" t="s">
        <v>591</v>
      </c>
      <c r="B231" s="795" t="s">
        <v>3509</v>
      </c>
      <c r="C231" s="795" t="s">
        <v>3612</v>
      </c>
      <c r="D231" s="795" t="s">
        <v>3801</v>
      </c>
      <c r="E231" s="795" t="s">
        <v>3802</v>
      </c>
      <c r="F231" s="812"/>
      <c r="G231" s="812"/>
      <c r="H231" s="812"/>
      <c r="I231" s="812"/>
      <c r="J231" s="812">
        <v>2</v>
      </c>
      <c r="K231" s="812">
        <v>3328.8</v>
      </c>
      <c r="L231" s="812">
        <v>1</v>
      </c>
      <c r="M231" s="812">
        <v>1664.4</v>
      </c>
      <c r="N231" s="812"/>
      <c r="O231" s="812"/>
      <c r="P231" s="800"/>
      <c r="Q231" s="813"/>
    </row>
    <row r="232" spans="1:17" ht="14.4" customHeight="1" x14ac:dyDescent="0.3">
      <c r="A232" s="794" t="s">
        <v>591</v>
      </c>
      <c r="B232" s="795" t="s">
        <v>3509</v>
      </c>
      <c r="C232" s="795" t="s">
        <v>3612</v>
      </c>
      <c r="D232" s="795" t="s">
        <v>3803</v>
      </c>
      <c r="E232" s="795" t="s">
        <v>3804</v>
      </c>
      <c r="F232" s="812"/>
      <c r="G232" s="812"/>
      <c r="H232" s="812"/>
      <c r="I232" s="812"/>
      <c r="J232" s="812"/>
      <c r="K232" s="812"/>
      <c r="L232" s="812"/>
      <c r="M232" s="812"/>
      <c r="N232" s="812">
        <v>2</v>
      </c>
      <c r="O232" s="812">
        <v>9922.6</v>
      </c>
      <c r="P232" s="800"/>
      <c r="Q232" s="813">
        <v>4961.3</v>
      </c>
    </row>
    <row r="233" spans="1:17" ht="14.4" customHeight="1" x14ac:dyDescent="0.3">
      <c r="A233" s="794" t="s">
        <v>591</v>
      </c>
      <c r="B233" s="795" t="s">
        <v>3509</v>
      </c>
      <c r="C233" s="795" t="s">
        <v>3612</v>
      </c>
      <c r="D233" s="795" t="s">
        <v>3805</v>
      </c>
      <c r="E233" s="795" t="s">
        <v>3806</v>
      </c>
      <c r="F233" s="812">
        <v>2</v>
      </c>
      <c r="G233" s="812">
        <v>6270</v>
      </c>
      <c r="H233" s="812"/>
      <c r="I233" s="812">
        <v>3135</v>
      </c>
      <c r="J233" s="812"/>
      <c r="K233" s="812"/>
      <c r="L233" s="812"/>
      <c r="M233" s="812"/>
      <c r="N233" s="812">
        <v>4</v>
      </c>
      <c r="O233" s="812">
        <v>11662.2</v>
      </c>
      <c r="P233" s="800"/>
      <c r="Q233" s="813">
        <v>2915.55</v>
      </c>
    </row>
    <row r="234" spans="1:17" ht="14.4" customHeight="1" x14ac:dyDescent="0.3">
      <c r="A234" s="794" t="s">
        <v>591</v>
      </c>
      <c r="B234" s="795" t="s">
        <v>3509</v>
      </c>
      <c r="C234" s="795" t="s">
        <v>3612</v>
      </c>
      <c r="D234" s="795" t="s">
        <v>3807</v>
      </c>
      <c r="E234" s="795" t="s">
        <v>3808</v>
      </c>
      <c r="F234" s="812">
        <v>3</v>
      </c>
      <c r="G234" s="812">
        <v>20181</v>
      </c>
      <c r="H234" s="812">
        <v>3</v>
      </c>
      <c r="I234" s="812">
        <v>6727</v>
      </c>
      <c r="J234" s="812">
        <v>1</v>
      </c>
      <c r="K234" s="812">
        <v>6727</v>
      </c>
      <c r="L234" s="812">
        <v>1</v>
      </c>
      <c r="M234" s="812">
        <v>6727</v>
      </c>
      <c r="N234" s="812">
        <v>5</v>
      </c>
      <c r="O234" s="812">
        <v>33635</v>
      </c>
      <c r="P234" s="800">
        <v>5</v>
      </c>
      <c r="Q234" s="813">
        <v>6727</v>
      </c>
    </row>
    <row r="235" spans="1:17" ht="14.4" customHeight="1" x14ac:dyDescent="0.3">
      <c r="A235" s="794" t="s">
        <v>591</v>
      </c>
      <c r="B235" s="795" t="s">
        <v>3509</v>
      </c>
      <c r="C235" s="795" t="s">
        <v>3612</v>
      </c>
      <c r="D235" s="795" t="s">
        <v>3809</v>
      </c>
      <c r="E235" s="795" t="s">
        <v>3810</v>
      </c>
      <c r="F235" s="812">
        <v>2</v>
      </c>
      <c r="G235" s="812">
        <v>21558.44</v>
      </c>
      <c r="H235" s="812">
        <v>0.66666666666666674</v>
      </c>
      <c r="I235" s="812">
        <v>10779.22</v>
      </c>
      <c r="J235" s="812">
        <v>3</v>
      </c>
      <c r="K235" s="812">
        <v>32337.659999999996</v>
      </c>
      <c r="L235" s="812">
        <v>1</v>
      </c>
      <c r="M235" s="812">
        <v>10779.22</v>
      </c>
      <c r="N235" s="812">
        <v>4</v>
      </c>
      <c r="O235" s="812">
        <v>43116.88</v>
      </c>
      <c r="P235" s="800">
        <v>1.3333333333333335</v>
      </c>
      <c r="Q235" s="813">
        <v>10779.22</v>
      </c>
    </row>
    <row r="236" spans="1:17" ht="14.4" customHeight="1" x14ac:dyDescent="0.3">
      <c r="A236" s="794" t="s">
        <v>591</v>
      </c>
      <c r="B236" s="795" t="s">
        <v>3509</v>
      </c>
      <c r="C236" s="795" t="s">
        <v>3612</v>
      </c>
      <c r="D236" s="795" t="s">
        <v>3811</v>
      </c>
      <c r="E236" s="795" t="s">
        <v>3812</v>
      </c>
      <c r="F236" s="812"/>
      <c r="G236" s="812"/>
      <c r="H236" s="812"/>
      <c r="I236" s="812"/>
      <c r="J236" s="812"/>
      <c r="K236" s="812"/>
      <c r="L236" s="812"/>
      <c r="M236" s="812"/>
      <c r="N236" s="812">
        <v>1</v>
      </c>
      <c r="O236" s="812">
        <v>9112.75</v>
      </c>
      <c r="P236" s="800"/>
      <c r="Q236" s="813">
        <v>9112.75</v>
      </c>
    </row>
    <row r="237" spans="1:17" ht="14.4" customHeight="1" x14ac:dyDescent="0.3">
      <c r="A237" s="794" t="s">
        <v>591</v>
      </c>
      <c r="B237" s="795" t="s">
        <v>3509</v>
      </c>
      <c r="C237" s="795" t="s">
        <v>3612</v>
      </c>
      <c r="D237" s="795" t="s">
        <v>3813</v>
      </c>
      <c r="E237" s="795" t="s">
        <v>3814</v>
      </c>
      <c r="F237" s="812">
        <v>4</v>
      </c>
      <c r="G237" s="812">
        <v>4899.92</v>
      </c>
      <c r="H237" s="812">
        <v>0.5714285714285714</v>
      </c>
      <c r="I237" s="812">
        <v>1224.98</v>
      </c>
      <c r="J237" s="812">
        <v>7</v>
      </c>
      <c r="K237" s="812">
        <v>8574.86</v>
      </c>
      <c r="L237" s="812">
        <v>1</v>
      </c>
      <c r="M237" s="812">
        <v>1224.98</v>
      </c>
      <c r="N237" s="812">
        <v>11</v>
      </c>
      <c r="O237" s="812">
        <v>13474.78</v>
      </c>
      <c r="P237" s="800">
        <v>1.5714285714285714</v>
      </c>
      <c r="Q237" s="813">
        <v>1224.98</v>
      </c>
    </row>
    <row r="238" spans="1:17" ht="14.4" customHeight="1" x14ac:dyDescent="0.3">
      <c r="A238" s="794" t="s">
        <v>591</v>
      </c>
      <c r="B238" s="795" t="s">
        <v>3509</v>
      </c>
      <c r="C238" s="795" t="s">
        <v>3612</v>
      </c>
      <c r="D238" s="795" t="s">
        <v>3815</v>
      </c>
      <c r="E238" s="795" t="s">
        <v>3814</v>
      </c>
      <c r="F238" s="812">
        <v>7</v>
      </c>
      <c r="G238" s="812">
        <v>13312.11</v>
      </c>
      <c r="H238" s="812">
        <v>1</v>
      </c>
      <c r="I238" s="812">
        <v>1901.73</v>
      </c>
      <c r="J238" s="812">
        <v>7</v>
      </c>
      <c r="K238" s="812">
        <v>13312.11</v>
      </c>
      <c r="L238" s="812">
        <v>1</v>
      </c>
      <c r="M238" s="812">
        <v>1901.73</v>
      </c>
      <c r="N238" s="812">
        <v>15</v>
      </c>
      <c r="O238" s="812">
        <v>28525.95</v>
      </c>
      <c r="P238" s="800">
        <v>2.1428571428571428</v>
      </c>
      <c r="Q238" s="813">
        <v>1901.73</v>
      </c>
    </row>
    <row r="239" spans="1:17" ht="14.4" customHeight="1" x14ac:dyDescent="0.3">
      <c r="A239" s="794" t="s">
        <v>591</v>
      </c>
      <c r="B239" s="795" t="s">
        <v>3509</v>
      </c>
      <c r="C239" s="795" t="s">
        <v>3612</v>
      </c>
      <c r="D239" s="795" t="s">
        <v>3816</v>
      </c>
      <c r="E239" s="795" t="s">
        <v>3817</v>
      </c>
      <c r="F239" s="812">
        <v>2</v>
      </c>
      <c r="G239" s="812">
        <v>2076</v>
      </c>
      <c r="H239" s="812"/>
      <c r="I239" s="812">
        <v>1038</v>
      </c>
      <c r="J239" s="812"/>
      <c r="K239" s="812"/>
      <c r="L239" s="812"/>
      <c r="M239" s="812"/>
      <c r="N239" s="812"/>
      <c r="O239" s="812"/>
      <c r="P239" s="800"/>
      <c r="Q239" s="813"/>
    </row>
    <row r="240" spans="1:17" ht="14.4" customHeight="1" x14ac:dyDescent="0.3">
      <c r="A240" s="794" t="s">
        <v>591</v>
      </c>
      <c r="B240" s="795" t="s">
        <v>3509</v>
      </c>
      <c r="C240" s="795" t="s">
        <v>3612</v>
      </c>
      <c r="D240" s="795" t="s">
        <v>3818</v>
      </c>
      <c r="E240" s="795" t="s">
        <v>3819</v>
      </c>
      <c r="F240" s="812">
        <v>1</v>
      </c>
      <c r="G240" s="812">
        <v>1312</v>
      </c>
      <c r="H240" s="812"/>
      <c r="I240" s="812">
        <v>1312</v>
      </c>
      <c r="J240" s="812"/>
      <c r="K240" s="812"/>
      <c r="L240" s="812"/>
      <c r="M240" s="812"/>
      <c r="N240" s="812"/>
      <c r="O240" s="812"/>
      <c r="P240" s="800"/>
      <c r="Q240" s="813"/>
    </row>
    <row r="241" spans="1:17" ht="14.4" customHeight="1" x14ac:dyDescent="0.3">
      <c r="A241" s="794" t="s">
        <v>591</v>
      </c>
      <c r="B241" s="795" t="s">
        <v>3509</v>
      </c>
      <c r="C241" s="795" t="s">
        <v>3612</v>
      </c>
      <c r="D241" s="795" t="s">
        <v>3820</v>
      </c>
      <c r="E241" s="795" t="s">
        <v>3821</v>
      </c>
      <c r="F241" s="812"/>
      <c r="G241" s="812"/>
      <c r="H241" s="812"/>
      <c r="I241" s="812"/>
      <c r="J241" s="812">
        <v>1</v>
      </c>
      <c r="K241" s="812">
        <v>96.6</v>
      </c>
      <c r="L241" s="812">
        <v>1</v>
      </c>
      <c r="M241" s="812">
        <v>96.6</v>
      </c>
      <c r="N241" s="812"/>
      <c r="O241" s="812"/>
      <c r="P241" s="800"/>
      <c r="Q241" s="813"/>
    </row>
    <row r="242" spans="1:17" ht="14.4" customHeight="1" x14ac:dyDescent="0.3">
      <c r="A242" s="794" t="s">
        <v>591</v>
      </c>
      <c r="B242" s="795" t="s">
        <v>3509</v>
      </c>
      <c r="C242" s="795" t="s">
        <v>3612</v>
      </c>
      <c r="D242" s="795" t="s">
        <v>3822</v>
      </c>
      <c r="E242" s="795" t="s">
        <v>3823</v>
      </c>
      <c r="F242" s="812">
        <v>1</v>
      </c>
      <c r="G242" s="812">
        <v>9159.3799999999992</v>
      </c>
      <c r="H242" s="812"/>
      <c r="I242" s="812">
        <v>9159.3799999999992</v>
      </c>
      <c r="J242" s="812"/>
      <c r="K242" s="812"/>
      <c r="L242" s="812"/>
      <c r="M242" s="812"/>
      <c r="N242" s="812"/>
      <c r="O242" s="812"/>
      <c r="P242" s="800"/>
      <c r="Q242" s="813"/>
    </row>
    <row r="243" spans="1:17" ht="14.4" customHeight="1" x14ac:dyDescent="0.3">
      <c r="A243" s="794" t="s">
        <v>591</v>
      </c>
      <c r="B243" s="795" t="s">
        <v>3509</v>
      </c>
      <c r="C243" s="795" t="s">
        <v>3612</v>
      </c>
      <c r="D243" s="795" t="s">
        <v>3824</v>
      </c>
      <c r="E243" s="795" t="s">
        <v>3825</v>
      </c>
      <c r="F243" s="812"/>
      <c r="G243" s="812"/>
      <c r="H243" s="812"/>
      <c r="I243" s="812"/>
      <c r="J243" s="812"/>
      <c r="K243" s="812"/>
      <c r="L243" s="812"/>
      <c r="M243" s="812"/>
      <c r="N243" s="812">
        <v>1</v>
      </c>
      <c r="O243" s="812">
        <v>10084.85</v>
      </c>
      <c r="P243" s="800"/>
      <c r="Q243" s="813">
        <v>10084.85</v>
      </c>
    </row>
    <row r="244" spans="1:17" ht="14.4" customHeight="1" x14ac:dyDescent="0.3">
      <c r="A244" s="794" t="s">
        <v>591</v>
      </c>
      <c r="B244" s="795" t="s">
        <v>3509</v>
      </c>
      <c r="C244" s="795" t="s">
        <v>3612</v>
      </c>
      <c r="D244" s="795" t="s">
        <v>3826</v>
      </c>
      <c r="E244" s="795" t="s">
        <v>3827</v>
      </c>
      <c r="F244" s="812">
        <v>2</v>
      </c>
      <c r="G244" s="812">
        <v>22768.9</v>
      </c>
      <c r="H244" s="812">
        <v>1</v>
      </c>
      <c r="I244" s="812">
        <v>11384.45</v>
      </c>
      <c r="J244" s="812">
        <v>2</v>
      </c>
      <c r="K244" s="812">
        <v>22768.9</v>
      </c>
      <c r="L244" s="812">
        <v>1</v>
      </c>
      <c r="M244" s="812">
        <v>11384.45</v>
      </c>
      <c r="N244" s="812">
        <v>2</v>
      </c>
      <c r="O244" s="812">
        <v>22768.9</v>
      </c>
      <c r="P244" s="800">
        <v>1</v>
      </c>
      <c r="Q244" s="813">
        <v>11384.45</v>
      </c>
    </row>
    <row r="245" spans="1:17" ht="14.4" customHeight="1" x14ac:dyDescent="0.3">
      <c r="A245" s="794" t="s">
        <v>591</v>
      </c>
      <c r="B245" s="795" t="s">
        <v>3509</v>
      </c>
      <c r="C245" s="795" t="s">
        <v>3612</v>
      </c>
      <c r="D245" s="795" t="s">
        <v>3828</v>
      </c>
      <c r="E245" s="795" t="s">
        <v>3827</v>
      </c>
      <c r="F245" s="812">
        <v>1</v>
      </c>
      <c r="G245" s="812">
        <v>10320.11</v>
      </c>
      <c r="H245" s="812"/>
      <c r="I245" s="812">
        <v>10320.11</v>
      </c>
      <c r="J245" s="812"/>
      <c r="K245" s="812"/>
      <c r="L245" s="812"/>
      <c r="M245" s="812"/>
      <c r="N245" s="812">
        <v>2</v>
      </c>
      <c r="O245" s="812">
        <v>20640.22</v>
      </c>
      <c r="P245" s="800"/>
      <c r="Q245" s="813">
        <v>10320.11</v>
      </c>
    </row>
    <row r="246" spans="1:17" ht="14.4" customHeight="1" x14ac:dyDescent="0.3">
      <c r="A246" s="794" t="s">
        <v>591</v>
      </c>
      <c r="B246" s="795" t="s">
        <v>3509</v>
      </c>
      <c r="C246" s="795" t="s">
        <v>3612</v>
      </c>
      <c r="D246" s="795" t="s">
        <v>3829</v>
      </c>
      <c r="E246" s="795" t="s">
        <v>3830</v>
      </c>
      <c r="F246" s="812">
        <v>1</v>
      </c>
      <c r="G246" s="812">
        <v>9736.64</v>
      </c>
      <c r="H246" s="812">
        <v>1</v>
      </c>
      <c r="I246" s="812">
        <v>9736.64</v>
      </c>
      <c r="J246" s="812">
        <v>1</v>
      </c>
      <c r="K246" s="812">
        <v>9736.64</v>
      </c>
      <c r="L246" s="812">
        <v>1</v>
      </c>
      <c r="M246" s="812">
        <v>9736.64</v>
      </c>
      <c r="N246" s="812">
        <v>2</v>
      </c>
      <c r="O246" s="812">
        <v>19473.28</v>
      </c>
      <c r="P246" s="800">
        <v>2</v>
      </c>
      <c r="Q246" s="813">
        <v>9736.64</v>
      </c>
    </row>
    <row r="247" spans="1:17" ht="14.4" customHeight="1" x14ac:dyDescent="0.3">
      <c r="A247" s="794" t="s">
        <v>591</v>
      </c>
      <c r="B247" s="795" t="s">
        <v>3509</v>
      </c>
      <c r="C247" s="795" t="s">
        <v>3612</v>
      </c>
      <c r="D247" s="795" t="s">
        <v>3831</v>
      </c>
      <c r="E247" s="795" t="s">
        <v>3832</v>
      </c>
      <c r="F247" s="812"/>
      <c r="G247" s="812"/>
      <c r="H247" s="812"/>
      <c r="I247" s="812"/>
      <c r="J247" s="812">
        <v>1</v>
      </c>
      <c r="K247" s="812">
        <v>10257.93</v>
      </c>
      <c r="L247" s="812">
        <v>1</v>
      </c>
      <c r="M247" s="812">
        <v>10257.93</v>
      </c>
      <c r="N247" s="812">
        <v>1</v>
      </c>
      <c r="O247" s="812">
        <v>10257.93</v>
      </c>
      <c r="P247" s="800">
        <v>1</v>
      </c>
      <c r="Q247" s="813">
        <v>10257.93</v>
      </c>
    </row>
    <row r="248" spans="1:17" ht="14.4" customHeight="1" x14ac:dyDescent="0.3">
      <c r="A248" s="794" t="s">
        <v>591</v>
      </c>
      <c r="B248" s="795" t="s">
        <v>3509</v>
      </c>
      <c r="C248" s="795" t="s">
        <v>3612</v>
      </c>
      <c r="D248" s="795" t="s">
        <v>3833</v>
      </c>
      <c r="E248" s="795" t="s">
        <v>3834</v>
      </c>
      <c r="F248" s="812">
        <v>3</v>
      </c>
      <c r="G248" s="812">
        <v>3726</v>
      </c>
      <c r="H248" s="812">
        <v>3</v>
      </c>
      <c r="I248" s="812">
        <v>1242</v>
      </c>
      <c r="J248" s="812">
        <v>1</v>
      </c>
      <c r="K248" s="812">
        <v>1242</v>
      </c>
      <c r="L248" s="812">
        <v>1</v>
      </c>
      <c r="M248" s="812">
        <v>1242</v>
      </c>
      <c r="N248" s="812">
        <v>3</v>
      </c>
      <c r="O248" s="812">
        <v>3726</v>
      </c>
      <c r="P248" s="800">
        <v>3</v>
      </c>
      <c r="Q248" s="813">
        <v>1242</v>
      </c>
    </row>
    <row r="249" spans="1:17" ht="14.4" customHeight="1" x14ac:dyDescent="0.3">
      <c r="A249" s="794" t="s">
        <v>591</v>
      </c>
      <c r="B249" s="795" t="s">
        <v>3509</v>
      </c>
      <c r="C249" s="795" t="s">
        <v>3612</v>
      </c>
      <c r="D249" s="795" t="s">
        <v>3835</v>
      </c>
      <c r="E249" s="795" t="s">
        <v>3836</v>
      </c>
      <c r="F249" s="812">
        <v>1</v>
      </c>
      <c r="G249" s="812">
        <v>1190.78</v>
      </c>
      <c r="H249" s="812">
        <v>0.33333333333333331</v>
      </c>
      <c r="I249" s="812">
        <v>1190.78</v>
      </c>
      <c r="J249" s="812">
        <v>3</v>
      </c>
      <c r="K249" s="812">
        <v>3572.34</v>
      </c>
      <c r="L249" s="812">
        <v>1</v>
      </c>
      <c r="M249" s="812">
        <v>1190.78</v>
      </c>
      <c r="N249" s="812">
        <v>11</v>
      </c>
      <c r="O249" s="812">
        <v>13098.58</v>
      </c>
      <c r="P249" s="800">
        <v>3.6666666666666665</v>
      </c>
      <c r="Q249" s="813">
        <v>1190.78</v>
      </c>
    </row>
    <row r="250" spans="1:17" ht="14.4" customHeight="1" x14ac:dyDescent="0.3">
      <c r="A250" s="794" t="s">
        <v>591</v>
      </c>
      <c r="B250" s="795" t="s">
        <v>3509</v>
      </c>
      <c r="C250" s="795" t="s">
        <v>3612</v>
      </c>
      <c r="D250" s="795" t="s">
        <v>3837</v>
      </c>
      <c r="E250" s="795" t="s">
        <v>3836</v>
      </c>
      <c r="F250" s="812">
        <v>4</v>
      </c>
      <c r="G250" s="812">
        <v>4904.08</v>
      </c>
      <c r="H250" s="812">
        <v>0.44444444444444442</v>
      </c>
      <c r="I250" s="812">
        <v>1226.02</v>
      </c>
      <c r="J250" s="812">
        <v>9</v>
      </c>
      <c r="K250" s="812">
        <v>11034.18</v>
      </c>
      <c r="L250" s="812">
        <v>1</v>
      </c>
      <c r="M250" s="812">
        <v>1226.02</v>
      </c>
      <c r="N250" s="812">
        <v>29</v>
      </c>
      <c r="O250" s="812">
        <v>35554.58</v>
      </c>
      <c r="P250" s="800">
        <v>3.2222222222222223</v>
      </c>
      <c r="Q250" s="813">
        <v>1226.02</v>
      </c>
    </row>
    <row r="251" spans="1:17" ht="14.4" customHeight="1" x14ac:dyDescent="0.3">
      <c r="A251" s="794" t="s">
        <v>591</v>
      </c>
      <c r="B251" s="795" t="s">
        <v>3509</v>
      </c>
      <c r="C251" s="795" t="s">
        <v>3612</v>
      </c>
      <c r="D251" s="795" t="s">
        <v>3838</v>
      </c>
      <c r="E251" s="795" t="s">
        <v>3839</v>
      </c>
      <c r="F251" s="812">
        <v>1</v>
      </c>
      <c r="G251" s="812">
        <v>6284.51</v>
      </c>
      <c r="H251" s="812"/>
      <c r="I251" s="812">
        <v>6284.51</v>
      </c>
      <c r="J251" s="812"/>
      <c r="K251" s="812"/>
      <c r="L251" s="812"/>
      <c r="M251" s="812"/>
      <c r="N251" s="812"/>
      <c r="O251" s="812"/>
      <c r="P251" s="800"/>
      <c r="Q251" s="813"/>
    </row>
    <row r="252" spans="1:17" ht="14.4" customHeight="1" x14ac:dyDescent="0.3">
      <c r="A252" s="794" t="s">
        <v>591</v>
      </c>
      <c r="B252" s="795" t="s">
        <v>3509</v>
      </c>
      <c r="C252" s="795" t="s">
        <v>3612</v>
      </c>
      <c r="D252" s="795" t="s">
        <v>3840</v>
      </c>
      <c r="E252" s="795" t="s">
        <v>3839</v>
      </c>
      <c r="F252" s="812">
        <v>4</v>
      </c>
      <c r="G252" s="812">
        <v>44945</v>
      </c>
      <c r="H252" s="812">
        <v>2</v>
      </c>
      <c r="I252" s="812">
        <v>11236.25</v>
      </c>
      <c r="J252" s="812">
        <v>2</v>
      </c>
      <c r="K252" s="812">
        <v>22472.5</v>
      </c>
      <c r="L252" s="812">
        <v>1</v>
      </c>
      <c r="M252" s="812">
        <v>11236.25</v>
      </c>
      <c r="N252" s="812">
        <v>1</v>
      </c>
      <c r="O252" s="812">
        <v>11236.25</v>
      </c>
      <c r="P252" s="800">
        <v>0.5</v>
      </c>
      <c r="Q252" s="813">
        <v>11236.25</v>
      </c>
    </row>
    <row r="253" spans="1:17" ht="14.4" customHeight="1" x14ac:dyDescent="0.3">
      <c r="A253" s="794" t="s">
        <v>591</v>
      </c>
      <c r="B253" s="795" t="s">
        <v>3509</v>
      </c>
      <c r="C253" s="795" t="s">
        <v>3612</v>
      </c>
      <c r="D253" s="795" t="s">
        <v>3841</v>
      </c>
      <c r="E253" s="795" t="s">
        <v>3842</v>
      </c>
      <c r="F253" s="812"/>
      <c r="G253" s="812"/>
      <c r="H253" s="812"/>
      <c r="I253" s="812"/>
      <c r="J253" s="812">
        <v>2</v>
      </c>
      <c r="K253" s="812">
        <v>41433.82</v>
      </c>
      <c r="L253" s="812">
        <v>1</v>
      </c>
      <c r="M253" s="812">
        <v>20716.91</v>
      </c>
      <c r="N253" s="812"/>
      <c r="O253" s="812"/>
      <c r="P253" s="800"/>
      <c r="Q253" s="813"/>
    </row>
    <row r="254" spans="1:17" ht="14.4" customHeight="1" x14ac:dyDescent="0.3">
      <c r="A254" s="794" t="s">
        <v>591</v>
      </c>
      <c r="B254" s="795" t="s">
        <v>3509</v>
      </c>
      <c r="C254" s="795" t="s">
        <v>3612</v>
      </c>
      <c r="D254" s="795" t="s">
        <v>3843</v>
      </c>
      <c r="E254" s="795" t="s">
        <v>3844</v>
      </c>
      <c r="F254" s="812">
        <v>1</v>
      </c>
      <c r="G254" s="812">
        <v>9701.4</v>
      </c>
      <c r="H254" s="812"/>
      <c r="I254" s="812">
        <v>9701.4</v>
      </c>
      <c r="J254" s="812"/>
      <c r="K254" s="812"/>
      <c r="L254" s="812"/>
      <c r="M254" s="812"/>
      <c r="N254" s="812"/>
      <c r="O254" s="812"/>
      <c r="P254" s="800"/>
      <c r="Q254" s="813"/>
    </row>
    <row r="255" spans="1:17" ht="14.4" customHeight="1" x14ac:dyDescent="0.3">
      <c r="A255" s="794" t="s">
        <v>591</v>
      </c>
      <c r="B255" s="795" t="s">
        <v>3509</v>
      </c>
      <c r="C255" s="795" t="s">
        <v>3612</v>
      </c>
      <c r="D255" s="795" t="s">
        <v>3845</v>
      </c>
      <c r="E255" s="795" t="s">
        <v>3844</v>
      </c>
      <c r="F255" s="812"/>
      <c r="G255" s="812"/>
      <c r="H255" s="812"/>
      <c r="I255" s="812"/>
      <c r="J255" s="812">
        <v>1</v>
      </c>
      <c r="K255" s="812">
        <v>11132.62</v>
      </c>
      <c r="L255" s="812">
        <v>1</v>
      </c>
      <c r="M255" s="812">
        <v>11132.62</v>
      </c>
      <c r="N255" s="812">
        <v>1</v>
      </c>
      <c r="O255" s="812">
        <v>11132.62</v>
      </c>
      <c r="P255" s="800">
        <v>1</v>
      </c>
      <c r="Q255" s="813">
        <v>11132.62</v>
      </c>
    </row>
    <row r="256" spans="1:17" ht="14.4" customHeight="1" x14ac:dyDescent="0.3">
      <c r="A256" s="794" t="s">
        <v>591</v>
      </c>
      <c r="B256" s="795" t="s">
        <v>3509</v>
      </c>
      <c r="C256" s="795" t="s">
        <v>3612</v>
      </c>
      <c r="D256" s="795" t="s">
        <v>3846</v>
      </c>
      <c r="E256" s="795" t="s">
        <v>3847</v>
      </c>
      <c r="F256" s="812">
        <v>1</v>
      </c>
      <c r="G256" s="812">
        <v>5147</v>
      </c>
      <c r="H256" s="812"/>
      <c r="I256" s="812">
        <v>5147</v>
      </c>
      <c r="J256" s="812"/>
      <c r="K256" s="812"/>
      <c r="L256" s="812"/>
      <c r="M256" s="812"/>
      <c r="N256" s="812">
        <v>1</v>
      </c>
      <c r="O256" s="812">
        <v>5147</v>
      </c>
      <c r="P256" s="800"/>
      <c r="Q256" s="813">
        <v>5147</v>
      </c>
    </row>
    <row r="257" spans="1:17" ht="14.4" customHeight="1" x14ac:dyDescent="0.3">
      <c r="A257" s="794" t="s">
        <v>591</v>
      </c>
      <c r="B257" s="795" t="s">
        <v>3509</v>
      </c>
      <c r="C257" s="795" t="s">
        <v>3612</v>
      </c>
      <c r="D257" s="795" t="s">
        <v>3848</v>
      </c>
      <c r="E257" s="795" t="s">
        <v>3849</v>
      </c>
      <c r="F257" s="812">
        <v>1</v>
      </c>
      <c r="G257" s="812">
        <v>11571</v>
      </c>
      <c r="H257" s="812">
        <v>0.33333333333333331</v>
      </c>
      <c r="I257" s="812">
        <v>11571</v>
      </c>
      <c r="J257" s="812">
        <v>3</v>
      </c>
      <c r="K257" s="812">
        <v>34713</v>
      </c>
      <c r="L257" s="812">
        <v>1</v>
      </c>
      <c r="M257" s="812">
        <v>11571</v>
      </c>
      <c r="N257" s="812">
        <v>2</v>
      </c>
      <c r="O257" s="812">
        <v>23142</v>
      </c>
      <c r="P257" s="800">
        <v>0.66666666666666663</v>
      </c>
      <c r="Q257" s="813">
        <v>11571</v>
      </c>
    </row>
    <row r="258" spans="1:17" ht="14.4" customHeight="1" x14ac:dyDescent="0.3">
      <c r="A258" s="794" t="s">
        <v>591</v>
      </c>
      <c r="B258" s="795" t="s">
        <v>3509</v>
      </c>
      <c r="C258" s="795" t="s">
        <v>3612</v>
      </c>
      <c r="D258" s="795" t="s">
        <v>3850</v>
      </c>
      <c r="E258" s="795" t="s">
        <v>3707</v>
      </c>
      <c r="F258" s="812">
        <v>1</v>
      </c>
      <c r="G258" s="812">
        <v>1359.71</v>
      </c>
      <c r="H258" s="812">
        <v>0.11111111111111112</v>
      </c>
      <c r="I258" s="812">
        <v>1359.71</v>
      </c>
      <c r="J258" s="812">
        <v>9</v>
      </c>
      <c r="K258" s="812">
        <v>12237.39</v>
      </c>
      <c r="L258" s="812">
        <v>1</v>
      </c>
      <c r="M258" s="812">
        <v>1359.71</v>
      </c>
      <c r="N258" s="812">
        <v>6</v>
      </c>
      <c r="O258" s="812">
        <v>8158.26</v>
      </c>
      <c r="P258" s="800">
        <v>0.66666666666666674</v>
      </c>
      <c r="Q258" s="813">
        <v>1359.71</v>
      </c>
    </row>
    <row r="259" spans="1:17" ht="14.4" customHeight="1" x14ac:dyDescent="0.3">
      <c r="A259" s="794" t="s">
        <v>591</v>
      </c>
      <c r="B259" s="795" t="s">
        <v>3509</v>
      </c>
      <c r="C259" s="795" t="s">
        <v>3612</v>
      </c>
      <c r="D259" s="795" t="s">
        <v>3851</v>
      </c>
      <c r="E259" s="795" t="s">
        <v>3852</v>
      </c>
      <c r="F259" s="812">
        <v>1</v>
      </c>
      <c r="G259" s="812">
        <v>1423.96</v>
      </c>
      <c r="H259" s="812">
        <v>1</v>
      </c>
      <c r="I259" s="812">
        <v>1423.96</v>
      </c>
      <c r="J259" s="812">
        <v>1</v>
      </c>
      <c r="K259" s="812">
        <v>1423.96</v>
      </c>
      <c r="L259" s="812">
        <v>1</v>
      </c>
      <c r="M259" s="812">
        <v>1423.96</v>
      </c>
      <c r="N259" s="812"/>
      <c r="O259" s="812"/>
      <c r="P259" s="800"/>
      <c r="Q259" s="813"/>
    </row>
    <row r="260" spans="1:17" ht="14.4" customHeight="1" x14ac:dyDescent="0.3">
      <c r="A260" s="794" t="s">
        <v>591</v>
      </c>
      <c r="B260" s="795" t="s">
        <v>3509</v>
      </c>
      <c r="C260" s="795" t="s">
        <v>3612</v>
      </c>
      <c r="D260" s="795" t="s">
        <v>3853</v>
      </c>
      <c r="E260" s="795" t="s">
        <v>3854</v>
      </c>
      <c r="F260" s="812"/>
      <c r="G260" s="812"/>
      <c r="H260" s="812"/>
      <c r="I260" s="812"/>
      <c r="J260" s="812"/>
      <c r="K260" s="812"/>
      <c r="L260" s="812"/>
      <c r="M260" s="812"/>
      <c r="N260" s="812">
        <v>3</v>
      </c>
      <c r="O260" s="812">
        <v>656.01</v>
      </c>
      <c r="P260" s="800"/>
      <c r="Q260" s="813">
        <v>218.67</v>
      </c>
    </row>
    <row r="261" spans="1:17" ht="14.4" customHeight="1" x14ac:dyDescent="0.3">
      <c r="A261" s="794" t="s">
        <v>591</v>
      </c>
      <c r="B261" s="795" t="s">
        <v>3509</v>
      </c>
      <c r="C261" s="795" t="s">
        <v>3612</v>
      </c>
      <c r="D261" s="795" t="s">
        <v>3855</v>
      </c>
      <c r="E261" s="795" t="s">
        <v>3856</v>
      </c>
      <c r="F261" s="812"/>
      <c r="G261" s="812"/>
      <c r="H261" s="812"/>
      <c r="I261" s="812"/>
      <c r="J261" s="812">
        <v>3</v>
      </c>
      <c r="K261" s="812">
        <v>719.43</v>
      </c>
      <c r="L261" s="812">
        <v>1</v>
      </c>
      <c r="M261" s="812">
        <v>239.80999999999997</v>
      </c>
      <c r="N261" s="812">
        <v>2</v>
      </c>
      <c r="O261" s="812">
        <v>479.62</v>
      </c>
      <c r="P261" s="800">
        <v>0.66666666666666674</v>
      </c>
      <c r="Q261" s="813">
        <v>239.81</v>
      </c>
    </row>
    <row r="262" spans="1:17" ht="14.4" customHeight="1" x14ac:dyDescent="0.3">
      <c r="A262" s="794" t="s">
        <v>591</v>
      </c>
      <c r="B262" s="795" t="s">
        <v>3509</v>
      </c>
      <c r="C262" s="795" t="s">
        <v>3612</v>
      </c>
      <c r="D262" s="795" t="s">
        <v>3857</v>
      </c>
      <c r="E262" s="795" t="s">
        <v>3858</v>
      </c>
      <c r="F262" s="812">
        <v>2</v>
      </c>
      <c r="G262" s="812">
        <v>3529.86</v>
      </c>
      <c r="H262" s="812">
        <v>2</v>
      </c>
      <c r="I262" s="812">
        <v>1764.93</v>
      </c>
      <c r="J262" s="812">
        <v>1</v>
      </c>
      <c r="K262" s="812">
        <v>1764.93</v>
      </c>
      <c r="L262" s="812">
        <v>1</v>
      </c>
      <c r="M262" s="812">
        <v>1764.93</v>
      </c>
      <c r="N262" s="812">
        <v>4</v>
      </c>
      <c r="O262" s="812">
        <v>7059.72</v>
      </c>
      <c r="P262" s="800">
        <v>4</v>
      </c>
      <c r="Q262" s="813">
        <v>1764.93</v>
      </c>
    </row>
    <row r="263" spans="1:17" ht="14.4" customHeight="1" x14ac:dyDescent="0.3">
      <c r="A263" s="794" t="s">
        <v>591</v>
      </c>
      <c r="B263" s="795" t="s">
        <v>3509</v>
      </c>
      <c r="C263" s="795" t="s">
        <v>3612</v>
      </c>
      <c r="D263" s="795" t="s">
        <v>3859</v>
      </c>
      <c r="E263" s="795" t="s">
        <v>3858</v>
      </c>
      <c r="F263" s="812">
        <v>17</v>
      </c>
      <c r="G263" s="812">
        <v>30319.16</v>
      </c>
      <c r="H263" s="812">
        <v>1.6999999999999997</v>
      </c>
      <c r="I263" s="812">
        <v>1783.48</v>
      </c>
      <c r="J263" s="812">
        <v>10</v>
      </c>
      <c r="K263" s="812">
        <v>17834.800000000003</v>
      </c>
      <c r="L263" s="812">
        <v>1</v>
      </c>
      <c r="M263" s="812">
        <v>1783.4800000000002</v>
      </c>
      <c r="N263" s="812">
        <v>11</v>
      </c>
      <c r="O263" s="812">
        <v>19618.28</v>
      </c>
      <c r="P263" s="800">
        <v>1.0999999999999996</v>
      </c>
      <c r="Q263" s="813">
        <v>1783.4799999999998</v>
      </c>
    </row>
    <row r="264" spans="1:17" ht="14.4" customHeight="1" x14ac:dyDescent="0.3">
      <c r="A264" s="794" t="s">
        <v>591</v>
      </c>
      <c r="B264" s="795" t="s">
        <v>3509</v>
      </c>
      <c r="C264" s="795" t="s">
        <v>3612</v>
      </c>
      <c r="D264" s="795" t="s">
        <v>3860</v>
      </c>
      <c r="E264" s="795" t="s">
        <v>3856</v>
      </c>
      <c r="F264" s="812">
        <v>8</v>
      </c>
      <c r="G264" s="812">
        <v>1915.2</v>
      </c>
      <c r="H264" s="812">
        <v>8</v>
      </c>
      <c r="I264" s="812">
        <v>239.4</v>
      </c>
      <c r="J264" s="812">
        <v>1</v>
      </c>
      <c r="K264" s="812">
        <v>239.4</v>
      </c>
      <c r="L264" s="812">
        <v>1</v>
      </c>
      <c r="M264" s="812">
        <v>239.4</v>
      </c>
      <c r="N264" s="812">
        <v>2</v>
      </c>
      <c r="O264" s="812">
        <v>478.8</v>
      </c>
      <c r="P264" s="800">
        <v>2</v>
      </c>
      <c r="Q264" s="813">
        <v>239.4</v>
      </c>
    </row>
    <row r="265" spans="1:17" ht="14.4" customHeight="1" x14ac:dyDescent="0.3">
      <c r="A265" s="794" t="s">
        <v>591</v>
      </c>
      <c r="B265" s="795" t="s">
        <v>3509</v>
      </c>
      <c r="C265" s="795" t="s">
        <v>3612</v>
      </c>
      <c r="D265" s="795" t="s">
        <v>3861</v>
      </c>
      <c r="E265" s="795" t="s">
        <v>3862</v>
      </c>
      <c r="F265" s="812">
        <v>5</v>
      </c>
      <c r="G265" s="812">
        <v>1632.25</v>
      </c>
      <c r="H265" s="812"/>
      <c r="I265" s="812">
        <v>326.45</v>
      </c>
      <c r="J265" s="812"/>
      <c r="K265" s="812"/>
      <c r="L265" s="812"/>
      <c r="M265" s="812"/>
      <c r="N265" s="812"/>
      <c r="O265" s="812"/>
      <c r="P265" s="800"/>
      <c r="Q265" s="813"/>
    </row>
    <row r="266" spans="1:17" ht="14.4" customHeight="1" x14ac:dyDescent="0.3">
      <c r="A266" s="794" t="s">
        <v>591</v>
      </c>
      <c r="B266" s="795" t="s">
        <v>3509</v>
      </c>
      <c r="C266" s="795" t="s">
        <v>3612</v>
      </c>
      <c r="D266" s="795" t="s">
        <v>3863</v>
      </c>
      <c r="E266" s="795" t="s">
        <v>3864</v>
      </c>
      <c r="F266" s="812"/>
      <c r="G266" s="812"/>
      <c r="H266" s="812"/>
      <c r="I266" s="812"/>
      <c r="J266" s="812"/>
      <c r="K266" s="812"/>
      <c r="L266" s="812"/>
      <c r="M266" s="812"/>
      <c r="N266" s="812">
        <v>1</v>
      </c>
      <c r="O266" s="812">
        <v>11338</v>
      </c>
      <c r="P266" s="800"/>
      <c r="Q266" s="813">
        <v>11338</v>
      </c>
    </row>
    <row r="267" spans="1:17" ht="14.4" customHeight="1" x14ac:dyDescent="0.3">
      <c r="A267" s="794" t="s">
        <v>591</v>
      </c>
      <c r="B267" s="795" t="s">
        <v>3509</v>
      </c>
      <c r="C267" s="795" t="s">
        <v>3612</v>
      </c>
      <c r="D267" s="795" t="s">
        <v>3865</v>
      </c>
      <c r="E267" s="795" t="s">
        <v>3866</v>
      </c>
      <c r="F267" s="812"/>
      <c r="G267" s="812"/>
      <c r="H267" s="812"/>
      <c r="I267" s="812"/>
      <c r="J267" s="812">
        <v>1</v>
      </c>
      <c r="K267" s="812">
        <v>4608</v>
      </c>
      <c r="L267" s="812">
        <v>1</v>
      </c>
      <c r="M267" s="812">
        <v>4608</v>
      </c>
      <c r="N267" s="812">
        <v>1</v>
      </c>
      <c r="O267" s="812">
        <v>4608</v>
      </c>
      <c r="P267" s="800">
        <v>1</v>
      </c>
      <c r="Q267" s="813">
        <v>4608</v>
      </c>
    </row>
    <row r="268" spans="1:17" ht="14.4" customHeight="1" x14ac:dyDescent="0.3">
      <c r="A268" s="794" t="s">
        <v>591</v>
      </c>
      <c r="B268" s="795" t="s">
        <v>3509</v>
      </c>
      <c r="C268" s="795" t="s">
        <v>3612</v>
      </c>
      <c r="D268" s="795" t="s">
        <v>3867</v>
      </c>
      <c r="E268" s="795" t="s">
        <v>3868</v>
      </c>
      <c r="F268" s="812"/>
      <c r="G268" s="812"/>
      <c r="H268" s="812"/>
      <c r="I268" s="812"/>
      <c r="J268" s="812"/>
      <c r="K268" s="812"/>
      <c r="L268" s="812"/>
      <c r="M268" s="812"/>
      <c r="N268" s="812">
        <v>1</v>
      </c>
      <c r="O268" s="812">
        <v>2707</v>
      </c>
      <c r="P268" s="800"/>
      <c r="Q268" s="813">
        <v>2707</v>
      </c>
    </row>
    <row r="269" spans="1:17" ht="14.4" customHeight="1" x14ac:dyDescent="0.3">
      <c r="A269" s="794" t="s">
        <v>591</v>
      </c>
      <c r="B269" s="795" t="s">
        <v>3509</v>
      </c>
      <c r="C269" s="795" t="s">
        <v>3612</v>
      </c>
      <c r="D269" s="795" t="s">
        <v>3869</v>
      </c>
      <c r="E269" s="795" t="s">
        <v>3733</v>
      </c>
      <c r="F269" s="812"/>
      <c r="G269" s="812"/>
      <c r="H269" s="812"/>
      <c r="I269" s="812"/>
      <c r="J269" s="812">
        <v>2</v>
      </c>
      <c r="K269" s="812">
        <v>2773.3</v>
      </c>
      <c r="L269" s="812">
        <v>1</v>
      </c>
      <c r="M269" s="812">
        <v>1386.65</v>
      </c>
      <c r="N269" s="812">
        <v>1</v>
      </c>
      <c r="O269" s="812">
        <v>1386.65</v>
      </c>
      <c r="P269" s="800">
        <v>0.5</v>
      </c>
      <c r="Q269" s="813">
        <v>1386.65</v>
      </c>
    </row>
    <row r="270" spans="1:17" ht="14.4" customHeight="1" x14ac:dyDescent="0.3">
      <c r="A270" s="794" t="s">
        <v>591</v>
      </c>
      <c r="B270" s="795" t="s">
        <v>3509</v>
      </c>
      <c r="C270" s="795" t="s">
        <v>3612</v>
      </c>
      <c r="D270" s="795" t="s">
        <v>3870</v>
      </c>
      <c r="E270" s="795" t="s">
        <v>3871</v>
      </c>
      <c r="F270" s="812">
        <v>2</v>
      </c>
      <c r="G270" s="812">
        <v>18279.38</v>
      </c>
      <c r="H270" s="812">
        <v>1</v>
      </c>
      <c r="I270" s="812">
        <v>9139.69</v>
      </c>
      <c r="J270" s="812">
        <v>2</v>
      </c>
      <c r="K270" s="812">
        <v>18279.38</v>
      </c>
      <c r="L270" s="812">
        <v>1</v>
      </c>
      <c r="M270" s="812">
        <v>9139.69</v>
      </c>
      <c r="N270" s="812">
        <v>1</v>
      </c>
      <c r="O270" s="812">
        <v>9139.69</v>
      </c>
      <c r="P270" s="800">
        <v>0.5</v>
      </c>
      <c r="Q270" s="813">
        <v>9139.69</v>
      </c>
    </row>
    <row r="271" spans="1:17" ht="14.4" customHeight="1" x14ac:dyDescent="0.3">
      <c r="A271" s="794" t="s">
        <v>591</v>
      </c>
      <c r="B271" s="795" t="s">
        <v>3509</v>
      </c>
      <c r="C271" s="795" t="s">
        <v>3612</v>
      </c>
      <c r="D271" s="795" t="s">
        <v>3872</v>
      </c>
      <c r="E271" s="795" t="s">
        <v>3873</v>
      </c>
      <c r="F271" s="812"/>
      <c r="G271" s="812"/>
      <c r="H271" s="812"/>
      <c r="I271" s="812"/>
      <c r="J271" s="812">
        <v>8</v>
      </c>
      <c r="K271" s="812">
        <v>17037.84</v>
      </c>
      <c r="L271" s="812">
        <v>1</v>
      </c>
      <c r="M271" s="812">
        <v>2129.73</v>
      </c>
      <c r="N271" s="812">
        <v>3</v>
      </c>
      <c r="O271" s="812">
        <v>6389.1900000000005</v>
      </c>
      <c r="P271" s="800">
        <v>0.375</v>
      </c>
      <c r="Q271" s="813">
        <v>2129.73</v>
      </c>
    </row>
    <row r="272" spans="1:17" ht="14.4" customHeight="1" x14ac:dyDescent="0.3">
      <c r="A272" s="794" t="s">
        <v>591</v>
      </c>
      <c r="B272" s="795" t="s">
        <v>3509</v>
      </c>
      <c r="C272" s="795" t="s">
        <v>3612</v>
      </c>
      <c r="D272" s="795" t="s">
        <v>3874</v>
      </c>
      <c r="E272" s="795" t="s">
        <v>3875</v>
      </c>
      <c r="F272" s="812"/>
      <c r="G272" s="812"/>
      <c r="H272" s="812"/>
      <c r="I272" s="812"/>
      <c r="J272" s="812"/>
      <c r="K272" s="812"/>
      <c r="L272" s="812"/>
      <c r="M272" s="812"/>
      <c r="N272" s="812">
        <v>1</v>
      </c>
      <c r="O272" s="812">
        <v>6187.2</v>
      </c>
      <c r="P272" s="800"/>
      <c r="Q272" s="813">
        <v>6187.2</v>
      </c>
    </row>
    <row r="273" spans="1:17" ht="14.4" customHeight="1" x14ac:dyDescent="0.3">
      <c r="A273" s="794" t="s">
        <v>591</v>
      </c>
      <c r="B273" s="795" t="s">
        <v>3509</v>
      </c>
      <c r="C273" s="795" t="s">
        <v>3612</v>
      </c>
      <c r="D273" s="795" t="s">
        <v>3876</v>
      </c>
      <c r="E273" s="795" t="s">
        <v>3875</v>
      </c>
      <c r="F273" s="812"/>
      <c r="G273" s="812"/>
      <c r="H273" s="812"/>
      <c r="I273" s="812"/>
      <c r="J273" s="812">
        <v>2</v>
      </c>
      <c r="K273" s="812">
        <v>12374.4</v>
      </c>
      <c r="L273" s="812">
        <v>1</v>
      </c>
      <c r="M273" s="812">
        <v>6187.2</v>
      </c>
      <c r="N273" s="812"/>
      <c r="O273" s="812"/>
      <c r="P273" s="800"/>
      <c r="Q273" s="813"/>
    </row>
    <row r="274" spans="1:17" ht="14.4" customHeight="1" x14ac:dyDescent="0.3">
      <c r="A274" s="794" t="s">
        <v>591</v>
      </c>
      <c r="B274" s="795" t="s">
        <v>3509</v>
      </c>
      <c r="C274" s="795" t="s">
        <v>3612</v>
      </c>
      <c r="D274" s="795" t="s">
        <v>3877</v>
      </c>
      <c r="E274" s="795" t="s">
        <v>3875</v>
      </c>
      <c r="F274" s="812">
        <v>1</v>
      </c>
      <c r="G274" s="812">
        <v>6451.8</v>
      </c>
      <c r="H274" s="812">
        <v>1</v>
      </c>
      <c r="I274" s="812">
        <v>6451.8</v>
      </c>
      <c r="J274" s="812">
        <v>1</v>
      </c>
      <c r="K274" s="812">
        <v>6451.8</v>
      </c>
      <c r="L274" s="812">
        <v>1</v>
      </c>
      <c r="M274" s="812">
        <v>6451.8</v>
      </c>
      <c r="N274" s="812">
        <v>2</v>
      </c>
      <c r="O274" s="812">
        <v>12903.6</v>
      </c>
      <c r="P274" s="800">
        <v>2</v>
      </c>
      <c r="Q274" s="813">
        <v>6451.8</v>
      </c>
    </row>
    <row r="275" spans="1:17" ht="14.4" customHeight="1" x14ac:dyDescent="0.3">
      <c r="A275" s="794" t="s">
        <v>591</v>
      </c>
      <c r="B275" s="795" t="s">
        <v>3509</v>
      </c>
      <c r="C275" s="795" t="s">
        <v>3612</v>
      </c>
      <c r="D275" s="795" t="s">
        <v>3878</v>
      </c>
      <c r="E275" s="795" t="s">
        <v>3879</v>
      </c>
      <c r="F275" s="812">
        <v>2</v>
      </c>
      <c r="G275" s="812">
        <v>1180.4000000000001</v>
      </c>
      <c r="H275" s="812">
        <v>0.66666666666666674</v>
      </c>
      <c r="I275" s="812">
        <v>590.20000000000005</v>
      </c>
      <c r="J275" s="812">
        <v>3</v>
      </c>
      <c r="K275" s="812">
        <v>1770.6</v>
      </c>
      <c r="L275" s="812">
        <v>1</v>
      </c>
      <c r="M275" s="812">
        <v>590.19999999999993</v>
      </c>
      <c r="N275" s="812">
        <v>9</v>
      </c>
      <c r="O275" s="812">
        <v>5311.7999999999993</v>
      </c>
      <c r="P275" s="800">
        <v>2.9999999999999996</v>
      </c>
      <c r="Q275" s="813">
        <v>590.19999999999993</v>
      </c>
    </row>
    <row r="276" spans="1:17" ht="14.4" customHeight="1" x14ac:dyDescent="0.3">
      <c r="A276" s="794" t="s">
        <v>591</v>
      </c>
      <c r="B276" s="795" t="s">
        <v>3509</v>
      </c>
      <c r="C276" s="795" t="s">
        <v>3612</v>
      </c>
      <c r="D276" s="795" t="s">
        <v>3880</v>
      </c>
      <c r="E276" s="795" t="s">
        <v>3881</v>
      </c>
      <c r="F276" s="812">
        <v>5</v>
      </c>
      <c r="G276" s="812">
        <v>2951</v>
      </c>
      <c r="H276" s="812">
        <v>0.625</v>
      </c>
      <c r="I276" s="812">
        <v>590.20000000000005</v>
      </c>
      <c r="J276" s="812">
        <v>8</v>
      </c>
      <c r="K276" s="812">
        <v>4721.6000000000004</v>
      </c>
      <c r="L276" s="812">
        <v>1</v>
      </c>
      <c r="M276" s="812">
        <v>590.20000000000005</v>
      </c>
      <c r="N276" s="812">
        <v>11</v>
      </c>
      <c r="O276" s="812">
        <v>6492.2</v>
      </c>
      <c r="P276" s="800">
        <v>1.3749999999999998</v>
      </c>
      <c r="Q276" s="813">
        <v>590.19999999999993</v>
      </c>
    </row>
    <row r="277" spans="1:17" ht="14.4" customHeight="1" x14ac:dyDescent="0.3">
      <c r="A277" s="794" t="s">
        <v>591</v>
      </c>
      <c r="B277" s="795" t="s">
        <v>3509</v>
      </c>
      <c r="C277" s="795" t="s">
        <v>3612</v>
      </c>
      <c r="D277" s="795" t="s">
        <v>3882</v>
      </c>
      <c r="E277" s="795" t="s">
        <v>3881</v>
      </c>
      <c r="F277" s="812">
        <v>3</v>
      </c>
      <c r="G277" s="812">
        <v>1875</v>
      </c>
      <c r="H277" s="812"/>
      <c r="I277" s="812">
        <v>625</v>
      </c>
      <c r="J277" s="812"/>
      <c r="K277" s="812"/>
      <c r="L277" s="812"/>
      <c r="M277" s="812"/>
      <c r="N277" s="812"/>
      <c r="O277" s="812"/>
      <c r="P277" s="800"/>
      <c r="Q277" s="813"/>
    </row>
    <row r="278" spans="1:17" ht="14.4" customHeight="1" x14ac:dyDescent="0.3">
      <c r="A278" s="794" t="s">
        <v>591</v>
      </c>
      <c r="B278" s="795" t="s">
        <v>3509</v>
      </c>
      <c r="C278" s="795" t="s">
        <v>3612</v>
      </c>
      <c r="D278" s="795" t="s">
        <v>3883</v>
      </c>
      <c r="E278" s="795" t="s">
        <v>3884</v>
      </c>
      <c r="F278" s="812">
        <v>1</v>
      </c>
      <c r="G278" s="812">
        <v>18395</v>
      </c>
      <c r="H278" s="812">
        <v>1</v>
      </c>
      <c r="I278" s="812">
        <v>18395</v>
      </c>
      <c r="J278" s="812">
        <v>1</v>
      </c>
      <c r="K278" s="812">
        <v>18395</v>
      </c>
      <c r="L278" s="812">
        <v>1</v>
      </c>
      <c r="M278" s="812">
        <v>18395</v>
      </c>
      <c r="N278" s="812">
        <v>1</v>
      </c>
      <c r="O278" s="812">
        <v>18395</v>
      </c>
      <c r="P278" s="800">
        <v>1</v>
      </c>
      <c r="Q278" s="813">
        <v>18395</v>
      </c>
    </row>
    <row r="279" spans="1:17" ht="14.4" customHeight="1" x14ac:dyDescent="0.3">
      <c r="A279" s="794" t="s">
        <v>591</v>
      </c>
      <c r="B279" s="795" t="s">
        <v>3509</v>
      </c>
      <c r="C279" s="795" t="s">
        <v>3612</v>
      </c>
      <c r="D279" s="795" t="s">
        <v>3885</v>
      </c>
      <c r="E279" s="795" t="s">
        <v>3886</v>
      </c>
      <c r="F279" s="812">
        <v>6</v>
      </c>
      <c r="G279" s="812">
        <v>23760</v>
      </c>
      <c r="H279" s="812">
        <v>1.5</v>
      </c>
      <c r="I279" s="812">
        <v>3960</v>
      </c>
      <c r="J279" s="812">
        <v>4</v>
      </c>
      <c r="K279" s="812">
        <v>15840</v>
      </c>
      <c r="L279" s="812">
        <v>1</v>
      </c>
      <c r="M279" s="812">
        <v>3960</v>
      </c>
      <c r="N279" s="812">
        <v>4</v>
      </c>
      <c r="O279" s="812">
        <v>15840</v>
      </c>
      <c r="P279" s="800">
        <v>1</v>
      </c>
      <c r="Q279" s="813">
        <v>3960</v>
      </c>
    </row>
    <row r="280" spans="1:17" ht="14.4" customHeight="1" x14ac:dyDescent="0.3">
      <c r="A280" s="794" t="s">
        <v>591</v>
      </c>
      <c r="B280" s="795" t="s">
        <v>3509</v>
      </c>
      <c r="C280" s="795" t="s">
        <v>3612</v>
      </c>
      <c r="D280" s="795" t="s">
        <v>3887</v>
      </c>
      <c r="E280" s="795" t="s">
        <v>3886</v>
      </c>
      <c r="F280" s="812">
        <v>2</v>
      </c>
      <c r="G280" s="812">
        <v>10800</v>
      </c>
      <c r="H280" s="812"/>
      <c r="I280" s="812">
        <v>5400</v>
      </c>
      <c r="J280" s="812"/>
      <c r="K280" s="812"/>
      <c r="L280" s="812"/>
      <c r="M280" s="812"/>
      <c r="N280" s="812">
        <v>3</v>
      </c>
      <c r="O280" s="812">
        <v>16200</v>
      </c>
      <c r="P280" s="800"/>
      <c r="Q280" s="813">
        <v>5400</v>
      </c>
    </row>
    <row r="281" spans="1:17" ht="14.4" customHeight="1" x14ac:dyDescent="0.3">
      <c r="A281" s="794" t="s">
        <v>591</v>
      </c>
      <c r="B281" s="795" t="s">
        <v>3509</v>
      </c>
      <c r="C281" s="795" t="s">
        <v>3612</v>
      </c>
      <c r="D281" s="795" t="s">
        <v>3888</v>
      </c>
      <c r="E281" s="795" t="s">
        <v>3889</v>
      </c>
      <c r="F281" s="812">
        <v>68</v>
      </c>
      <c r="G281" s="812">
        <v>37420.399999999994</v>
      </c>
      <c r="H281" s="812">
        <v>2.0606060606060606</v>
      </c>
      <c r="I281" s="812">
        <v>550.29999999999995</v>
      </c>
      <c r="J281" s="812">
        <v>33</v>
      </c>
      <c r="K281" s="812">
        <v>18159.899999999998</v>
      </c>
      <c r="L281" s="812">
        <v>1</v>
      </c>
      <c r="M281" s="812">
        <v>550.29999999999995</v>
      </c>
      <c r="N281" s="812">
        <v>65</v>
      </c>
      <c r="O281" s="812">
        <v>35769.5</v>
      </c>
      <c r="P281" s="800">
        <v>1.9696969696969699</v>
      </c>
      <c r="Q281" s="813">
        <v>550.29999999999995</v>
      </c>
    </row>
    <row r="282" spans="1:17" ht="14.4" customHeight="1" x14ac:dyDescent="0.3">
      <c r="A282" s="794" t="s">
        <v>591</v>
      </c>
      <c r="B282" s="795" t="s">
        <v>3509</v>
      </c>
      <c r="C282" s="795" t="s">
        <v>3612</v>
      </c>
      <c r="D282" s="795" t="s">
        <v>3890</v>
      </c>
      <c r="E282" s="795" t="s">
        <v>3891</v>
      </c>
      <c r="F282" s="812"/>
      <c r="G282" s="812"/>
      <c r="H282" s="812"/>
      <c r="I282" s="812"/>
      <c r="J282" s="812">
        <v>11</v>
      </c>
      <c r="K282" s="812">
        <v>6644</v>
      </c>
      <c r="L282" s="812">
        <v>1</v>
      </c>
      <c r="M282" s="812">
        <v>604</v>
      </c>
      <c r="N282" s="812">
        <v>5</v>
      </c>
      <c r="O282" s="812">
        <v>3020</v>
      </c>
      <c r="P282" s="800">
        <v>0.45454545454545453</v>
      </c>
      <c r="Q282" s="813">
        <v>604</v>
      </c>
    </row>
    <row r="283" spans="1:17" ht="14.4" customHeight="1" x14ac:dyDescent="0.3">
      <c r="A283" s="794" t="s">
        <v>591</v>
      </c>
      <c r="B283" s="795" t="s">
        <v>3509</v>
      </c>
      <c r="C283" s="795" t="s">
        <v>3612</v>
      </c>
      <c r="D283" s="795" t="s">
        <v>3892</v>
      </c>
      <c r="E283" s="795" t="s">
        <v>3893</v>
      </c>
      <c r="F283" s="812">
        <v>1</v>
      </c>
      <c r="G283" s="812">
        <v>582</v>
      </c>
      <c r="H283" s="812">
        <v>0.14285714285714285</v>
      </c>
      <c r="I283" s="812">
        <v>582</v>
      </c>
      <c r="J283" s="812">
        <v>7</v>
      </c>
      <c r="K283" s="812">
        <v>4074</v>
      </c>
      <c r="L283" s="812">
        <v>1</v>
      </c>
      <c r="M283" s="812">
        <v>582</v>
      </c>
      <c r="N283" s="812">
        <v>2</v>
      </c>
      <c r="O283" s="812">
        <v>1164</v>
      </c>
      <c r="P283" s="800">
        <v>0.2857142857142857</v>
      </c>
      <c r="Q283" s="813">
        <v>582</v>
      </c>
    </row>
    <row r="284" spans="1:17" ht="14.4" customHeight="1" x14ac:dyDescent="0.3">
      <c r="A284" s="794" t="s">
        <v>591</v>
      </c>
      <c r="B284" s="795" t="s">
        <v>3509</v>
      </c>
      <c r="C284" s="795" t="s">
        <v>3612</v>
      </c>
      <c r="D284" s="795" t="s">
        <v>3894</v>
      </c>
      <c r="E284" s="795" t="s">
        <v>3893</v>
      </c>
      <c r="F284" s="812">
        <v>1</v>
      </c>
      <c r="G284" s="812">
        <v>633.29999999999995</v>
      </c>
      <c r="H284" s="812">
        <v>1</v>
      </c>
      <c r="I284" s="812">
        <v>633.29999999999995</v>
      </c>
      <c r="J284" s="812">
        <v>1</v>
      </c>
      <c r="K284" s="812">
        <v>633.29999999999995</v>
      </c>
      <c r="L284" s="812">
        <v>1</v>
      </c>
      <c r="M284" s="812">
        <v>633.29999999999995</v>
      </c>
      <c r="N284" s="812">
        <v>2</v>
      </c>
      <c r="O284" s="812">
        <v>1266.5999999999999</v>
      </c>
      <c r="P284" s="800">
        <v>2</v>
      </c>
      <c r="Q284" s="813">
        <v>633.29999999999995</v>
      </c>
    </row>
    <row r="285" spans="1:17" ht="14.4" customHeight="1" x14ac:dyDescent="0.3">
      <c r="A285" s="794" t="s">
        <v>591</v>
      </c>
      <c r="B285" s="795" t="s">
        <v>3509</v>
      </c>
      <c r="C285" s="795" t="s">
        <v>3612</v>
      </c>
      <c r="D285" s="795" t="s">
        <v>3895</v>
      </c>
      <c r="E285" s="795" t="s">
        <v>3893</v>
      </c>
      <c r="F285" s="812"/>
      <c r="G285" s="812"/>
      <c r="H285" s="812"/>
      <c r="I285" s="812"/>
      <c r="J285" s="812">
        <v>3</v>
      </c>
      <c r="K285" s="812">
        <v>2053.8000000000002</v>
      </c>
      <c r="L285" s="812">
        <v>1</v>
      </c>
      <c r="M285" s="812">
        <v>684.6</v>
      </c>
      <c r="N285" s="812"/>
      <c r="O285" s="812"/>
      <c r="P285" s="800"/>
      <c r="Q285" s="813"/>
    </row>
    <row r="286" spans="1:17" ht="14.4" customHeight="1" x14ac:dyDescent="0.3">
      <c r="A286" s="794" t="s">
        <v>591</v>
      </c>
      <c r="B286" s="795" t="s">
        <v>3509</v>
      </c>
      <c r="C286" s="795" t="s">
        <v>3612</v>
      </c>
      <c r="D286" s="795" t="s">
        <v>3896</v>
      </c>
      <c r="E286" s="795" t="s">
        <v>3897</v>
      </c>
      <c r="F286" s="812"/>
      <c r="G286" s="812"/>
      <c r="H286" s="812"/>
      <c r="I286" s="812"/>
      <c r="J286" s="812">
        <v>1</v>
      </c>
      <c r="K286" s="812">
        <v>8573.84</v>
      </c>
      <c r="L286" s="812">
        <v>1</v>
      </c>
      <c r="M286" s="812">
        <v>8573.84</v>
      </c>
      <c r="N286" s="812"/>
      <c r="O286" s="812"/>
      <c r="P286" s="800"/>
      <c r="Q286" s="813"/>
    </row>
    <row r="287" spans="1:17" ht="14.4" customHeight="1" x14ac:dyDescent="0.3">
      <c r="A287" s="794" t="s">
        <v>591</v>
      </c>
      <c r="B287" s="795" t="s">
        <v>3509</v>
      </c>
      <c r="C287" s="795" t="s">
        <v>3612</v>
      </c>
      <c r="D287" s="795" t="s">
        <v>3898</v>
      </c>
      <c r="E287" s="795" t="s">
        <v>3899</v>
      </c>
      <c r="F287" s="812">
        <v>2</v>
      </c>
      <c r="G287" s="812">
        <v>15434</v>
      </c>
      <c r="H287" s="812"/>
      <c r="I287" s="812">
        <v>7717</v>
      </c>
      <c r="J287" s="812"/>
      <c r="K287" s="812"/>
      <c r="L287" s="812"/>
      <c r="M287" s="812"/>
      <c r="N287" s="812">
        <v>4</v>
      </c>
      <c r="O287" s="812">
        <v>30868</v>
      </c>
      <c r="P287" s="800"/>
      <c r="Q287" s="813">
        <v>7717</v>
      </c>
    </row>
    <row r="288" spans="1:17" ht="14.4" customHeight="1" x14ac:dyDescent="0.3">
      <c r="A288" s="794" t="s">
        <v>591</v>
      </c>
      <c r="B288" s="795" t="s">
        <v>3509</v>
      </c>
      <c r="C288" s="795" t="s">
        <v>3612</v>
      </c>
      <c r="D288" s="795" t="s">
        <v>3900</v>
      </c>
      <c r="E288" s="795" t="s">
        <v>3901</v>
      </c>
      <c r="F288" s="812">
        <v>1</v>
      </c>
      <c r="G288" s="812">
        <v>6798</v>
      </c>
      <c r="H288" s="812">
        <v>1</v>
      </c>
      <c r="I288" s="812">
        <v>6798</v>
      </c>
      <c r="J288" s="812">
        <v>1</v>
      </c>
      <c r="K288" s="812">
        <v>6798</v>
      </c>
      <c r="L288" s="812">
        <v>1</v>
      </c>
      <c r="M288" s="812">
        <v>6798</v>
      </c>
      <c r="N288" s="812"/>
      <c r="O288" s="812"/>
      <c r="P288" s="800"/>
      <c r="Q288" s="813"/>
    </row>
    <row r="289" spans="1:17" ht="14.4" customHeight="1" x14ac:dyDescent="0.3">
      <c r="A289" s="794" t="s">
        <v>591</v>
      </c>
      <c r="B289" s="795" t="s">
        <v>3509</v>
      </c>
      <c r="C289" s="795" t="s">
        <v>3612</v>
      </c>
      <c r="D289" s="795" t="s">
        <v>3902</v>
      </c>
      <c r="E289" s="795" t="s">
        <v>3903</v>
      </c>
      <c r="F289" s="812"/>
      <c r="G289" s="812"/>
      <c r="H289" s="812"/>
      <c r="I289" s="812"/>
      <c r="J289" s="812">
        <v>2</v>
      </c>
      <c r="K289" s="812">
        <v>5316</v>
      </c>
      <c r="L289" s="812">
        <v>1</v>
      </c>
      <c r="M289" s="812">
        <v>2658</v>
      </c>
      <c r="N289" s="812"/>
      <c r="O289" s="812"/>
      <c r="P289" s="800"/>
      <c r="Q289" s="813"/>
    </row>
    <row r="290" spans="1:17" ht="14.4" customHeight="1" x14ac:dyDescent="0.3">
      <c r="A290" s="794" t="s">
        <v>591</v>
      </c>
      <c r="B290" s="795" t="s">
        <v>3509</v>
      </c>
      <c r="C290" s="795" t="s">
        <v>3612</v>
      </c>
      <c r="D290" s="795" t="s">
        <v>3904</v>
      </c>
      <c r="E290" s="795" t="s">
        <v>3905</v>
      </c>
      <c r="F290" s="812">
        <v>1</v>
      </c>
      <c r="G290" s="812">
        <v>10236.68</v>
      </c>
      <c r="H290" s="812">
        <v>1</v>
      </c>
      <c r="I290" s="812">
        <v>10236.68</v>
      </c>
      <c r="J290" s="812">
        <v>1</v>
      </c>
      <c r="K290" s="812">
        <v>10236.68</v>
      </c>
      <c r="L290" s="812">
        <v>1</v>
      </c>
      <c r="M290" s="812">
        <v>10236.68</v>
      </c>
      <c r="N290" s="812">
        <v>1</v>
      </c>
      <c r="O290" s="812">
        <v>10236.68</v>
      </c>
      <c r="P290" s="800">
        <v>1</v>
      </c>
      <c r="Q290" s="813">
        <v>10236.68</v>
      </c>
    </row>
    <row r="291" spans="1:17" ht="14.4" customHeight="1" x14ac:dyDescent="0.3">
      <c r="A291" s="794" t="s">
        <v>591</v>
      </c>
      <c r="B291" s="795" t="s">
        <v>3509</v>
      </c>
      <c r="C291" s="795" t="s">
        <v>3612</v>
      </c>
      <c r="D291" s="795" t="s">
        <v>3906</v>
      </c>
      <c r="E291" s="795" t="s">
        <v>3907</v>
      </c>
      <c r="F291" s="812">
        <v>2</v>
      </c>
      <c r="G291" s="812">
        <v>17383.96</v>
      </c>
      <c r="H291" s="812">
        <v>1</v>
      </c>
      <c r="I291" s="812">
        <v>8691.98</v>
      </c>
      <c r="J291" s="812">
        <v>2</v>
      </c>
      <c r="K291" s="812">
        <v>17383.96</v>
      </c>
      <c r="L291" s="812">
        <v>1</v>
      </c>
      <c r="M291" s="812">
        <v>8691.98</v>
      </c>
      <c r="N291" s="812">
        <v>1</v>
      </c>
      <c r="O291" s="812">
        <v>8691.98</v>
      </c>
      <c r="P291" s="800">
        <v>0.5</v>
      </c>
      <c r="Q291" s="813">
        <v>8691.98</v>
      </c>
    </row>
    <row r="292" spans="1:17" ht="14.4" customHeight="1" x14ac:dyDescent="0.3">
      <c r="A292" s="794" t="s">
        <v>591</v>
      </c>
      <c r="B292" s="795" t="s">
        <v>3509</v>
      </c>
      <c r="C292" s="795" t="s">
        <v>3612</v>
      </c>
      <c r="D292" s="795" t="s">
        <v>3908</v>
      </c>
      <c r="E292" s="795" t="s">
        <v>3909</v>
      </c>
      <c r="F292" s="812">
        <v>9</v>
      </c>
      <c r="G292" s="812">
        <v>10101.42</v>
      </c>
      <c r="H292" s="812"/>
      <c r="I292" s="812">
        <v>1122.3800000000001</v>
      </c>
      <c r="J292" s="812"/>
      <c r="K292" s="812"/>
      <c r="L292" s="812"/>
      <c r="M292" s="812"/>
      <c r="N292" s="812"/>
      <c r="O292" s="812"/>
      <c r="P292" s="800"/>
      <c r="Q292" s="813"/>
    </row>
    <row r="293" spans="1:17" ht="14.4" customHeight="1" x14ac:dyDescent="0.3">
      <c r="A293" s="794" t="s">
        <v>591</v>
      </c>
      <c r="B293" s="795" t="s">
        <v>3509</v>
      </c>
      <c r="C293" s="795" t="s">
        <v>3612</v>
      </c>
      <c r="D293" s="795" t="s">
        <v>3910</v>
      </c>
      <c r="E293" s="795" t="s">
        <v>3911</v>
      </c>
      <c r="F293" s="812">
        <v>3</v>
      </c>
      <c r="G293" s="812">
        <v>2060.6999999999998</v>
      </c>
      <c r="H293" s="812">
        <v>0.42857142857142849</v>
      </c>
      <c r="I293" s="812">
        <v>686.9</v>
      </c>
      <c r="J293" s="812">
        <v>7</v>
      </c>
      <c r="K293" s="812">
        <v>4808.3</v>
      </c>
      <c r="L293" s="812">
        <v>1</v>
      </c>
      <c r="M293" s="812">
        <v>686.9</v>
      </c>
      <c r="N293" s="812">
        <v>4</v>
      </c>
      <c r="O293" s="812">
        <v>2747.6</v>
      </c>
      <c r="P293" s="800">
        <v>0.5714285714285714</v>
      </c>
      <c r="Q293" s="813">
        <v>686.9</v>
      </c>
    </row>
    <row r="294" spans="1:17" ht="14.4" customHeight="1" x14ac:dyDescent="0.3">
      <c r="A294" s="794" t="s">
        <v>591</v>
      </c>
      <c r="B294" s="795" t="s">
        <v>3509</v>
      </c>
      <c r="C294" s="795" t="s">
        <v>3612</v>
      </c>
      <c r="D294" s="795" t="s">
        <v>3912</v>
      </c>
      <c r="E294" s="795" t="s">
        <v>3913</v>
      </c>
      <c r="F294" s="812">
        <v>4</v>
      </c>
      <c r="G294" s="812">
        <v>3555.72</v>
      </c>
      <c r="H294" s="812">
        <v>0.5</v>
      </c>
      <c r="I294" s="812">
        <v>888.93</v>
      </c>
      <c r="J294" s="812">
        <v>8</v>
      </c>
      <c r="K294" s="812">
        <v>7111.44</v>
      </c>
      <c r="L294" s="812">
        <v>1</v>
      </c>
      <c r="M294" s="812">
        <v>888.93</v>
      </c>
      <c r="N294" s="812">
        <v>10</v>
      </c>
      <c r="O294" s="812">
        <v>8889.2999999999993</v>
      </c>
      <c r="P294" s="800">
        <v>1.25</v>
      </c>
      <c r="Q294" s="813">
        <v>888.93</v>
      </c>
    </row>
    <row r="295" spans="1:17" ht="14.4" customHeight="1" x14ac:dyDescent="0.3">
      <c r="A295" s="794" t="s">
        <v>591</v>
      </c>
      <c r="B295" s="795" t="s">
        <v>3509</v>
      </c>
      <c r="C295" s="795" t="s">
        <v>3612</v>
      </c>
      <c r="D295" s="795" t="s">
        <v>3914</v>
      </c>
      <c r="E295" s="795" t="s">
        <v>3915</v>
      </c>
      <c r="F295" s="812"/>
      <c r="G295" s="812"/>
      <c r="H295" s="812"/>
      <c r="I295" s="812"/>
      <c r="J295" s="812">
        <v>2</v>
      </c>
      <c r="K295" s="812">
        <v>8364.08</v>
      </c>
      <c r="L295" s="812">
        <v>1</v>
      </c>
      <c r="M295" s="812">
        <v>4182.04</v>
      </c>
      <c r="N295" s="812">
        <v>10</v>
      </c>
      <c r="O295" s="812">
        <v>41820.400000000001</v>
      </c>
      <c r="P295" s="800">
        <v>5</v>
      </c>
      <c r="Q295" s="813">
        <v>4182.04</v>
      </c>
    </row>
    <row r="296" spans="1:17" ht="14.4" customHeight="1" x14ac:dyDescent="0.3">
      <c r="A296" s="794" t="s">
        <v>591</v>
      </c>
      <c r="B296" s="795" t="s">
        <v>3509</v>
      </c>
      <c r="C296" s="795" t="s">
        <v>3612</v>
      </c>
      <c r="D296" s="795" t="s">
        <v>3916</v>
      </c>
      <c r="E296" s="795" t="s">
        <v>3917</v>
      </c>
      <c r="F296" s="812">
        <v>1</v>
      </c>
      <c r="G296" s="812">
        <v>8283.65</v>
      </c>
      <c r="H296" s="812">
        <v>1</v>
      </c>
      <c r="I296" s="812">
        <v>8283.65</v>
      </c>
      <c r="J296" s="812">
        <v>1</v>
      </c>
      <c r="K296" s="812">
        <v>8283.65</v>
      </c>
      <c r="L296" s="812">
        <v>1</v>
      </c>
      <c r="M296" s="812">
        <v>8283.65</v>
      </c>
      <c r="N296" s="812">
        <v>1</v>
      </c>
      <c r="O296" s="812">
        <v>8283.65</v>
      </c>
      <c r="P296" s="800">
        <v>1</v>
      </c>
      <c r="Q296" s="813">
        <v>8283.65</v>
      </c>
    </row>
    <row r="297" spans="1:17" ht="14.4" customHeight="1" x14ac:dyDescent="0.3">
      <c r="A297" s="794" t="s">
        <v>591</v>
      </c>
      <c r="B297" s="795" t="s">
        <v>3509</v>
      </c>
      <c r="C297" s="795" t="s">
        <v>3612</v>
      </c>
      <c r="D297" s="795" t="s">
        <v>3918</v>
      </c>
      <c r="E297" s="795" t="s">
        <v>3919</v>
      </c>
      <c r="F297" s="812"/>
      <c r="G297" s="812"/>
      <c r="H297" s="812"/>
      <c r="I297" s="812"/>
      <c r="J297" s="812"/>
      <c r="K297" s="812"/>
      <c r="L297" s="812"/>
      <c r="M297" s="812"/>
      <c r="N297" s="812">
        <v>1</v>
      </c>
      <c r="O297" s="812">
        <v>8283.65</v>
      </c>
      <c r="P297" s="800"/>
      <c r="Q297" s="813">
        <v>8283.65</v>
      </c>
    </row>
    <row r="298" spans="1:17" ht="14.4" customHeight="1" x14ac:dyDescent="0.3">
      <c r="A298" s="794" t="s">
        <v>591</v>
      </c>
      <c r="B298" s="795" t="s">
        <v>3509</v>
      </c>
      <c r="C298" s="795" t="s">
        <v>3612</v>
      </c>
      <c r="D298" s="795" t="s">
        <v>3920</v>
      </c>
      <c r="E298" s="795" t="s">
        <v>3921</v>
      </c>
      <c r="F298" s="812">
        <v>5</v>
      </c>
      <c r="G298" s="812">
        <v>22436.9</v>
      </c>
      <c r="H298" s="812">
        <v>5</v>
      </c>
      <c r="I298" s="812">
        <v>4487.38</v>
      </c>
      <c r="J298" s="812">
        <v>1</v>
      </c>
      <c r="K298" s="812">
        <v>4487.38</v>
      </c>
      <c r="L298" s="812">
        <v>1</v>
      </c>
      <c r="M298" s="812">
        <v>4487.38</v>
      </c>
      <c r="N298" s="812">
        <v>2</v>
      </c>
      <c r="O298" s="812">
        <v>8974.76</v>
      </c>
      <c r="P298" s="800">
        <v>2</v>
      </c>
      <c r="Q298" s="813">
        <v>4487.38</v>
      </c>
    </row>
    <row r="299" spans="1:17" ht="14.4" customHeight="1" x14ac:dyDescent="0.3">
      <c r="A299" s="794" t="s">
        <v>591</v>
      </c>
      <c r="B299" s="795" t="s">
        <v>3509</v>
      </c>
      <c r="C299" s="795" t="s">
        <v>3612</v>
      </c>
      <c r="D299" s="795" t="s">
        <v>3922</v>
      </c>
      <c r="E299" s="795" t="s">
        <v>3923</v>
      </c>
      <c r="F299" s="812">
        <v>1</v>
      </c>
      <c r="G299" s="812">
        <v>366</v>
      </c>
      <c r="H299" s="812">
        <v>0.83333333333333337</v>
      </c>
      <c r="I299" s="812">
        <v>366</v>
      </c>
      <c r="J299" s="812">
        <v>1.2</v>
      </c>
      <c r="K299" s="812">
        <v>439.2</v>
      </c>
      <c r="L299" s="812">
        <v>1</v>
      </c>
      <c r="M299" s="812">
        <v>366</v>
      </c>
      <c r="N299" s="812">
        <v>1</v>
      </c>
      <c r="O299" s="812">
        <v>366</v>
      </c>
      <c r="P299" s="800">
        <v>0.83333333333333337</v>
      </c>
      <c r="Q299" s="813">
        <v>366</v>
      </c>
    </row>
    <row r="300" spans="1:17" ht="14.4" customHeight="1" x14ac:dyDescent="0.3">
      <c r="A300" s="794" t="s">
        <v>591</v>
      </c>
      <c r="B300" s="795" t="s">
        <v>3509</v>
      </c>
      <c r="C300" s="795" t="s">
        <v>3612</v>
      </c>
      <c r="D300" s="795" t="s">
        <v>3924</v>
      </c>
      <c r="E300" s="795" t="s">
        <v>3925</v>
      </c>
      <c r="F300" s="812">
        <v>3</v>
      </c>
      <c r="G300" s="812">
        <v>469.47</v>
      </c>
      <c r="H300" s="812"/>
      <c r="I300" s="812">
        <v>156.49</v>
      </c>
      <c r="J300" s="812"/>
      <c r="K300" s="812"/>
      <c r="L300" s="812"/>
      <c r="M300" s="812"/>
      <c r="N300" s="812"/>
      <c r="O300" s="812"/>
      <c r="P300" s="800"/>
      <c r="Q300" s="813"/>
    </row>
    <row r="301" spans="1:17" ht="14.4" customHeight="1" x14ac:dyDescent="0.3">
      <c r="A301" s="794" t="s">
        <v>591</v>
      </c>
      <c r="B301" s="795" t="s">
        <v>3509</v>
      </c>
      <c r="C301" s="795" t="s">
        <v>3612</v>
      </c>
      <c r="D301" s="795" t="s">
        <v>3926</v>
      </c>
      <c r="E301" s="795" t="s">
        <v>3925</v>
      </c>
      <c r="F301" s="812">
        <v>13</v>
      </c>
      <c r="G301" s="812">
        <v>2236.52</v>
      </c>
      <c r="H301" s="812"/>
      <c r="I301" s="812">
        <v>172.04</v>
      </c>
      <c r="J301" s="812"/>
      <c r="K301" s="812"/>
      <c r="L301" s="812"/>
      <c r="M301" s="812"/>
      <c r="N301" s="812"/>
      <c r="O301" s="812"/>
      <c r="P301" s="800"/>
      <c r="Q301" s="813"/>
    </row>
    <row r="302" spans="1:17" ht="14.4" customHeight="1" x14ac:dyDescent="0.3">
      <c r="A302" s="794" t="s">
        <v>591</v>
      </c>
      <c r="B302" s="795" t="s">
        <v>3509</v>
      </c>
      <c r="C302" s="795" t="s">
        <v>3612</v>
      </c>
      <c r="D302" s="795" t="s">
        <v>3927</v>
      </c>
      <c r="E302" s="795" t="s">
        <v>3925</v>
      </c>
      <c r="F302" s="812">
        <v>4</v>
      </c>
      <c r="G302" s="812">
        <v>1500.64</v>
      </c>
      <c r="H302" s="812"/>
      <c r="I302" s="812">
        <v>375.16</v>
      </c>
      <c r="J302" s="812"/>
      <c r="K302" s="812"/>
      <c r="L302" s="812"/>
      <c r="M302" s="812"/>
      <c r="N302" s="812"/>
      <c r="O302" s="812"/>
      <c r="P302" s="800"/>
      <c r="Q302" s="813"/>
    </row>
    <row r="303" spans="1:17" ht="14.4" customHeight="1" x14ac:dyDescent="0.3">
      <c r="A303" s="794" t="s">
        <v>591</v>
      </c>
      <c r="B303" s="795" t="s">
        <v>3509</v>
      </c>
      <c r="C303" s="795" t="s">
        <v>3612</v>
      </c>
      <c r="D303" s="795" t="s">
        <v>3928</v>
      </c>
      <c r="E303" s="795" t="s">
        <v>3929</v>
      </c>
      <c r="F303" s="812">
        <v>9</v>
      </c>
      <c r="G303" s="812">
        <v>12852.99</v>
      </c>
      <c r="H303" s="812"/>
      <c r="I303" s="812">
        <v>1428.11</v>
      </c>
      <c r="J303" s="812"/>
      <c r="K303" s="812"/>
      <c r="L303" s="812"/>
      <c r="M303" s="812"/>
      <c r="N303" s="812"/>
      <c r="O303" s="812"/>
      <c r="P303" s="800"/>
      <c r="Q303" s="813"/>
    </row>
    <row r="304" spans="1:17" ht="14.4" customHeight="1" x14ac:dyDescent="0.3">
      <c r="A304" s="794" t="s">
        <v>591</v>
      </c>
      <c r="B304" s="795" t="s">
        <v>3509</v>
      </c>
      <c r="C304" s="795" t="s">
        <v>3612</v>
      </c>
      <c r="D304" s="795" t="s">
        <v>3930</v>
      </c>
      <c r="E304" s="795" t="s">
        <v>3915</v>
      </c>
      <c r="F304" s="812">
        <v>4</v>
      </c>
      <c r="G304" s="812">
        <v>18425.2</v>
      </c>
      <c r="H304" s="812">
        <v>1</v>
      </c>
      <c r="I304" s="812">
        <v>4606.3</v>
      </c>
      <c r="J304" s="812">
        <v>4</v>
      </c>
      <c r="K304" s="812">
        <v>18425.2</v>
      </c>
      <c r="L304" s="812">
        <v>1</v>
      </c>
      <c r="M304" s="812">
        <v>4606.3</v>
      </c>
      <c r="N304" s="812">
        <v>2</v>
      </c>
      <c r="O304" s="812">
        <v>9212.6</v>
      </c>
      <c r="P304" s="800">
        <v>0.5</v>
      </c>
      <c r="Q304" s="813">
        <v>4606.3</v>
      </c>
    </row>
    <row r="305" spans="1:17" ht="14.4" customHeight="1" x14ac:dyDescent="0.3">
      <c r="A305" s="794" t="s">
        <v>591</v>
      </c>
      <c r="B305" s="795" t="s">
        <v>3509</v>
      </c>
      <c r="C305" s="795" t="s">
        <v>3612</v>
      </c>
      <c r="D305" s="795" t="s">
        <v>3931</v>
      </c>
      <c r="E305" s="795" t="s">
        <v>3932</v>
      </c>
      <c r="F305" s="812">
        <v>6</v>
      </c>
      <c r="G305" s="812">
        <v>4536</v>
      </c>
      <c r="H305" s="812"/>
      <c r="I305" s="812">
        <v>756</v>
      </c>
      <c r="J305" s="812"/>
      <c r="K305" s="812"/>
      <c r="L305" s="812"/>
      <c r="M305" s="812"/>
      <c r="N305" s="812"/>
      <c r="O305" s="812"/>
      <c r="P305" s="800"/>
      <c r="Q305" s="813"/>
    </row>
    <row r="306" spans="1:17" ht="14.4" customHeight="1" x14ac:dyDescent="0.3">
      <c r="A306" s="794" t="s">
        <v>591</v>
      </c>
      <c r="B306" s="795" t="s">
        <v>3509</v>
      </c>
      <c r="C306" s="795" t="s">
        <v>3612</v>
      </c>
      <c r="D306" s="795" t="s">
        <v>3933</v>
      </c>
      <c r="E306" s="795" t="s">
        <v>3634</v>
      </c>
      <c r="F306" s="812"/>
      <c r="G306" s="812"/>
      <c r="H306" s="812"/>
      <c r="I306" s="812"/>
      <c r="J306" s="812">
        <v>1</v>
      </c>
      <c r="K306" s="812">
        <v>88.51</v>
      </c>
      <c r="L306" s="812">
        <v>1</v>
      </c>
      <c r="M306" s="812">
        <v>88.51</v>
      </c>
      <c r="N306" s="812"/>
      <c r="O306" s="812"/>
      <c r="P306" s="800"/>
      <c r="Q306" s="813"/>
    </row>
    <row r="307" spans="1:17" ht="14.4" customHeight="1" x14ac:dyDescent="0.3">
      <c r="A307" s="794" t="s">
        <v>591</v>
      </c>
      <c r="B307" s="795" t="s">
        <v>3509</v>
      </c>
      <c r="C307" s="795" t="s">
        <v>3612</v>
      </c>
      <c r="D307" s="795" t="s">
        <v>3934</v>
      </c>
      <c r="E307" s="795" t="s">
        <v>3935</v>
      </c>
      <c r="F307" s="812"/>
      <c r="G307" s="812"/>
      <c r="H307" s="812"/>
      <c r="I307" s="812"/>
      <c r="J307" s="812">
        <v>1</v>
      </c>
      <c r="K307" s="812">
        <v>563</v>
      </c>
      <c r="L307" s="812">
        <v>1</v>
      </c>
      <c r="M307" s="812">
        <v>563</v>
      </c>
      <c r="N307" s="812"/>
      <c r="O307" s="812"/>
      <c r="P307" s="800"/>
      <c r="Q307" s="813"/>
    </row>
    <row r="308" spans="1:17" ht="14.4" customHeight="1" x14ac:dyDescent="0.3">
      <c r="A308" s="794" t="s">
        <v>591</v>
      </c>
      <c r="B308" s="795" t="s">
        <v>3509</v>
      </c>
      <c r="C308" s="795" t="s">
        <v>3612</v>
      </c>
      <c r="D308" s="795" t="s">
        <v>3936</v>
      </c>
      <c r="E308" s="795" t="s">
        <v>3937</v>
      </c>
      <c r="F308" s="812">
        <v>2</v>
      </c>
      <c r="G308" s="812">
        <v>2719.42</v>
      </c>
      <c r="H308" s="812"/>
      <c r="I308" s="812">
        <v>1359.71</v>
      </c>
      <c r="J308" s="812"/>
      <c r="K308" s="812"/>
      <c r="L308" s="812"/>
      <c r="M308" s="812"/>
      <c r="N308" s="812"/>
      <c r="O308" s="812"/>
      <c r="P308" s="800"/>
      <c r="Q308" s="813"/>
    </row>
    <row r="309" spans="1:17" ht="14.4" customHeight="1" x14ac:dyDescent="0.3">
      <c r="A309" s="794" t="s">
        <v>591</v>
      </c>
      <c r="B309" s="795" t="s">
        <v>3509</v>
      </c>
      <c r="C309" s="795" t="s">
        <v>3612</v>
      </c>
      <c r="D309" s="795" t="s">
        <v>3938</v>
      </c>
      <c r="E309" s="795" t="s">
        <v>3939</v>
      </c>
      <c r="F309" s="812"/>
      <c r="G309" s="812"/>
      <c r="H309" s="812"/>
      <c r="I309" s="812"/>
      <c r="J309" s="812">
        <v>7</v>
      </c>
      <c r="K309" s="812">
        <v>4896.8499999999995</v>
      </c>
      <c r="L309" s="812">
        <v>1</v>
      </c>
      <c r="M309" s="812">
        <v>699.55</v>
      </c>
      <c r="N309" s="812">
        <v>18</v>
      </c>
      <c r="O309" s="812">
        <v>12591.899999999998</v>
      </c>
      <c r="P309" s="800">
        <v>2.5714285714285712</v>
      </c>
      <c r="Q309" s="813">
        <v>699.54999999999984</v>
      </c>
    </row>
    <row r="310" spans="1:17" ht="14.4" customHeight="1" x14ac:dyDescent="0.3">
      <c r="A310" s="794" t="s">
        <v>591</v>
      </c>
      <c r="B310" s="795" t="s">
        <v>3509</v>
      </c>
      <c r="C310" s="795" t="s">
        <v>3612</v>
      </c>
      <c r="D310" s="795" t="s">
        <v>3940</v>
      </c>
      <c r="E310" s="795" t="s">
        <v>3941</v>
      </c>
      <c r="F310" s="812">
        <v>3</v>
      </c>
      <c r="G310" s="812">
        <v>15927</v>
      </c>
      <c r="H310" s="812"/>
      <c r="I310" s="812">
        <v>5309</v>
      </c>
      <c r="J310" s="812"/>
      <c r="K310" s="812"/>
      <c r="L310" s="812"/>
      <c r="M310" s="812"/>
      <c r="N310" s="812"/>
      <c r="O310" s="812"/>
      <c r="P310" s="800"/>
      <c r="Q310" s="813"/>
    </row>
    <row r="311" spans="1:17" ht="14.4" customHeight="1" x14ac:dyDescent="0.3">
      <c r="A311" s="794" t="s">
        <v>591</v>
      </c>
      <c r="B311" s="795" t="s">
        <v>3509</v>
      </c>
      <c r="C311" s="795" t="s">
        <v>3612</v>
      </c>
      <c r="D311" s="795" t="s">
        <v>3942</v>
      </c>
      <c r="E311" s="795" t="s">
        <v>3943</v>
      </c>
      <c r="F311" s="812"/>
      <c r="G311" s="812"/>
      <c r="H311" s="812"/>
      <c r="I311" s="812"/>
      <c r="J311" s="812">
        <v>1</v>
      </c>
      <c r="K311" s="812">
        <v>3416</v>
      </c>
      <c r="L311" s="812">
        <v>1</v>
      </c>
      <c r="M311" s="812">
        <v>3416</v>
      </c>
      <c r="N311" s="812"/>
      <c r="O311" s="812"/>
      <c r="P311" s="800"/>
      <c r="Q311" s="813"/>
    </row>
    <row r="312" spans="1:17" ht="14.4" customHeight="1" x14ac:dyDescent="0.3">
      <c r="A312" s="794" t="s">
        <v>591</v>
      </c>
      <c r="B312" s="795" t="s">
        <v>3509</v>
      </c>
      <c r="C312" s="795" t="s">
        <v>3612</v>
      </c>
      <c r="D312" s="795" t="s">
        <v>3944</v>
      </c>
      <c r="E312" s="795" t="s">
        <v>3915</v>
      </c>
      <c r="F312" s="812"/>
      <c r="G312" s="812"/>
      <c r="H312" s="812"/>
      <c r="I312" s="812"/>
      <c r="J312" s="812">
        <v>1</v>
      </c>
      <c r="K312" s="812">
        <v>4606.3</v>
      </c>
      <c r="L312" s="812">
        <v>1</v>
      </c>
      <c r="M312" s="812">
        <v>4606.3</v>
      </c>
      <c r="N312" s="812">
        <v>2</v>
      </c>
      <c r="O312" s="812">
        <v>9212.6</v>
      </c>
      <c r="P312" s="800">
        <v>2</v>
      </c>
      <c r="Q312" s="813">
        <v>4606.3</v>
      </c>
    </row>
    <row r="313" spans="1:17" ht="14.4" customHeight="1" x14ac:dyDescent="0.3">
      <c r="A313" s="794" t="s">
        <v>591</v>
      </c>
      <c r="B313" s="795" t="s">
        <v>3509</v>
      </c>
      <c r="C313" s="795" t="s">
        <v>3612</v>
      </c>
      <c r="D313" s="795" t="s">
        <v>3945</v>
      </c>
      <c r="E313" s="795" t="s">
        <v>3946</v>
      </c>
      <c r="F313" s="812">
        <v>1</v>
      </c>
      <c r="G313" s="812">
        <v>1872.2</v>
      </c>
      <c r="H313" s="812"/>
      <c r="I313" s="812">
        <v>1872.2</v>
      </c>
      <c r="J313" s="812"/>
      <c r="K313" s="812"/>
      <c r="L313" s="812"/>
      <c r="M313" s="812"/>
      <c r="N313" s="812">
        <v>1</v>
      </c>
      <c r="O313" s="812">
        <v>1872.2</v>
      </c>
      <c r="P313" s="800"/>
      <c r="Q313" s="813">
        <v>1872.2</v>
      </c>
    </row>
    <row r="314" spans="1:17" ht="14.4" customHeight="1" x14ac:dyDescent="0.3">
      <c r="A314" s="794" t="s">
        <v>591</v>
      </c>
      <c r="B314" s="795" t="s">
        <v>3509</v>
      </c>
      <c r="C314" s="795" t="s">
        <v>3612</v>
      </c>
      <c r="D314" s="795" t="s">
        <v>3947</v>
      </c>
      <c r="E314" s="795" t="s">
        <v>3915</v>
      </c>
      <c r="F314" s="812">
        <v>4</v>
      </c>
      <c r="G314" s="812">
        <v>20122.240000000002</v>
      </c>
      <c r="H314" s="812">
        <v>2</v>
      </c>
      <c r="I314" s="812">
        <v>5030.5600000000004</v>
      </c>
      <c r="J314" s="812">
        <v>2</v>
      </c>
      <c r="K314" s="812">
        <v>10061.120000000001</v>
      </c>
      <c r="L314" s="812">
        <v>1</v>
      </c>
      <c r="M314" s="812">
        <v>5030.5600000000004</v>
      </c>
      <c r="N314" s="812">
        <v>5</v>
      </c>
      <c r="O314" s="812">
        <v>25152.800000000003</v>
      </c>
      <c r="P314" s="800">
        <v>2.5</v>
      </c>
      <c r="Q314" s="813">
        <v>5030.5600000000004</v>
      </c>
    </row>
    <row r="315" spans="1:17" ht="14.4" customHeight="1" x14ac:dyDescent="0.3">
      <c r="A315" s="794" t="s">
        <v>591</v>
      </c>
      <c r="B315" s="795" t="s">
        <v>3509</v>
      </c>
      <c r="C315" s="795" t="s">
        <v>3612</v>
      </c>
      <c r="D315" s="795" t="s">
        <v>3948</v>
      </c>
      <c r="E315" s="795" t="s">
        <v>3949</v>
      </c>
      <c r="F315" s="812">
        <v>1</v>
      </c>
      <c r="G315" s="812">
        <v>5589</v>
      </c>
      <c r="H315" s="812"/>
      <c r="I315" s="812">
        <v>5589</v>
      </c>
      <c r="J315" s="812"/>
      <c r="K315" s="812"/>
      <c r="L315" s="812"/>
      <c r="M315" s="812"/>
      <c r="N315" s="812"/>
      <c r="O315" s="812"/>
      <c r="P315" s="800"/>
      <c r="Q315" s="813"/>
    </row>
    <row r="316" spans="1:17" ht="14.4" customHeight="1" x14ac:dyDescent="0.3">
      <c r="A316" s="794" t="s">
        <v>591</v>
      </c>
      <c r="B316" s="795" t="s">
        <v>3509</v>
      </c>
      <c r="C316" s="795" t="s">
        <v>3612</v>
      </c>
      <c r="D316" s="795" t="s">
        <v>3950</v>
      </c>
      <c r="E316" s="795" t="s">
        <v>3951</v>
      </c>
      <c r="F316" s="812">
        <v>1</v>
      </c>
      <c r="G316" s="812">
        <v>937.91</v>
      </c>
      <c r="H316" s="812"/>
      <c r="I316" s="812">
        <v>937.91</v>
      </c>
      <c r="J316" s="812"/>
      <c r="K316" s="812"/>
      <c r="L316" s="812"/>
      <c r="M316" s="812"/>
      <c r="N316" s="812"/>
      <c r="O316" s="812"/>
      <c r="P316" s="800"/>
      <c r="Q316" s="813"/>
    </row>
    <row r="317" spans="1:17" ht="14.4" customHeight="1" x14ac:dyDescent="0.3">
      <c r="A317" s="794" t="s">
        <v>591</v>
      </c>
      <c r="B317" s="795" t="s">
        <v>3509</v>
      </c>
      <c r="C317" s="795" t="s">
        <v>3612</v>
      </c>
      <c r="D317" s="795" t="s">
        <v>3952</v>
      </c>
      <c r="E317" s="795" t="s">
        <v>3953</v>
      </c>
      <c r="F317" s="812"/>
      <c r="G317" s="812"/>
      <c r="H317" s="812"/>
      <c r="I317" s="812"/>
      <c r="J317" s="812"/>
      <c r="K317" s="812"/>
      <c r="L317" s="812"/>
      <c r="M317" s="812"/>
      <c r="N317" s="812">
        <v>0.1</v>
      </c>
      <c r="O317" s="812">
        <v>8.59</v>
      </c>
      <c r="P317" s="800"/>
      <c r="Q317" s="813">
        <v>85.899999999999991</v>
      </c>
    </row>
    <row r="318" spans="1:17" ht="14.4" customHeight="1" x14ac:dyDescent="0.3">
      <c r="A318" s="794" t="s">
        <v>591</v>
      </c>
      <c r="B318" s="795" t="s">
        <v>3509</v>
      </c>
      <c r="C318" s="795" t="s">
        <v>3612</v>
      </c>
      <c r="D318" s="795" t="s">
        <v>3954</v>
      </c>
      <c r="E318" s="795" t="s">
        <v>3953</v>
      </c>
      <c r="F318" s="812"/>
      <c r="G318" s="812"/>
      <c r="H318" s="812"/>
      <c r="I318" s="812"/>
      <c r="J318" s="812"/>
      <c r="K318" s="812"/>
      <c r="L318" s="812"/>
      <c r="M318" s="812"/>
      <c r="N318" s="812">
        <v>0.3</v>
      </c>
      <c r="O318" s="812">
        <v>295.8</v>
      </c>
      <c r="P318" s="800"/>
      <c r="Q318" s="813">
        <v>986.00000000000011</v>
      </c>
    </row>
    <row r="319" spans="1:17" ht="14.4" customHeight="1" x14ac:dyDescent="0.3">
      <c r="A319" s="794" t="s">
        <v>591</v>
      </c>
      <c r="B319" s="795" t="s">
        <v>3509</v>
      </c>
      <c r="C319" s="795" t="s">
        <v>3612</v>
      </c>
      <c r="D319" s="795" t="s">
        <v>3955</v>
      </c>
      <c r="E319" s="795" t="s">
        <v>3881</v>
      </c>
      <c r="F319" s="812">
        <v>1</v>
      </c>
      <c r="G319" s="812">
        <v>798.6</v>
      </c>
      <c r="H319" s="812"/>
      <c r="I319" s="812">
        <v>798.6</v>
      </c>
      <c r="J319" s="812"/>
      <c r="K319" s="812"/>
      <c r="L319" s="812"/>
      <c r="M319" s="812"/>
      <c r="N319" s="812"/>
      <c r="O319" s="812"/>
      <c r="P319" s="800"/>
      <c r="Q319" s="813"/>
    </row>
    <row r="320" spans="1:17" ht="14.4" customHeight="1" x14ac:dyDescent="0.3">
      <c r="A320" s="794" t="s">
        <v>591</v>
      </c>
      <c r="B320" s="795" t="s">
        <v>3509</v>
      </c>
      <c r="C320" s="795" t="s">
        <v>3612</v>
      </c>
      <c r="D320" s="795" t="s">
        <v>3956</v>
      </c>
      <c r="E320" s="795" t="s">
        <v>3634</v>
      </c>
      <c r="F320" s="812"/>
      <c r="G320" s="812"/>
      <c r="H320" s="812"/>
      <c r="I320" s="812"/>
      <c r="J320" s="812"/>
      <c r="K320" s="812"/>
      <c r="L320" s="812"/>
      <c r="M320" s="812"/>
      <c r="N320" s="812">
        <v>7</v>
      </c>
      <c r="O320" s="812">
        <v>2118.34</v>
      </c>
      <c r="P320" s="800"/>
      <c r="Q320" s="813">
        <v>302.62</v>
      </c>
    </row>
    <row r="321" spans="1:17" ht="14.4" customHeight="1" x14ac:dyDescent="0.3">
      <c r="A321" s="794" t="s">
        <v>591</v>
      </c>
      <c r="B321" s="795" t="s">
        <v>3509</v>
      </c>
      <c r="C321" s="795" t="s">
        <v>3612</v>
      </c>
      <c r="D321" s="795" t="s">
        <v>3957</v>
      </c>
      <c r="E321" s="795" t="s">
        <v>3620</v>
      </c>
      <c r="F321" s="812"/>
      <c r="G321" s="812"/>
      <c r="H321" s="812"/>
      <c r="I321" s="812"/>
      <c r="J321" s="812"/>
      <c r="K321" s="812"/>
      <c r="L321" s="812"/>
      <c r="M321" s="812"/>
      <c r="N321" s="812">
        <v>2</v>
      </c>
      <c r="O321" s="812">
        <v>932.94</v>
      </c>
      <c r="P321" s="800"/>
      <c r="Q321" s="813">
        <v>466.47</v>
      </c>
    </row>
    <row r="322" spans="1:17" ht="14.4" customHeight="1" x14ac:dyDescent="0.3">
      <c r="A322" s="794" t="s">
        <v>591</v>
      </c>
      <c r="B322" s="795" t="s">
        <v>3509</v>
      </c>
      <c r="C322" s="795" t="s">
        <v>3612</v>
      </c>
      <c r="D322" s="795" t="s">
        <v>3958</v>
      </c>
      <c r="E322" s="795" t="s">
        <v>3827</v>
      </c>
      <c r="F322" s="812">
        <v>1</v>
      </c>
      <c r="G322" s="812">
        <v>9224.67</v>
      </c>
      <c r="H322" s="812">
        <v>1</v>
      </c>
      <c r="I322" s="812">
        <v>9224.67</v>
      </c>
      <c r="J322" s="812">
        <v>1</v>
      </c>
      <c r="K322" s="812">
        <v>9224.67</v>
      </c>
      <c r="L322" s="812">
        <v>1</v>
      </c>
      <c r="M322" s="812">
        <v>9224.67</v>
      </c>
      <c r="N322" s="812"/>
      <c r="O322" s="812"/>
      <c r="P322" s="800"/>
      <c r="Q322" s="813"/>
    </row>
    <row r="323" spans="1:17" ht="14.4" customHeight="1" x14ac:dyDescent="0.3">
      <c r="A323" s="794" t="s">
        <v>591</v>
      </c>
      <c r="B323" s="795" t="s">
        <v>3509</v>
      </c>
      <c r="C323" s="795" t="s">
        <v>3612</v>
      </c>
      <c r="D323" s="795" t="s">
        <v>3959</v>
      </c>
      <c r="E323" s="795" t="s">
        <v>3886</v>
      </c>
      <c r="F323" s="812"/>
      <c r="G323" s="812"/>
      <c r="H323" s="812"/>
      <c r="I323" s="812"/>
      <c r="J323" s="812"/>
      <c r="K323" s="812"/>
      <c r="L323" s="812"/>
      <c r="M323" s="812"/>
      <c r="N323" s="812">
        <v>1</v>
      </c>
      <c r="O323" s="812">
        <v>9275</v>
      </c>
      <c r="P323" s="800"/>
      <c r="Q323" s="813">
        <v>9275</v>
      </c>
    </row>
    <row r="324" spans="1:17" ht="14.4" customHeight="1" x14ac:dyDescent="0.3">
      <c r="A324" s="794" t="s">
        <v>591</v>
      </c>
      <c r="B324" s="795" t="s">
        <v>3509</v>
      </c>
      <c r="C324" s="795" t="s">
        <v>3612</v>
      </c>
      <c r="D324" s="795" t="s">
        <v>3960</v>
      </c>
      <c r="E324" s="795" t="s">
        <v>3961</v>
      </c>
      <c r="F324" s="812">
        <v>0.2</v>
      </c>
      <c r="G324" s="812">
        <v>1205.28</v>
      </c>
      <c r="H324" s="812"/>
      <c r="I324" s="812">
        <v>6026.4</v>
      </c>
      <c r="J324" s="812"/>
      <c r="K324" s="812"/>
      <c r="L324" s="812"/>
      <c r="M324" s="812"/>
      <c r="N324" s="812"/>
      <c r="O324" s="812"/>
      <c r="P324" s="800"/>
      <c r="Q324" s="813"/>
    </row>
    <row r="325" spans="1:17" ht="14.4" customHeight="1" x14ac:dyDescent="0.3">
      <c r="A325" s="794" t="s">
        <v>591</v>
      </c>
      <c r="B325" s="795" t="s">
        <v>3509</v>
      </c>
      <c r="C325" s="795" t="s">
        <v>3612</v>
      </c>
      <c r="D325" s="795" t="s">
        <v>3962</v>
      </c>
      <c r="E325" s="795" t="s">
        <v>3963</v>
      </c>
      <c r="F325" s="812">
        <v>17</v>
      </c>
      <c r="G325" s="812">
        <v>23115.07</v>
      </c>
      <c r="H325" s="812">
        <v>2.833333333333333</v>
      </c>
      <c r="I325" s="812">
        <v>1359.71</v>
      </c>
      <c r="J325" s="812">
        <v>6</v>
      </c>
      <c r="K325" s="812">
        <v>8158.26</v>
      </c>
      <c r="L325" s="812">
        <v>1</v>
      </c>
      <c r="M325" s="812">
        <v>1359.71</v>
      </c>
      <c r="N325" s="812">
        <v>3</v>
      </c>
      <c r="O325" s="812">
        <v>4079.13</v>
      </c>
      <c r="P325" s="800">
        <v>0.5</v>
      </c>
      <c r="Q325" s="813">
        <v>1359.71</v>
      </c>
    </row>
    <row r="326" spans="1:17" ht="14.4" customHeight="1" x14ac:dyDescent="0.3">
      <c r="A326" s="794" t="s">
        <v>591</v>
      </c>
      <c r="B326" s="795" t="s">
        <v>3509</v>
      </c>
      <c r="C326" s="795" t="s">
        <v>3612</v>
      </c>
      <c r="D326" s="795" t="s">
        <v>3964</v>
      </c>
      <c r="E326" s="795" t="s">
        <v>3628</v>
      </c>
      <c r="F326" s="812">
        <v>1</v>
      </c>
      <c r="G326" s="812">
        <v>2831.66</v>
      </c>
      <c r="H326" s="812">
        <v>1</v>
      </c>
      <c r="I326" s="812">
        <v>2831.66</v>
      </c>
      <c r="J326" s="812">
        <v>1</v>
      </c>
      <c r="K326" s="812">
        <v>2831.66</v>
      </c>
      <c r="L326" s="812">
        <v>1</v>
      </c>
      <c r="M326" s="812">
        <v>2831.66</v>
      </c>
      <c r="N326" s="812"/>
      <c r="O326" s="812"/>
      <c r="P326" s="800"/>
      <c r="Q326" s="813"/>
    </row>
    <row r="327" spans="1:17" ht="14.4" customHeight="1" x14ac:dyDescent="0.3">
      <c r="A327" s="794" t="s">
        <v>591</v>
      </c>
      <c r="B327" s="795" t="s">
        <v>3509</v>
      </c>
      <c r="C327" s="795" t="s">
        <v>3612</v>
      </c>
      <c r="D327" s="795" t="s">
        <v>3965</v>
      </c>
      <c r="E327" s="795" t="s">
        <v>3966</v>
      </c>
      <c r="F327" s="812"/>
      <c r="G327" s="812"/>
      <c r="H327" s="812"/>
      <c r="I327" s="812"/>
      <c r="J327" s="812">
        <v>1</v>
      </c>
      <c r="K327" s="812">
        <v>18507</v>
      </c>
      <c r="L327" s="812">
        <v>1</v>
      </c>
      <c r="M327" s="812">
        <v>18507</v>
      </c>
      <c r="N327" s="812"/>
      <c r="O327" s="812"/>
      <c r="P327" s="800"/>
      <c r="Q327" s="813"/>
    </row>
    <row r="328" spans="1:17" ht="14.4" customHeight="1" x14ac:dyDescent="0.3">
      <c r="A328" s="794" t="s">
        <v>591</v>
      </c>
      <c r="B328" s="795" t="s">
        <v>3509</v>
      </c>
      <c r="C328" s="795" t="s">
        <v>3612</v>
      </c>
      <c r="D328" s="795" t="s">
        <v>3967</v>
      </c>
      <c r="E328" s="795" t="s">
        <v>3886</v>
      </c>
      <c r="F328" s="812"/>
      <c r="G328" s="812"/>
      <c r="H328" s="812"/>
      <c r="I328" s="812"/>
      <c r="J328" s="812">
        <v>1</v>
      </c>
      <c r="K328" s="812">
        <v>3960</v>
      </c>
      <c r="L328" s="812">
        <v>1</v>
      </c>
      <c r="M328" s="812">
        <v>3960</v>
      </c>
      <c r="N328" s="812">
        <v>1</v>
      </c>
      <c r="O328" s="812">
        <v>3960</v>
      </c>
      <c r="P328" s="800">
        <v>1</v>
      </c>
      <c r="Q328" s="813">
        <v>3960</v>
      </c>
    </row>
    <row r="329" spans="1:17" ht="14.4" customHeight="1" x14ac:dyDescent="0.3">
      <c r="A329" s="794" t="s">
        <v>591</v>
      </c>
      <c r="B329" s="795" t="s">
        <v>3509</v>
      </c>
      <c r="C329" s="795" t="s">
        <v>3612</v>
      </c>
      <c r="D329" s="795" t="s">
        <v>3968</v>
      </c>
      <c r="E329" s="795" t="s">
        <v>3660</v>
      </c>
      <c r="F329" s="812">
        <v>0.1</v>
      </c>
      <c r="G329" s="812">
        <v>188.22</v>
      </c>
      <c r="H329" s="812"/>
      <c r="I329" s="812">
        <v>1882.1999999999998</v>
      </c>
      <c r="J329" s="812"/>
      <c r="K329" s="812"/>
      <c r="L329" s="812"/>
      <c r="M329" s="812"/>
      <c r="N329" s="812"/>
      <c r="O329" s="812"/>
      <c r="P329" s="800"/>
      <c r="Q329" s="813"/>
    </row>
    <row r="330" spans="1:17" ht="14.4" customHeight="1" x14ac:dyDescent="0.3">
      <c r="A330" s="794" t="s">
        <v>591</v>
      </c>
      <c r="B330" s="795" t="s">
        <v>3509</v>
      </c>
      <c r="C330" s="795" t="s">
        <v>3612</v>
      </c>
      <c r="D330" s="795" t="s">
        <v>3969</v>
      </c>
      <c r="E330" s="795" t="s">
        <v>3970</v>
      </c>
      <c r="F330" s="812"/>
      <c r="G330" s="812"/>
      <c r="H330" s="812"/>
      <c r="I330" s="812"/>
      <c r="J330" s="812"/>
      <c r="K330" s="812"/>
      <c r="L330" s="812"/>
      <c r="M330" s="812"/>
      <c r="N330" s="812">
        <v>1</v>
      </c>
      <c r="O330" s="812">
        <v>10077.6</v>
      </c>
      <c r="P330" s="800"/>
      <c r="Q330" s="813">
        <v>10077.6</v>
      </c>
    </row>
    <row r="331" spans="1:17" ht="14.4" customHeight="1" x14ac:dyDescent="0.3">
      <c r="A331" s="794" t="s">
        <v>591</v>
      </c>
      <c r="B331" s="795" t="s">
        <v>3509</v>
      </c>
      <c r="C331" s="795" t="s">
        <v>3612</v>
      </c>
      <c r="D331" s="795" t="s">
        <v>3971</v>
      </c>
      <c r="E331" s="795" t="s">
        <v>3972</v>
      </c>
      <c r="F331" s="812">
        <v>1</v>
      </c>
      <c r="G331" s="812">
        <v>7047.4</v>
      </c>
      <c r="H331" s="812"/>
      <c r="I331" s="812">
        <v>7047.4</v>
      </c>
      <c r="J331" s="812"/>
      <c r="K331" s="812"/>
      <c r="L331" s="812"/>
      <c r="M331" s="812"/>
      <c r="N331" s="812"/>
      <c r="O331" s="812"/>
      <c r="P331" s="800"/>
      <c r="Q331" s="813"/>
    </row>
    <row r="332" spans="1:17" ht="14.4" customHeight="1" x14ac:dyDescent="0.3">
      <c r="A332" s="794" t="s">
        <v>591</v>
      </c>
      <c r="B332" s="795" t="s">
        <v>3509</v>
      </c>
      <c r="C332" s="795" t="s">
        <v>3612</v>
      </c>
      <c r="D332" s="795" t="s">
        <v>3973</v>
      </c>
      <c r="E332" s="795" t="s">
        <v>3974</v>
      </c>
      <c r="F332" s="812">
        <v>27</v>
      </c>
      <c r="G332" s="812">
        <v>29045.25</v>
      </c>
      <c r="H332" s="812">
        <v>2.4545454545454546</v>
      </c>
      <c r="I332" s="812">
        <v>1075.75</v>
      </c>
      <c r="J332" s="812">
        <v>11</v>
      </c>
      <c r="K332" s="812">
        <v>11833.25</v>
      </c>
      <c r="L332" s="812">
        <v>1</v>
      </c>
      <c r="M332" s="812">
        <v>1075.75</v>
      </c>
      <c r="N332" s="812">
        <v>15</v>
      </c>
      <c r="O332" s="812">
        <v>16136.25</v>
      </c>
      <c r="P332" s="800">
        <v>1.3636363636363635</v>
      </c>
      <c r="Q332" s="813">
        <v>1075.75</v>
      </c>
    </row>
    <row r="333" spans="1:17" ht="14.4" customHeight="1" x14ac:dyDescent="0.3">
      <c r="A333" s="794" t="s">
        <v>591</v>
      </c>
      <c r="B333" s="795" t="s">
        <v>3509</v>
      </c>
      <c r="C333" s="795" t="s">
        <v>3612</v>
      </c>
      <c r="D333" s="795" t="s">
        <v>3975</v>
      </c>
      <c r="E333" s="795" t="s">
        <v>3976</v>
      </c>
      <c r="F333" s="812">
        <v>12</v>
      </c>
      <c r="G333" s="812">
        <v>19400.759999999998</v>
      </c>
      <c r="H333" s="812">
        <v>5.9999999999999991</v>
      </c>
      <c r="I333" s="812">
        <v>1616.7299999999998</v>
      </c>
      <c r="J333" s="812">
        <v>2</v>
      </c>
      <c r="K333" s="812">
        <v>3233.46</v>
      </c>
      <c r="L333" s="812">
        <v>1</v>
      </c>
      <c r="M333" s="812">
        <v>1616.73</v>
      </c>
      <c r="N333" s="812">
        <v>1</v>
      </c>
      <c r="O333" s="812">
        <v>1616.73</v>
      </c>
      <c r="P333" s="800">
        <v>0.5</v>
      </c>
      <c r="Q333" s="813">
        <v>1616.73</v>
      </c>
    </row>
    <row r="334" spans="1:17" ht="14.4" customHeight="1" x14ac:dyDescent="0.3">
      <c r="A334" s="794" t="s">
        <v>591</v>
      </c>
      <c r="B334" s="795" t="s">
        <v>3509</v>
      </c>
      <c r="C334" s="795" t="s">
        <v>3612</v>
      </c>
      <c r="D334" s="795" t="s">
        <v>3977</v>
      </c>
      <c r="E334" s="795" t="s">
        <v>3978</v>
      </c>
      <c r="F334" s="812"/>
      <c r="G334" s="812"/>
      <c r="H334" s="812"/>
      <c r="I334" s="812"/>
      <c r="J334" s="812">
        <v>1</v>
      </c>
      <c r="K334" s="812">
        <v>248.73</v>
      </c>
      <c r="L334" s="812">
        <v>1</v>
      </c>
      <c r="M334" s="812">
        <v>248.73</v>
      </c>
      <c r="N334" s="812"/>
      <c r="O334" s="812"/>
      <c r="P334" s="800"/>
      <c r="Q334" s="813"/>
    </row>
    <row r="335" spans="1:17" ht="14.4" customHeight="1" x14ac:dyDescent="0.3">
      <c r="A335" s="794" t="s">
        <v>591</v>
      </c>
      <c r="B335" s="795" t="s">
        <v>3509</v>
      </c>
      <c r="C335" s="795" t="s">
        <v>3612</v>
      </c>
      <c r="D335" s="795" t="s">
        <v>3979</v>
      </c>
      <c r="E335" s="795" t="s">
        <v>3980</v>
      </c>
      <c r="F335" s="812">
        <v>1</v>
      </c>
      <c r="G335" s="812">
        <v>10707.71</v>
      </c>
      <c r="H335" s="812"/>
      <c r="I335" s="812">
        <v>10707.71</v>
      </c>
      <c r="J335" s="812"/>
      <c r="K335" s="812"/>
      <c r="L335" s="812"/>
      <c r="M335" s="812"/>
      <c r="N335" s="812"/>
      <c r="O335" s="812"/>
      <c r="P335" s="800"/>
      <c r="Q335" s="813"/>
    </row>
    <row r="336" spans="1:17" ht="14.4" customHeight="1" x14ac:dyDescent="0.3">
      <c r="A336" s="794" t="s">
        <v>591</v>
      </c>
      <c r="B336" s="795" t="s">
        <v>3509</v>
      </c>
      <c r="C336" s="795" t="s">
        <v>3612</v>
      </c>
      <c r="D336" s="795" t="s">
        <v>3981</v>
      </c>
      <c r="E336" s="795" t="s">
        <v>3765</v>
      </c>
      <c r="F336" s="812">
        <v>1</v>
      </c>
      <c r="G336" s="812">
        <v>2055.0500000000002</v>
      </c>
      <c r="H336" s="812"/>
      <c r="I336" s="812">
        <v>2055.0500000000002</v>
      </c>
      <c r="J336" s="812"/>
      <c r="K336" s="812"/>
      <c r="L336" s="812"/>
      <c r="M336" s="812"/>
      <c r="N336" s="812"/>
      <c r="O336" s="812"/>
      <c r="P336" s="800"/>
      <c r="Q336" s="813"/>
    </row>
    <row r="337" spans="1:17" ht="14.4" customHeight="1" x14ac:dyDescent="0.3">
      <c r="A337" s="794" t="s">
        <v>591</v>
      </c>
      <c r="B337" s="795" t="s">
        <v>3509</v>
      </c>
      <c r="C337" s="795" t="s">
        <v>3612</v>
      </c>
      <c r="D337" s="795" t="s">
        <v>3982</v>
      </c>
      <c r="E337" s="795" t="s">
        <v>3983</v>
      </c>
      <c r="F337" s="812">
        <v>18</v>
      </c>
      <c r="G337" s="812">
        <v>1600.2</v>
      </c>
      <c r="H337" s="812">
        <v>0.50000000000000011</v>
      </c>
      <c r="I337" s="812">
        <v>88.9</v>
      </c>
      <c r="J337" s="812">
        <v>36</v>
      </c>
      <c r="K337" s="812">
        <v>3200.3999999999996</v>
      </c>
      <c r="L337" s="812">
        <v>1</v>
      </c>
      <c r="M337" s="812">
        <v>88.899999999999991</v>
      </c>
      <c r="N337" s="812">
        <v>36</v>
      </c>
      <c r="O337" s="812">
        <v>3200.4</v>
      </c>
      <c r="P337" s="800">
        <v>1.0000000000000002</v>
      </c>
      <c r="Q337" s="813">
        <v>88.9</v>
      </c>
    </row>
    <row r="338" spans="1:17" ht="14.4" customHeight="1" x14ac:dyDescent="0.3">
      <c r="A338" s="794" t="s">
        <v>591</v>
      </c>
      <c r="B338" s="795" t="s">
        <v>3509</v>
      </c>
      <c r="C338" s="795" t="s">
        <v>3612</v>
      </c>
      <c r="D338" s="795" t="s">
        <v>3984</v>
      </c>
      <c r="E338" s="795" t="s">
        <v>3985</v>
      </c>
      <c r="F338" s="812">
        <v>3</v>
      </c>
      <c r="G338" s="812">
        <v>1846.8000000000002</v>
      </c>
      <c r="H338" s="812"/>
      <c r="I338" s="812">
        <v>615.6</v>
      </c>
      <c r="J338" s="812"/>
      <c r="K338" s="812"/>
      <c r="L338" s="812"/>
      <c r="M338" s="812"/>
      <c r="N338" s="812">
        <v>4</v>
      </c>
      <c r="O338" s="812">
        <v>2462.4</v>
      </c>
      <c r="P338" s="800"/>
      <c r="Q338" s="813">
        <v>615.6</v>
      </c>
    </row>
    <row r="339" spans="1:17" ht="14.4" customHeight="1" x14ac:dyDescent="0.3">
      <c r="A339" s="794" t="s">
        <v>591</v>
      </c>
      <c r="B339" s="795" t="s">
        <v>3509</v>
      </c>
      <c r="C339" s="795" t="s">
        <v>3612</v>
      </c>
      <c r="D339" s="795" t="s">
        <v>3986</v>
      </c>
      <c r="E339" s="795" t="s">
        <v>3987</v>
      </c>
      <c r="F339" s="812">
        <v>6</v>
      </c>
      <c r="G339" s="812">
        <v>3556.7999999999997</v>
      </c>
      <c r="H339" s="812"/>
      <c r="I339" s="812">
        <v>592.79999999999995</v>
      </c>
      <c r="J339" s="812"/>
      <c r="K339" s="812"/>
      <c r="L339" s="812"/>
      <c r="M339" s="812"/>
      <c r="N339" s="812">
        <v>20</v>
      </c>
      <c r="O339" s="812">
        <v>11856</v>
      </c>
      <c r="P339" s="800"/>
      <c r="Q339" s="813">
        <v>592.79999999999995</v>
      </c>
    </row>
    <row r="340" spans="1:17" ht="14.4" customHeight="1" x14ac:dyDescent="0.3">
      <c r="A340" s="794" t="s">
        <v>591</v>
      </c>
      <c r="B340" s="795" t="s">
        <v>3509</v>
      </c>
      <c r="C340" s="795" t="s">
        <v>3612</v>
      </c>
      <c r="D340" s="795" t="s">
        <v>3988</v>
      </c>
      <c r="E340" s="795" t="s">
        <v>3989</v>
      </c>
      <c r="F340" s="812">
        <v>2</v>
      </c>
      <c r="G340" s="812">
        <v>4104</v>
      </c>
      <c r="H340" s="812"/>
      <c r="I340" s="812">
        <v>2052</v>
      </c>
      <c r="J340" s="812"/>
      <c r="K340" s="812"/>
      <c r="L340" s="812"/>
      <c r="M340" s="812"/>
      <c r="N340" s="812">
        <v>4</v>
      </c>
      <c r="O340" s="812">
        <v>8208</v>
      </c>
      <c r="P340" s="800"/>
      <c r="Q340" s="813">
        <v>2052</v>
      </c>
    </row>
    <row r="341" spans="1:17" ht="14.4" customHeight="1" x14ac:dyDescent="0.3">
      <c r="A341" s="794" t="s">
        <v>591</v>
      </c>
      <c r="B341" s="795" t="s">
        <v>3509</v>
      </c>
      <c r="C341" s="795" t="s">
        <v>3612</v>
      </c>
      <c r="D341" s="795" t="s">
        <v>3990</v>
      </c>
      <c r="E341" s="795" t="s">
        <v>3991</v>
      </c>
      <c r="F341" s="812">
        <v>1</v>
      </c>
      <c r="G341" s="812">
        <v>1208.4000000000001</v>
      </c>
      <c r="H341" s="812"/>
      <c r="I341" s="812">
        <v>1208.4000000000001</v>
      </c>
      <c r="J341" s="812"/>
      <c r="K341" s="812"/>
      <c r="L341" s="812"/>
      <c r="M341" s="812"/>
      <c r="N341" s="812"/>
      <c r="O341" s="812"/>
      <c r="P341" s="800"/>
      <c r="Q341" s="813"/>
    </row>
    <row r="342" spans="1:17" ht="14.4" customHeight="1" x14ac:dyDescent="0.3">
      <c r="A342" s="794" t="s">
        <v>591</v>
      </c>
      <c r="B342" s="795" t="s">
        <v>3509</v>
      </c>
      <c r="C342" s="795" t="s">
        <v>3612</v>
      </c>
      <c r="D342" s="795" t="s">
        <v>3992</v>
      </c>
      <c r="E342" s="795" t="s">
        <v>3993</v>
      </c>
      <c r="F342" s="812">
        <v>4</v>
      </c>
      <c r="G342" s="812">
        <v>2462.4</v>
      </c>
      <c r="H342" s="812"/>
      <c r="I342" s="812">
        <v>615.6</v>
      </c>
      <c r="J342" s="812"/>
      <c r="K342" s="812"/>
      <c r="L342" s="812"/>
      <c r="M342" s="812"/>
      <c r="N342" s="812">
        <v>6</v>
      </c>
      <c r="O342" s="812">
        <v>3693.6000000000004</v>
      </c>
      <c r="P342" s="800"/>
      <c r="Q342" s="813">
        <v>615.6</v>
      </c>
    </row>
    <row r="343" spans="1:17" ht="14.4" customHeight="1" x14ac:dyDescent="0.3">
      <c r="A343" s="794" t="s">
        <v>591</v>
      </c>
      <c r="B343" s="795" t="s">
        <v>3509</v>
      </c>
      <c r="C343" s="795" t="s">
        <v>3612</v>
      </c>
      <c r="D343" s="795" t="s">
        <v>3994</v>
      </c>
      <c r="E343" s="795" t="s">
        <v>3929</v>
      </c>
      <c r="F343" s="812">
        <v>2</v>
      </c>
      <c r="G343" s="812">
        <v>8450.5</v>
      </c>
      <c r="H343" s="812"/>
      <c r="I343" s="812">
        <v>4225.25</v>
      </c>
      <c r="J343" s="812"/>
      <c r="K343" s="812"/>
      <c r="L343" s="812"/>
      <c r="M343" s="812"/>
      <c r="N343" s="812"/>
      <c r="O343" s="812"/>
      <c r="P343" s="800"/>
      <c r="Q343" s="813"/>
    </row>
    <row r="344" spans="1:17" ht="14.4" customHeight="1" x14ac:dyDescent="0.3">
      <c r="A344" s="794" t="s">
        <v>591</v>
      </c>
      <c r="B344" s="795" t="s">
        <v>3509</v>
      </c>
      <c r="C344" s="795" t="s">
        <v>3612</v>
      </c>
      <c r="D344" s="795" t="s">
        <v>3995</v>
      </c>
      <c r="E344" s="795" t="s">
        <v>3996</v>
      </c>
      <c r="F344" s="812">
        <v>2</v>
      </c>
      <c r="G344" s="812">
        <v>6372</v>
      </c>
      <c r="H344" s="812">
        <v>2</v>
      </c>
      <c r="I344" s="812">
        <v>3186</v>
      </c>
      <c r="J344" s="812">
        <v>1</v>
      </c>
      <c r="K344" s="812">
        <v>3186</v>
      </c>
      <c r="L344" s="812">
        <v>1</v>
      </c>
      <c r="M344" s="812">
        <v>3186</v>
      </c>
      <c r="N344" s="812"/>
      <c r="O344" s="812"/>
      <c r="P344" s="800"/>
      <c r="Q344" s="813"/>
    </row>
    <row r="345" spans="1:17" ht="14.4" customHeight="1" x14ac:dyDescent="0.3">
      <c r="A345" s="794" t="s">
        <v>591</v>
      </c>
      <c r="B345" s="795" t="s">
        <v>3509</v>
      </c>
      <c r="C345" s="795" t="s">
        <v>3612</v>
      </c>
      <c r="D345" s="795" t="s">
        <v>3997</v>
      </c>
      <c r="E345" s="795" t="s">
        <v>3998</v>
      </c>
      <c r="F345" s="812"/>
      <c r="G345" s="812"/>
      <c r="H345" s="812"/>
      <c r="I345" s="812"/>
      <c r="J345" s="812">
        <v>2</v>
      </c>
      <c r="K345" s="812">
        <v>15584.04</v>
      </c>
      <c r="L345" s="812">
        <v>1</v>
      </c>
      <c r="M345" s="812">
        <v>7792.02</v>
      </c>
      <c r="N345" s="812"/>
      <c r="O345" s="812"/>
      <c r="P345" s="800"/>
      <c r="Q345" s="813"/>
    </row>
    <row r="346" spans="1:17" ht="14.4" customHeight="1" x14ac:dyDescent="0.3">
      <c r="A346" s="794" t="s">
        <v>591</v>
      </c>
      <c r="B346" s="795" t="s">
        <v>3509</v>
      </c>
      <c r="C346" s="795" t="s">
        <v>3612</v>
      </c>
      <c r="D346" s="795" t="s">
        <v>3999</v>
      </c>
      <c r="E346" s="795" t="s">
        <v>4000</v>
      </c>
      <c r="F346" s="812"/>
      <c r="G346" s="812"/>
      <c r="H346" s="812"/>
      <c r="I346" s="812"/>
      <c r="J346" s="812">
        <v>1</v>
      </c>
      <c r="K346" s="812">
        <v>6977.12</v>
      </c>
      <c r="L346" s="812">
        <v>1</v>
      </c>
      <c r="M346" s="812">
        <v>6977.12</v>
      </c>
      <c r="N346" s="812"/>
      <c r="O346" s="812"/>
      <c r="P346" s="800"/>
      <c r="Q346" s="813"/>
    </row>
    <row r="347" spans="1:17" ht="14.4" customHeight="1" x14ac:dyDescent="0.3">
      <c r="A347" s="794" t="s">
        <v>591</v>
      </c>
      <c r="B347" s="795" t="s">
        <v>3509</v>
      </c>
      <c r="C347" s="795" t="s">
        <v>3612</v>
      </c>
      <c r="D347" s="795" t="s">
        <v>4001</v>
      </c>
      <c r="E347" s="795" t="s">
        <v>4002</v>
      </c>
      <c r="F347" s="812"/>
      <c r="G347" s="812"/>
      <c r="H347" s="812"/>
      <c r="I347" s="812"/>
      <c r="J347" s="812">
        <v>3</v>
      </c>
      <c r="K347" s="812">
        <v>200.99999999999997</v>
      </c>
      <c r="L347" s="812">
        <v>1</v>
      </c>
      <c r="M347" s="812">
        <v>66.999999999999986</v>
      </c>
      <c r="N347" s="812">
        <v>3</v>
      </c>
      <c r="O347" s="812">
        <v>201</v>
      </c>
      <c r="P347" s="800">
        <v>1.0000000000000002</v>
      </c>
      <c r="Q347" s="813">
        <v>67</v>
      </c>
    </row>
    <row r="348" spans="1:17" ht="14.4" customHeight="1" x14ac:dyDescent="0.3">
      <c r="A348" s="794" t="s">
        <v>591</v>
      </c>
      <c r="B348" s="795" t="s">
        <v>3509</v>
      </c>
      <c r="C348" s="795" t="s">
        <v>3612</v>
      </c>
      <c r="D348" s="795" t="s">
        <v>4003</v>
      </c>
      <c r="E348" s="795" t="s">
        <v>4004</v>
      </c>
      <c r="F348" s="812"/>
      <c r="G348" s="812"/>
      <c r="H348" s="812"/>
      <c r="I348" s="812"/>
      <c r="J348" s="812">
        <v>1</v>
      </c>
      <c r="K348" s="812">
        <v>9185.2900000000009</v>
      </c>
      <c r="L348" s="812">
        <v>1</v>
      </c>
      <c r="M348" s="812">
        <v>9185.2900000000009</v>
      </c>
      <c r="N348" s="812"/>
      <c r="O348" s="812"/>
      <c r="P348" s="800"/>
      <c r="Q348" s="813"/>
    </row>
    <row r="349" spans="1:17" ht="14.4" customHeight="1" x14ac:dyDescent="0.3">
      <c r="A349" s="794" t="s">
        <v>591</v>
      </c>
      <c r="B349" s="795" t="s">
        <v>3509</v>
      </c>
      <c r="C349" s="795" t="s">
        <v>3612</v>
      </c>
      <c r="D349" s="795" t="s">
        <v>4005</v>
      </c>
      <c r="E349" s="795" t="s">
        <v>4006</v>
      </c>
      <c r="F349" s="812"/>
      <c r="G349" s="812"/>
      <c r="H349" s="812"/>
      <c r="I349" s="812"/>
      <c r="J349" s="812"/>
      <c r="K349" s="812"/>
      <c r="L349" s="812"/>
      <c r="M349" s="812"/>
      <c r="N349" s="812">
        <v>2</v>
      </c>
      <c r="O349" s="812">
        <v>10925.96</v>
      </c>
      <c r="P349" s="800"/>
      <c r="Q349" s="813">
        <v>5462.98</v>
      </c>
    </row>
    <row r="350" spans="1:17" ht="14.4" customHeight="1" x14ac:dyDescent="0.3">
      <c r="A350" s="794" t="s">
        <v>591</v>
      </c>
      <c r="B350" s="795" t="s">
        <v>3509</v>
      </c>
      <c r="C350" s="795" t="s">
        <v>3612</v>
      </c>
      <c r="D350" s="795" t="s">
        <v>4007</v>
      </c>
      <c r="E350" s="795" t="s">
        <v>3656</v>
      </c>
      <c r="F350" s="812"/>
      <c r="G350" s="812"/>
      <c r="H350" s="812"/>
      <c r="I350" s="812"/>
      <c r="J350" s="812">
        <v>2</v>
      </c>
      <c r="K350" s="812">
        <v>24524.5</v>
      </c>
      <c r="L350" s="812">
        <v>1</v>
      </c>
      <c r="M350" s="812">
        <v>12262.25</v>
      </c>
      <c r="N350" s="812"/>
      <c r="O350" s="812"/>
      <c r="P350" s="800"/>
      <c r="Q350" s="813"/>
    </row>
    <row r="351" spans="1:17" ht="14.4" customHeight="1" x14ac:dyDescent="0.3">
      <c r="A351" s="794" t="s">
        <v>591</v>
      </c>
      <c r="B351" s="795" t="s">
        <v>3509</v>
      </c>
      <c r="C351" s="795" t="s">
        <v>3612</v>
      </c>
      <c r="D351" s="795" t="s">
        <v>4008</v>
      </c>
      <c r="E351" s="795" t="s">
        <v>4009</v>
      </c>
      <c r="F351" s="812"/>
      <c r="G351" s="812"/>
      <c r="H351" s="812"/>
      <c r="I351" s="812"/>
      <c r="J351" s="812"/>
      <c r="K351" s="812"/>
      <c r="L351" s="812"/>
      <c r="M351" s="812"/>
      <c r="N351" s="812">
        <v>2</v>
      </c>
      <c r="O351" s="812">
        <v>4347.1400000000003</v>
      </c>
      <c r="P351" s="800"/>
      <c r="Q351" s="813">
        <v>2173.5700000000002</v>
      </c>
    </row>
    <row r="352" spans="1:17" ht="14.4" customHeight="1" x14ac:dyDescent="0.3">
      <c r="A352" s="794" t="s">
        <v>591</v>
      </c>
      <c r="B352" s="795" t="s">
        <v>3509</v>
      </c>
      <c r="C352" s="795" t="s">
        <v>3612</v>
      </c>
      <c r="D352" s="795" t="s">
        <v>4010</v>
      </c>
      <c r="E352" s="795" t="s">
        <v>4011</v>
      </c>
      <c r="F352" s="812"/>
      <c r="G352" s="812"/>
      <c r="H352" s="812"/>
      <c r="I352" s="812"/>
      <c r="J352" s="812"/>
      <c r="K352" s="812"/>
      <c r="L352" s="812"/>
      <c r="M352" s="812"/>
      <c r="N352" s="812">
        <v>2</v>
      </c>
      <c r="O352" s="812">
        <v>26548.94</v>
      </c>
      <c r="P352" s="800"/>
      <c r="Q352" s="813">
        <v>13274.47</v>
      </c>
    </row>
    <row r="353" spans="1:17" ht="14.4" customHeight="1" x14ac:dyDescent="0.3">
      <c r="A353" s="794" t="s">
        <v>591</v>
      </c>
      <c r="B353" s="795" t="s">
        <v>3509</v>
      </c>
      <c r="C353" s="795" t="s">
        <v>3612</v>
      </c>
      <c r="D353" s="795" t="s">
        <v>4012</v>
      </c>
      <c r="E353" s="795" t="s">
        <v>4013</v>
      </c>
      <c r="F353" s="812"/>
      <c r="G353" s="812"/>
      <c r="H353" s="812"/>
      <c r="I353" s="812"/>
      <c r="J353" s="812"/>
      <c r="K353" s="812"/>
      <c r="L353" s="812"/>
      <c r="M353" s="812"/>
      <c r="N353" s="812">
        <v>17</v>
      </c>
      <c r="O353" s="812">
        <v>41409.79</v>
      </c>
      <c r="P353" s="800"/>
      <c r="Q353" s="813">
        <v>2435.87</v>
      </c>
    </row>
    <row r="354" spans="1:17" ht="14.4" customHeight="1" x14ac:dyDescent="0.3">
      <c r="A354" s="794" t="s">
        <v>591</v>
      </c>
      <c r="B354" s="795" t="s">
        <v>3509</v>
      </c>
      <c r="C354" s="795" t="s">
        <v>3612</v>
      </c>
      <c r="D354" s="795" t="s">
        <v>4014</v>
      </c>
      <c r="E354" s="795" t="s">
        <v>3707</v>
      </c>
      <c r="F354" s="812"/>
      <c r="G354" s="812"/>
      <c r="H354" s="812"/>
      <c r="I354" s="812"/>
      <c r="J354" s="812"/>
      <c r="K354" s="812"/>
      <c r="L354" s="812"/>
      <c r="M354" s="812"/>
      <c r="N354" s="812">
        <v>1</v>
      </c>
      <c r="O354" s="812">
        <v>1916.24</v>
      </c>
      <c r="P354" s="800"/>
      <c r="Q354" s="813">
        <v>1916.24</v>
      </c>
    </row>
    <row r="355" spans="1:17" ht="14.4" customHeight="1" x14ac:dyDescent="0.3">
      <c r="A355" s="794" t="s">
        <v>591</v>
      </c>
      <c r="B355" s="795" t="s">
        <v>3509</v>
      </c>
      <c r="C355" s="795" t="s">
        <v>3612</v>
      </c>
      <c r="D355" s="795" t="s">
        <v>4015</v>
      </c>
      <c r="E355" s="795" t="s">
        <v>4016</v>
      </c>
      <c r="F355" s="812"/>
      <c r="G355" s="812"/>
      <c r="H355" s="812"/>
      <c r="I355" s="812"/>
      <c r="J355" s="812"/>
      <c r="K355" s="812"/>
      <c r="L355" s="812"/>
      <c r="M355" s="812"/>
      <c r="N355" s="812">
        <v>1</v>
      </c>
      <c r="O355" s="812">
        <v>3784.8</v>
      </c>
      <c r="P355" s="800"/>
      <c r="Q355" s="813">
        <v>3784.8</v>
      </c>
    </row>
    <row r="356" spans="1:17" ht="14.4" customHeight="1" x14ac:dyDescent="0.3">
      <c r="A356" s="794" t="s">
        <v>591</v>
      </c>
      <c r="B356" s="795" t="s">
        <v>3509</v>
      </c>
      <c r="C356" s="795" t="s">
        <v>3612</v>
      </c>
      <c r="D356" s="795" t="s">
        <v>4017</v>
      </c>
      <c r="E356" s="795" t="s">
        <v>4018</v>
      </c>
      <c r="F356" s="812"/>
      <c r="G356" s="812"/>
      <c r="H356" s="812"/>
      <c r="I356" s="812"/>
      <c r="J356" s="812"/>
      <c r="K356" s="812"/>
      <c r="L356" s="812"/>
      <c r="M356" s="812"/>
      <c r="N356" s="812">
        <v>12</v>
      </c>
      <c r="O356" s="812">
        <v>1764</v>
      </c>
      <c r="P356" s="800"/>
      <c r="Q356" s="813">
        <v>147</v>
      </c>
    </row>
    <row r="357" spans="1:17" ht="14.4" customHeight="1" x14ac:dyDescent="0.3">
      <c r="A357" s="794" t="s">
        <v>591</v>
      </c>
      <c r="B357" s="795" t="s">
        <v>3509</v>
      </c>
      <c r="C357" s="795" t="s">
        <v>3612</v>
      </c>
      <c r="D357" s="795" t="s">
        <v>4019</v>
      </c>
      <c r="E357" s="795" t="s">
        <v>4020</v>
      </c>
      <c r="F357" s="812"/>
      <c r="G357" s="812"/>
      <c r="H357" s="812"/>
      <c r="I357" s="812"/>
      <c r="J357" s="812"/>
      <c r="K357" s="812"/>
      <c r="L357" s="812"/>
      <c r="M357" s="812"/>
      <c r="N357" s="812">
        <v>2</v>
      </c>
      <c r="O357" s="812">
        <v>20341.740000000002</v>
      </c>
      <c r="P357" s="800"/>
      <c r="Q357" s="813">
        <v>10170.870000000001</v>
      </c>
    </row>
    <row r="358" spans="1:17" ht="14.4" customHeight="1" x14ac:dyDescent="0.3">
      <c r="A358" s="794" t="s">
        <v>591</v>
      </c>
      <c r="B358" s="795" t="s">
        <v>3509</v>
      </c>
      <c r="C358" s="795" t="s">
        <v>3612</v>
      </c>
      <c r="D358" s="795" t="s">
        <v>4021</v>
      </c>
      <c r="E358" s="795" t="s">
        <v>4022</v>
      </c>
      <c r="F358" s="812"/>
      <c r="G358" s="812"/>
      <c r="H358" s="812"/>
      <c r="I358" s="812"/>
      <c r="J358" s="812"/>
      <c r="K358" s="812"/>
      <c r="L358" s="812"/>
      <c r="M358" s="812"/>
      <c r="N358" s="812">
        <v>4</v>
      </c>
      <c r="O358" s="812">
        <v>11757.84</v>
      </c>
      <c r="P358" s="800"/>
      <c r="Q358" s="813">
        <v>2939.46</v>
      </c>
    </row>
    <row r="359" spans="1:17" ht="14.4" customHeight="1" x14ac:dyDescent="0.3">
      <c r="A359" s="794" t="s">
        <v>591</v>
      </c>
      <c r="B359" s="795" t="s">
        <v>3509</v>
      </c>
      <c r="C359" s="795" t="s">
        <v>3612</v>
      </c>
      <c r="D359" s="795" t="s">
        <v>4023</v>
      </c>
      <c r="E359" s="795" t="s">
        <v>4024</v>
      </c>
      <c r="F359" s="812"/>
      <c r="G359" s="812"/>
      <c r="H359" s="812"/>
      <c r="I359" s="812"/>
      <c r="J359" s="812"/>
      <c r="K359" s="812"/>
      <c r="L359" s="812"/>
      <c r="M359" s="812"/>
      <c r="N359" s="812">
        <v>2</v>
      </c>
      <c r="O359" s="812">
        <v>2723.56</v>
      </c>
      <c r="P359" s="800"/>
      <c r="Q359" s="813">
        <v>1361.78</v>
      </c>
    </row>
    <row r="360" spans="1:17" ht="14.4" customHeight="1" x14ac:dyDescent="0.3">
      <c r="A360" s="794" t="s">
        <v>591</v>
      </c>
      <c r="B360" s="795" t="s">
        <v>3509</v>
      </c>
      <c r="C360" s="795" t="s">
        <v>3612</v>
      </c>
      <c r="D360" s="795" t="s">
        <v>4025</v>
      </c>
      <c r="E360" s="795" t="s">
        <v>4026</v>
      </c>
      <c r="F360" s="812"/>
      <c r="G360" s="812"/>
      <c r="H360" s="812"/>
      <c r="I360" s="812"/>
      <c r="J360" s="812"/>
      <c r="K360" s="812"/>
      <c r="L360" s="812"/>
      <c r="M360" s="812"/>
      <c r="N360" s="812">
        <v>1</v>
      </c>
      <c r="O360" s="812">
        <v>3898.38</v>
      </c>
      <c r="P360" s="800"/>
      <c r="Q360" s="813">
        <v>3898.38</v>
      </c>
    </row>
    <row r="361" spans="1:17" ht="14.4" customHeight="1" x14ac:dyDescent="0.3">
      <c r="A361" s="794" t="s">
        <v>591</v>
      </c>
      <c r="B361" s="795" t="s">
        <v>3509</v>
      </c>
      <c r="C361" s="795" t="s">
        <v>3612</v>
      </c>
      <c r="D361" s="795" t="s">
        <v>4027</v>
      </c>
      <c r="E361" s="795" t="s">
        <v>4028</v>
      </c>
      <c r="F361" s="812"/>
      <c r="G361" s="812"/>
      <c r="H361" s="812"/>
      <c r="I361" s="812"/>
      <c r="J361" s="812"/>
      <c r="K361" s="812"/>
      <c r="L361" s="812"/>
      <c r="M361" s="812"/>
      <c r="N361" s="812">
        <v>11</v>
      </c>
      <c r="O361" s="812">
        <v>8887.23</v>
      </c>
      <c r="P361" s="800"/>
      <c r="Q361" s="813">
        <v>807.93</v>
      </c>
    </row>
    <row r="362" spans="1:17" ht="14.4" customHeight="1" x14ac:dyDescent="0.3">
      <c r="A362" s="794" t="s">
        <v>591</v>
      </c>
      <c r="B362" s="795" t="s">
        <v>3509</v>
      </c>
      <c r="C362" s="795" t="s">
        <v>3612</v>
      </c>
      <c r="D362" s="795" t="s">
        <v>4029</v>
      </c>
      <c r="E362" s="795" t="s">
        <v>4030</v>
      </c>
      <c r="F362" s="812"/>
      <c r="G362" s="812"/>
      <c r="H362" s="812"/>
      <c r="I362" s="812"/>
      <c r="J362" s="812"/>
      <c r="K362" s="812"/>
      <c r="L362" s="812"/>
      <c r="M362" s="812"/>
      <c r="N362" s="812">
        <v>1</v>
      </c>
      <c r="O362" s="812">
        <v>5934</v>
      </c>
      <c r="P362" s="800"/>
      <c r="Q362" s="813">
        <v>5934</v>
      </c>
    </row>
    <row r="363" spans="1:17" ht="14.4" customHeight="1" x14ac:dyDescent="0.3">
      <c r="A363" s="794" t="s">
        <v>591</v>
      </c>
      <c r="B363" s="795" t="s">
        <v>3509</v>
      </c>
      <c r="C363" s="795" t="s">
        <v>3612</v>
      </c>
      <c r="D363" s="795" t="s">
        <v>4031</v>
      </c>
      <c r="E363" s="795" t="s">
        <v>4032</v>
      </c>
      <c r="F363" s="812"/>
      <c r="G363" s="812"/>
      <c r="H363" s="812"/>
      <c r="I363" s="812"/>
      <c r="J363" s="812"/>
      <c r="K363" s="812"/>
      <c r="L363" s="812"/>
      <c r="M363" s="812"/>
      <c r="N363" s="812">
        <v>2</v>
      </c>
      <c r="O363" s="812">
        <v>5873.9</v>
      </c>
      <c r="P363" s="800"/>
      <c r="Q363" s="813">
        <v>2936.95</v>
      </c>
    </row>
    <row r="364" spans="1:17" ht="14.4" customHeight="1" x14ac:dyDescent="0.3">
      <c r="A364" s="794" t="s">
        <v>591</v>
      </c>
      <c r="B364" s="795" t="s">
        <v>3509</v>
      </c>
      <c r="C364" s="795" t="s">
        <v>3612</v>
      </c>
      <c r="D364" s="795" t="s">
        <v>4033</v>
      </c>
      <c r="E364" s="795" t="s">
        <v>4034</v>
      </c>
      <c r="F364" s="812"/>
      <c r="G364" s="812"/>
      <c r="H364" s="812"/>
      <c r="I364" s="812"/>
      <c r="J364" s="812"/>
      <c r="K364" s="812"/>
      <c r="L364" s="812"/>
      <c r="M364" s="812"/>
      <c r="N364" s="812">
        <v>1</v>
      </c>
      <c r="O364" s="812">
        <v>5704.49</v>
      </c>
      <c r="P364" s="800"/>
      <c r="Q364" s="813">
        <v>5704.49</v>
      </c>
    </row>
    <row r="365" spans="1:17" ht="14.4" customHeight="1" x14ac:dyDescent="0.3">
      <c r="A365" s="794" t="s">
        <v>591</v>
      </c>
      <c r="B365" s="795" t="s">
        <v>3509</v>
      </c>
      <c r="C365" s="795" t="s">
        <v>3612</v>
      </c>
      <c r="D365" s="795" t="s">
        <v>4035</v>
      </c>
      <c r="E365" s="795" t="s">
        <v>4036</v>
      </c>
      <c r="F365" s="812"/>
      <c r="G365" s="812"/>
      <c r="H365" s="812"/>
      <c r="I365" s="812"/>
      <c r="J365" s="812"/>
      <c r="K365" s="812"/>
      <c r="L365" s="812"/>
      <c r="M365" s="812"/>
      <c r="N365" s="812">
        <v>1</v>
      </c>
      <c r="O365" s="812">
        <v>207.27</v>
      </c>
      <c r="P365" s="800"/>
      <c r="Q365" s="813">
        <v>207.27</v>
      </c>
    </row>
    <row r="366" spans="1:17" ht="14.4" customHeight="1" x14ac:dyDescent="0.3">
      <c r="A366" s="794" t="s">
        <v>591</v>
      </c>
      <c r="B366" s="795" t="s">
        <v>3509</v>
      </c>
      <c r="C366" s="795" t="s">
        <v>3612</v>
      </c>
      <c r="D366" s="795" t="s">
        <v>4037</v>
      </c>
      <c r="E366" s="795" t="s">
        <v>4038</v>
      </c>
      <c r="F366" s="812"/>
      <c r="G366" s="812"/>
      <c r="H366" s="812"/>
      <c r="I366" s="812"/>
      <c r="J366" s="812"/>
      <c r="K366" s="812"/>
      <c r="L366" s="812"/>
      <c r="M366" s="812"/>
      <c r="N366" s="812">
        <v>1</v>
      </c>
      <c r="O366" s="812">
        <v>5641.96</v>
      </c>
      <c r="P366" s="800"/>
      <c r="Q366" s="813">
        <v>5641.96</v>
      </c>
    </row>
    <row r="367" spans="1:17" ht="14.4" customHeight="1" x14ac:dyDescent="0.3">
      <c r="A367" s="794" t="s">
        <v>591</v>
      </c>
      <c r="B367" s="795" t="s">
        <v>3509</v>
      </c>
      <c r="C367" s="795" t="s">
        <v>3612</v>
      </c>
      <c r="D367" s="795" t="s">
        <v>4039</v>
      </c>
      <c r="E367" s="795" t="s">
        <v>3733</v>
      </c>
      <c r="F367" s="812"/>
      <c r="G367" s="812"/>
      <c r="H367" s="812"/>
      <c r="I367" s="812"/>
      <c r="J367" s="812"/>
      <c r="K367" s="812"/>
      <c r="L367" s="812"/>
      <c r="M367" s="812"/>
      <c r="N367" s="812">
        <v>1</v>
      </c>
      <c r="O367" s="812">
        <v>1475.78</v>
      </c>
      <c r="P367" s="800"/>
      <c r="Q367" s="813">
        <v>1475.78</v>
      </c>
    </row>
    <row r="368" spans="1:17" ht="14.4" customHeight="1" x14ac:dyDescent="0.3">
      <c r="A368" s="794" t="s">
        <v>591</v>
      </c>
      <c r="B368" s="795" t="s">
        <v>3509</v>
      </c>
      <c r="C368" s="795" t="s">
        <v>3612</v>
      </c>
      <c r="D368" s="795" t="s">
        <v>4040</v>
      </c>
      <c r="E368" s="795" t="s">
        <v>4041</v>
      </c>
      <c r="F368" s="812"/>
      <c r="G368" s="812"/>
      <c r="H368" s="812"/>
      <c r="I368" s="812"/>
      <c r="J368" s="812"/>
      <c r="K368" s="812"/>
      <c r="L368" s="812"/>
      <c r="M368" s="812"/>
      <c r="N368" s="812">
        <v>1</v>
      </c>
      <c r="O368" s="812">
        <v>9259.91</v>
      </c>
      <c r="P368" s="800"/>
      <c r="Q368" s="813">
        <v>9259.91</v>
      </c>
    </row>
    <row r="369" spans="1:17" ht="14.4" customHeight="1" x14ac:dyDescent="0.3">
      <c r="A369" s="794" t="s">
        <v>591</v>
      </c>
      <c r="B369" s="795" t="s">
        <v>3509</v>
      </c>
      <c r="C369" s="795" t="s">
        <v>3612</v>
      </c>
      <c r="D369" s="795" t="s">
        <v>4042</v>
      </c>
      <c r="E369" s="795" t="s">
        <v>3737</v>
      </c>
      <c r="F369" s="812"/>
      <c r="G369" s="812"/>
      <c r="H369" s="812"/>
      <c r="I369" s="812"/>
      <c r="J369" s="812"/>
      <c r="K369" s="812"/>
      <c r="L369" s="812"/>
      <c r="M369" s="812"/>
      <c r="N369" s="812">
        <v>1</v>
      </c>
      <c r="O369" s="812">
        <v>1236.3800000000001</v>
      </c>
      <c r="P369" s="800"/>
      <c r="Q369" s="813">
        <v>1236.3800000000001</v>
      </c>
    </row>
    <row r="370" spans="1:17" ht="14.4" customHeight="1" x14ac:dyDescent="0.3">
      <c r="A370" s="794" t="s">
        <v>591</v>
      </c>
      <c r="B370" s="795" t="s">
        <v>3509</v>
      </c>
      <c r="C370" s="795" t="s">
        <v>3612</v>
      </c>
      <c r="D370" s="795" t="s">
        <v>4043</v>
      </c>
      <c r="E370" s="795" t="s">
        <v>4044</v>
      </c>
      <c r="F370" s="812"/>
      <c r="G370" s="812"/>
      <c r="H370" s="812"/>
      <c r="I370" s="812"/>
      <c r="J370" s="812"/>
      <c r="K370" s="812"/>
      <c r="L370" s="812"/>
      <c r="M370" s="812"/>
      <c r="N370" s="812">
        <v>1</v>
      </c>
      <c r="O370" s="812">
        <v>4674</v>
      </c>
      <c r="P370" s="800"/>
      <c r="Q370" s="813">
        <v>4674</v>
      </c>
    </row>
    <row r="371" spans="1:17" ht="14.4" customHeight="1" x14ac:dyDescent="0.3">
      <c r="A371" s="794" t="s">
        <v>591</v>
      </c>
      <c r="B371" s="795" t="s">
        <v>3509</v>
      </c>
      <c r="C371" s="795" t="s">
        <v>3374</v>
      </c>
      <c r="D371" s="795" t="s">
        <v>4045</v>
      </c>
      <c r="E371" s="795" t="s">
        <v>4046</v>
      </c>
      <c r="F371" s="812">
        <v>6</v>
      </c>
      <c r="G371" s="812">
        <v>1132</v>
      </c>
      <c r="H371" s="812">
        <v>0.72844272844272839</v>
      </c>
      <c r="I371" s="812">
        <v>188.66666666666666</v>
      </c>
      <c r="J371" s="812">
        <v>8</v>
      </c>
      <c r="K371" s="812">
        <v>1554</v>
      </c>
      <c r="L371" s="812">
        <v>1</v>
      </c>
      <c r="M371" s="812">
        <v>194.25</v>
      </c>
      <c r="N371" s="812">
        <v>9</v>
      </c>
      <c r="O371" s="812">
        <v>1762</v>
      </c>
      <c r="P371" s="800">
        <v>1.1338481338481339</v>
      </c>
      <c r="Q371" s="813">
        <v>195.77777777777777</v>
      </c>
    </row>
    <row r="372" spans="1:17" ht="14.4" customHeight="1" x14ac:dyDescent="0.3">
      <c r="A372" s="794" t="s">
        <v>591</v>
      </c>
      <c r="B372" s="795" t="s">
        <v>3509</v>
      </c>
      <c r="C372" s="795" t="s">
        <v>3374</v>
      </c>
      <c r="D372" s="795" t="s">
        <v>4047</v>
      </c>
      <c r="E372" s="795" t="s">
        <v>4048</v>
      </c>
      <c r="F372" s="812">
        <v>48</v>
      </c>
      <c r="G372" s="812">
        <v>33393</v>
      </c>
      <c r="H372" s="812">
        <v>2.7855355355355353</v>
      </c>
      <c r="I372" s="812">
        <v>695.6875</v>
      </c>
      <c r="J372" s="812">
        <v>17</v>
      </c>
      <c r="K372" s="812">
        <v>11988</v>
      </c>
      <c r="L372" s="812">
        <v>1</v>
      </c>
      <c r="M372" s="812">
        <v>705.17647058823525</v>
      </c>
      <c r="N372" s="812">
        <v>20</v>
      </c>
      <c r="O372" s="812">
        <v>14199</v>
      </c>
      <c r="P372" s="800">
        <v>1.1844344344344344</v>
      </c>
      <c r="Q372" s="813">
        <v>709.95</v>
      </c>
    </row>
    <row r="373" spans="1:17" ht="14.4" customHeight="1" x14ac:dyDescent="0.3">
      <c r="A373" s="794" t="s">
        <v>591</v>
      </c>
      <c r="B373" s="795" t="s">
        <v>3509</v>
      </c>
      <c r="C373" s="795" t="s">
        <v>3374</v>
      </c>
      <c r="D373" s="795" t="s">
        <v>3387</v>
      </c>
      <c r="E373" s="795" t="s">
        <v>3388</v>
      </c>
      <c r="F373" s="812">
        <v>9</v>
      </c>
      <c r="G373" s="812">
        <v>1809</v>
      </c>
      <c r="H373" s="812">
        <v>1.7478260869565216</v>
      </c>
      <c r="I373" s="812">
        <v>201</v>
      </c>
      <c r="J373" s="812">
        <v>5</v>
      </c>
      <c r="K373" s="812">
        <v>1035</v>
      </c>
      <c r="L373" s="812">
        <v>1</v>
      </c>
      <c r="M373" s="812">
        <v>207</v>
      </c>
      <c r="N373" s="812">
        <v>4</v>
      </c>
      <c r="O373" s="812">
        <v>828</v>
      </c>
      <c r="P373" s="800">
        <v>0.8</v>
      </c>
      <c r="Q373" s="813">
        <v>207</v>
      </c>
    </row>
    <row r="374" spans="1:17" ht="14.4" customHeight="1" x14ac:dyDescent="0.3">
      <c r="A374" s="794" t="s">
        <v>591</v>
      </c>
      <c r="B374" s="795" t="s">
        <v>3509</v>
      </c>
      <c r="C374" s="795" t="s">
        <v>3374</v>
      </c>
      <c r="D374" s="795" t="s">
        <v>3389</v>
      </c>
      <c r="E374" s="795" t="s">
        <v>3390</v>
      </c>
      <c r="F374" s="812">
        <v>35</v>
      </c>
      <c r="G374" s="812">
        <v>10534</v>
      </c>
      <c r="H374" s="812">
        <v>1.5495734039423359</v>
      </c>
      <c r="I374" s="812">
        <v>300.97142857142859</v>
      </c>
      <c r="J374" s="812">
        <v>22</v>
      </c>
      <c r="K374" s="812">
        <v>6798</v>
      </c>
      <c r="L374" s="812">
        <v>1</v>
      </c>
      <c r="M374" s="812">
        <v>309</v>
      </c>
      <c r="N374" s="812">
        <v>38</v>
      </c>
      <c r="O374" s="812">
        <v>11742</v>
      </c>
      <c r="P374" s="800">
        <v>1.7272727272727273</v>
      </c>
      <c r="Q374" s="813">
        <v>309</v>
      </c>
    </row>
    <row r="375" spans="1:17" ht="14.4" customHeight="1" x14ac:dyDescent="0.3">
      <c r="A375" s="794" t="s">
        <v>591</v>
      </c>
      <c r="B375" s="795" t="s">
        <v>3509</v>
      </c>
      <c r="C375" s="795" t="s">
        <v>3374</v>
      </c>
      <c r="D375" s="795" t="s">
        <v>3391</v>
      </c>
      <c r="E375" s="795" t="s">
        <v>3392</v>
      </c>
      <c r="F375" s="812">
        <v>5</v>
      </c>
      <c r="G375" s="812">
        <v>2380</v>
      </c>
      <c r="H375" s="812">
        <v>1.6256830601092895</v>
      </c>
      <c r="I375" s="812">
        <v>476</v>
      </c>
      <c r="J375" s="812">
        <v>3</v>
      </c>
      <c r="K375" s="812">
        <v>1464</v>
      </c>
      <c r="L375" s="812">
        <v>1</v>
      </c>
      <c r="M375" s="812">
        <v>488</v>
      </c>
      <c r="N375" s="812">
        <v>4</v>
      </c>
      <c r="O375" s="812">
        <v>1956</v>
      </c>
      <c r="P375" s="800">
        <v>1.3360655737704918</v>
      </c>
      <c r="Q375" s="813">
        <v>489</v>
      </c>
    </row>
    <row r="376" spans="1:17" ht="14.4" customHeight="1" x14ac:dyDescent="0.3">
      <c r="A376" s="794" t="s">
        <v>591</v>
      </c>
      <c r="B376" s="795" t="s">
        <v>3509</v>
      </c>
      <c r="C376" s="795" t="s">
        <v>3374</v>
      </c>
      <c r="D376" s="795" t="s">
        <v>3395</v>
      </c>
      <c r="E376" s="795" t="s">
        <v>3396</v>
      </c>
      <c r="F376" s="812">
        <v>35</v>
      </c>
      <c r="G376" s="812">
        <v>3255</v>
      </c>
      <c r="H376" s="812">
        <v>1.3981958762886597</v>
      </c>
      <c r="I376" s="812">
        <v>93</v>
      </c>
      <c r="J376" s="812">
        <v>24</v>
      </c>
      <c r="K376" s="812">
        <v>2328</v>
      </c>
      <c r="L376" s="812">
        <v>1</v>
      </c>
      <c r="M376" s="812">
        <v>97</v>
      </c>
      <c r="N376" s="812">
        <v>33</v>
      </c>
      <c r="O376" s="812">
        <v>3201</v>
      </c>
      <c r="P376" s="800">
        <v>1.375</v>
      </c>
      <c r="Q376" s="813">
        <v>97</v>
      </c>
    </row>
    <row r="377" spans="1:17" ht="14.4" customHeight="1" x14ac:dyDescent="0.3">
      <c r="A377" s="794" t="s">
        <v>591</v>
      </c>
      <c r="B377" s="795" t="s">
        <v>3509</v>
      </c>
      <c r="C377" s="795" t="s">
        <v>3374</v>
      </c>
      <c r="D377" s="795" t="s">
        <v>4049</v>
      </c>
      <c r="E377" s="795" t="s">
        <v>4050</v>
      </c>
      <c r="F377" s="812"/>
      <c r="G377" s="812"/>
      <c r="H377" s="812"/>
      <c r="I377" s="812"/>
      <c r="J377" s="812">
        <v>2</v>
      </c>
      <c r="K377" s="812">
        <v>480</v>
      </c>
      <c r="L377" s="812">
        <v>1</v>
      </c>
      <c r="M377" s="812">
        <v>240</v>
      </c>
      <c r="N377" s="812">
        <v>1</v>
      </c>
      <c r="O377" s="812">
        <v>241</v>
      </c>
      <c r="P377" s="800">
        <v>0.50208333333333333</v>
      </c>
      <c r="Q377" s="813">
        <v>241</v>
      </c>
    </row>
    <row r="378" spans="1:17" ht="14.4" customHeight="1" x14ac:dyDescent="0.3">
      <c r="A378" s="794" t="s">
        <v>591</v>
      </c>
      <c r="B378" s="795" t="s">
        <v>3509</v>
      </c>
      <c r="C378" s="795" t="s">
        <v>3374</v>
      </c>
      <c r="D378" s="795" t="s">
        <v>4051</v>
      </c>
      <c r="E378" s="795" t="s">
        <v>4052</v>
      </c>
      <c r="F378" s="812">
        <v>1</v>
      </c>
      <c r="G378" s="812">
        <v>382</v>
      </c>
      <c r="H378" s="812"/>
      <c r="I378" s="812">
        <v>382</v>
      </c>
      <c r="J378" s="812"/>
      <c r="K378" s="812"/>
      <c r="L378" s="812"/>
      <c r="M378" s="812"/>
      <c r="N378" s="812">
        <v>2</v>
      </c>
      <c r="O378" s="812">
        <v>798</v>
      </c>
      <c r="P378" s="800"/>
      <c r="Q378" s="813">
        <v>399</v>
      </c>
    </row>
    <row r="379" spans="1:17" ht="14.4" customHeight="1" x14ac:dyDescent="0.3">
      <c r="A379" s="794" t="s">
        <v>591</v>
      </c>
      <c r="B379" s="795" t="s">
        <v>3509</v>
      </c>
      <c r="C379" s="795" t="s">
        <v>3374</v>
      </c>
      <c r="D379" s="795" t="s">
        <v>4053</v>
      </c>
      <c r="E379" s="795" t="s">
        <v>4054</v>
      </c>
      <c r="F379" s="812">
        <v>7</v>
      </c>
      <c r="G379" s="812">
        <v>24535</v>
      </c>
      <c r="H379" s="812">
        <v>1.1203196347031963</v>
      </c>
      <c r="I379" s="812">
        <v>3505</v>
      </c>
      <c r="J379" s="812">
        <v>6</v>
      </c>
      <c r="K379" s="812">
        <v>21900</v>
      </c>
      <c r="L379" s="812">
        <v>1</v>
      </c>
      <c r="M379" s="812">
        <v>3650</v>
      </c>
      <c r="N379" s="812">
        <v>6</v>
      </c>
      <c r="O379" s="812">
        <v>21912</v>
      </c>
      <c r="P379" s="800">
        <v>1.0005479452054795</v>
      </c>
      <c r="Q379" s="813">
        <v>3652</v>
      </c>
    </row>
    <row r="380" spans="1:17" ht="14.4" customHeight="1" x14ac:dyDescent="0.3">
      <c r="A380" s="794" t="s">
        <v>591</v>
      </c>
      <c r="B380" s="795" t="s">
        <v>3509</v>
      </c>
      <c r="C380" s="795" t="s">
        <v>3374</v>
      </c>
      <c r="D380" s="795" t="s">
        <v>4055</v>
      </c>
      <c r="E380" s="795" t="s">
        <v>4056</v>
      </c>
      <c r="F380" s="812">
        <v>2</v>
      </c>
      <c r="G380" s="812">
        <v>9376</v>
      </c>
      <c r="H380" s="812">
        <v>0.27485928705440899</v>
      </c>
      <c r="I380" s="812">
        <v>4688</v>
      </c>
      <c r="J380" s="812">
        <v>7</v>
      </c>
      <c r="K380" s="812">
        <v>34112</v>
      </c>
      <c r="L380" s="812">
        <v>1</v>
      </c>
      <c r="M380" s="812">
        <v>4873.1428571428569</v>
      </c>
      <c r="N380" s="812">
        <v>4</v>
      </c>
      <c r="O380" s="812">
        <v>19632</v>
      </c>
      <c r="P380" s="800">
        <v>0.57551594746716694</v>
      </c>
      <c r="Q380" s="813">
        <v>4908</v>
      </c>
    </row>
    <row r="381" spans="1:17" ht="14.4" customHeight="1" x14ac:dyDescent="0.3">
      <c r="A381" s="794" t="s">
        <v>591</v>
      </c>
      <c r="B381" s="795" t="s">
        <v>3509</v>
      </c>
      <c r="C381" s="795" t="s">
        <v>3374</v>
      </c>
      <c r="D381" s="795" t="s">
        <v>4057</v>
      </c>
      <c r="E381" s="795" t="s">
        <v>4058</v>
      </c>
      <c r="F381" s="812">
        <v>2</v>
      </c>
      <c r="G381" s="812">
        <v>6332</v>
      </c>
      <c r="H381" s="812">
        <v>1.9124131682271217</v>
      </c>
      <c r="I381" s="812">
        <v>3166</v>
      </c>
      <c r="J381" s="812">
        <v>1</v>
      </c>
      <c r="K381" s="812">
        <v>3311</v>
      </c>
      <c r="L381" s="812">
        <v>1</v>
      </c>
      <c r="M381" s="812">
        <v>3311</v>
      </c>
      <c r="N381" s="812">
        <v>1</v>
      </c>
      <c r="O381" s="812">
        <v>3313</v>
      </c>
      <c r="P381" s="800">
        <v>1.000604047115675</v>
      </c>
      <c r="Q381" s="813">
        <v>3313</v>
      </c>
    </row>
    <row r="382" spans="1:17" ht="14.4" customHeight="1" x14ac:dyDescent="0.3">
      <c r="A382" s="794" t="s">
        <v>591</v>
      </c>
      <c r="B382" s="795" t="s">
        <v>3509</v>
      </c>
      <c r="C382" s="795" t="s">
        <v>3374</v>
      </c>
      <c r="D382" s="795" t="s">
        <v>4059</v>
      </c>
      <c r="E382" s="795" t="s">
        <v>4060</v>
      </c>
      <c r="F382" s="812">
        <v>4</v>
      </c>
      <c r="G382" s="812">
        <v>16636</v>
      </c>
      <c r="H382" s="812">
        <v>0.76663594470046081</v>
      </c>
      <c r="I382" s="812">
        <v>4159</v>
      </c>
      <c r="J382" s="812">
        <v>5</v>
      </c>
      <c r="K382" s="812">
        <v>21700</v>
      </c>
      <c r="L382" s="812">
        <v>1</v>
      </c>
      <c r="M382" s="812">
        <v>4340</v>
      </c>
      <c r="N382" s="812">
        <v>6</v>
      </c>
      <c r="O382" s="812">
        <v>26058</v>
      </c>
      <c r="P382" s="800">
        <v>1.2008294930875576</v>
      </c>
      <c r="Q382" s="813">
        <v>4343</v>
      </c>
    </row>
    <row r="383" spans="1:17" ht="14.4" customHeight="1" x14ac:dyDescent="0.3">
      <c r="A383" s="794" t="s">
        <v>591</v>
      </c>
      <c r="B383" s="795" t="s">
        <v>3509</v>
      </c>
      <c r="C383" s="795" t="s">
        <v>3374</v>
      </c>
      <c r="D383" s="795" t="s">
        <v>4061</v>
      </c>
      <c r="E383" s="795" t="s">
        <v>4062</v>
      </c>
      <c r="F383" s="812"/>
      <c r="G383" s="812"/>
      <c r="H383" s="812"/>
      <c r="I383" s="812"/>
      <c r="J383" s="812">
        <v>1</v>
      </c>
      <c r="K383" s="812">
        <v>120</v>
      </c>
      <c r="L383" s="812">
        <v>1</v>
      </c>
      <c r="M383" s="812">
        <v>120</v>
      </c>
      <c r="N383" s="812">
        <v>5</v>
      </c>
      <c r="O383" s="812">
        <v>600</v>
      </c>
      <c r="P383" s="800">
        <v>5</v>
      </c>
      <c r="Q383" s="813">
        <v>120</v>
      </c>
    </row>
    <row r="384" spans="1:17" ht="14.4" customHeight="1" x14ac:dyDescent="0.3">
      <c r="A384" s="794" t="s">
        <v>591</v>
      </c>
      <c r="B384" s="795" t="s">
        <v>3509</v>
      </c>
      <c r="C384" s="795" t="s">
        <v>3374</v>
      </c>
      <c r="D384" s="795" t="s">
        <v>4063</v>
      </c>
      <c r="E384" s="795" t="s">
        <v>4064</v>
      </c>
      <c r="F384" s="812"/>
      <c r="G384" s="812"/>
      <c r="H384" s="812"/>
      <c r="I384" s="812"/>
      <c r="J384" s="812"/>
      <c r="K384" s="812"/>
      <c r="L384" s="812"/>
      <c r="M384" s="812"/>
      <c r="N384" s="812">
        <v>1</v>
      </c>
      <c r="O384" s="812">
        <v>359</v>
      </c>
      <c r="P384" s="800"/>
      <c r="Q384" s="813">
        <v>359</v>
      </c>
    </row>
    <row r="385" spans="1:17" ht="14.4" customHeight="1" x14ac:dyDescent="0.3">
      <c r="A385" s="794" t="s">
        <v>591</v>
      </c>
      <c r="B385" s="795" t="s">
        <v>3509</v>
      </c>
      <c r="C385" s="795" t="s">
        <v>3374</v>
      </c>
      <c r="D385" s="795" t="s">
        <v>4065</v>
      </c>
      <c r="E385" s="795" t="s">
        <v>4066</v>
      </c>
      <c r="F385" s="812">
        <v>15</v>
      </c>
      <c r="G385" s="812">
        <v>64845</v>
      </c>
      <c r="H385" s="812">
        <v>1.8141506266786034</v>
      </c>
      <c r="I385" s="812">
        <v>4323</v>
      </c>
      <c r="J385" s="812">
        <v>8</v>
      </c>
      <c r="K385" s="812">
        <v>35744</v>
      </c>
      <c r="L385" s="812">
        <v>1</v>
      </c>
      <c r="M385" s="812">
        <v>4468</v>
      </c>
      <c r="N385" s="812">
        <v>14</v>
      </c>
      <c r="O385" s="812">
        <v>62580</v>
      </c>
      <c r="P385" s="800">
        <v>1.7507833482542525</v>
      </c>
      <c r="Q385" s="813">
        <v>4470</v>
      </c>
    </row>
    <row r="386" spans="1:17" ht="14.4" customHeight="1" x14ac:dyDescent="0.3">
      <c r="A386" s="794" t="s">
        <v>591</v>
      </c>
      <c r="B386" s="795" t="s">
        <v>3509</v>
      </c>
      <c r="C386" s="795" t="s">
        <v>3374</v>
      </c>
      <c r="D386" s="795" t="s">
        <v>4067</v>
      </c>
      <c r="E386" s="795" t="s">
        <v>4068</v>
      </c>
      <c r="F386" s="812">
        <v>2</v>
      </c>
      <c r="G386" s="812">
        <v>4714</v>
      </c>
      <c r="H386" s="812">
        <v>0.47789943227899434</v>
      </c>
      <c r="I386" s="812">
        <v>2357</v>
      </c>
      <c r="J386" s="812">
        <v>4</v>
      </c>
      <c r="K386" s="812">
        <v>9864</v>
      </c>
      <c r="L386" s="812">
        <v>1</v>
      </c>
      <c r="M386" s="812">
        <v>2466</v>
      </c>
      <c r="N386" s="812">
        <v>2</v>
      </c>
      <c r="O386" s="812">
        <v>4934</v>
      </c>
      <c r="P386" s="800">
        <v>0.50020275750202758</v>
      </c>
      <c r="Q386" s="813">
        <v>2467</v>
      </c>
    </row>
    <row r="387" spans="1:17" ht="14.4" customHeight="1" x14ac:dyDescent="0.3">
      <c r="A387" s="794" t="s">
        <v>591</v>
      </c>
      <c r="B387" s="795" t="s">
        <v>3509</v>
      </c>
      <c r="C387" s="795" t="s">
        <v>3374</v>
      </c>
      <c r="D387" s="795" t="s">
        <v>4069</v>
      </c>
      <c r="E387" s="795" t="s">
        <v>4070</v>
      </c>
      <c r="F387" s="812">
        <v>9</v>
      </c>
      <c r="G387" s="812">
        <v>48246</v>
      </c>
      <c r="H387" s="812">
        <v>1.7521699654984566</v>
      </c>
      <c r="I387" s="812">
        <v>5360.666666666667</v>
      </c>
      <c r="J387" s="812">
        <v>5</v>
      </c>
      <c r="K387" s="812">
        <v>27535</v>
      </c>
      <c r="L387" s="812">
        <v>1</v>
      </c>
      <c r="M387" s="812">
        <v>5507</v>
      </c>
      <c r="N387" s="812">
        <v>4</v>
      </c>
      <c r="O387" s="812">
        <v>22036</v>
      </c>
      <c r="P387" s="800">
        <v>0.80029053931360083</v>
      </c>
      <c r="Q387" s="813">
        <v>5509</v>
      </c>
    </row>
    <row r="388" spans="1:17" ht="14.4" customHeight="1" x14ac:dyDescent="0.3">
      <c r="A388" s="794" t="s">
        <v>591</v>
      </c>
      <c r="B388" s="795" t="s">
        <v>3509</v>
      </c>
      <c r="C388" s="795" t="s">
        <v>3374</v>
      </c>
      <c r="D388" s="795" t="s">
        <v>4071</v>
      </c>
      <c r="E388" s="795" t="s">
        <v>4072</v>
      </c>
      <c r="F388" s="812">
        <v>1</v>
      </c>
      <c r="G388" s="812">
        <v>8883</v>
      </c>
      <c r="H388" s="812">
        <v>0.96439040277928567</v>
      </c>
      <c r="I388" s="812">
        <v>8883</v>
      </c>
      <c r="J388" s="812">
        <v>1</v>
      </c>
      <c r="K388" s="812">
        <v>9211</v>
      </c>
      <c r="L388" s="812">
        <v>1</v>
      </c>
      <c r="M388" s="812">
        <v>9211</v>
      </c>
      <c r="N388" s="812">
        <v>2</v>
      </c>
      <c r="O388" s="812">
        <v>18422</v>
      </c>
      <c r="P388" s="800">
        <v>2</v>
      </c>
      <c r="Q388" s="813">
        <v>9211</v>
      </c>
    </row>
    <row r="389" spans="1:17" ht="14.4" customHeight="1" x14ac:dyDescent="0.3">
      <c r="A389" s="794" t="s">
        <v>591</v>
      </c>
      <c r="B389" s="795" t="s">
        <v>3509</v>
      </c>
      <c r="C389" s="795" t="s">
        <v>3374</v>
      </c>
      <c r="D389" s="795" t="s">
        <v>4073</v>
      </c>
      <c r="E389" s="795" t="s">
        <v>4074</v>
      </c>
      <c r="F389" s="812">
        <v>6</v>
      </c>
      <c r="G389" s="812">
        <v>9252</v>
      </c>
      <c r="H389" s="812">
        <v>2.8984962406015038</v>
      </c>
      <c r="I389" s="812">
        <v>1542</v>
      </c>
      <c r="J389" s="812">
        <v>2</v>
      </c>
      <c r="K389" s="812">
        <v>3192</v>
      </c>
      <c r="L389" s="812">
        <v>1</v>
      </c>
      <c r="M389" s="812">
        <v>1596</v>
      </c>
      <c r="N389" s="812">
        <v>5</v>
      </c>
      <c r="O389" s="812">
        <v>7990</v>
      </c>
      <c r="P389" s="800">
        <v>2.5031328320802007</v>
      </c>
      <c r="Q389" s="813">
        <v>1598</v>
      </c>
    </row>
    <row r="390" spans="1:17" ht="14.4" customHeight="1" x14ac:dyDescent="0.3">
      <c r="A390" s="794" t="s">
        <v>591</v>
      </c>
      <c r="B390" s="795" t="s">
        <v>3509</v>
      </c>
      <c r="C390" s="795" t="s">
        <v>3374</v>
      </c>
      <c r="D390" s="795" t="s">
        <v>4075</v>
      </c>
      <c r="E390" s="795" t="s">
        <v>4076</v>
      </c>
      <c r="F390" s="812">
        <v>2</v>
      </c>
      <c r="G390" s="812">
        <v>6140</v>
      </c>
      <c r="H390" s="812">
        <v>1.938743290179981</v>
      </c>
      <c r="I390" s="812">
        <v>3070</v>
      </c>
      <c r="J390" s="812">
        <v>1</v>
      </c>
      <c r="K390" s="812">
        <v>3167</v>
      </c>
      <c r="L390" s="812">
        <v>1</v>
      </c>
      <c r="M390" s="812">
        <v>3167</v>
      </c>
      <c r="N390" s="812">
        <v>4</v>
      </c>
      <c r="O390" s="812">
        <v>12676</v>
      </c>
      <c r="P390" s="800">
        <v>4.002526049889485</v>
      </c>
      <c r="Q390" s="813">
        <v>3169</v>
      </c>
    </row>
    <row r="391" spans="1:17" ht="14.4" customHeight="1" x14ac:dyDescent="0.3">
      <c r="A391" s="794" t="s">
        <v>591</v>
      </c>
      <c r="B391" s="795" t="s">
        <v>3509</v>
      </c>
      <c r="C391" s="795" t="s">
        <v>3374</v>
      </c>
      <c r="D391" s="795" t="s">
        <v>4077</v>
      </c>
      <c r="E391" s="795" t="s">
        <v>4078</v>
      </c>
      <c r="F391" s="812">
        <v>4</v>
      </c>
      <c r="G391" s="812">
        <v>9892</v>
      </c>
      <c r="H391" s="812"/>
      <c r="I391" s="812">
        <v>2473</v>
      </c>
      <c r="J391" s="812"/>
      <c r="K391" s="812"/>
      <c r="L391" s="812"/>
      <c r="M391" s="812"/>
      <c r="N391" s="812"/>
      <c r="O391" s="812"/>
      <c r="P391" s="800"/>
      <c r="Q391" s="813"/>
    </row>
    <row r="392" spans="1:17" ht="14.4" customHeight="1" x14ac:dyDescent="0.3">
      <c r="A392" s="794" t="s">
        <v>591</v>
      </c>
      <c r="B392" s="795" t="s">
        <v>3509</v>
      </c>
      <c r="C392" s="795" t="s">
        <v>3374</v>
      </c>
      <c r="D392" s="795" t="s">
        <v>4079</v>
      </c>
      <c r="E392" s="795" t="s">
        <v>3430</v>
      </c>
      <c r="F392" s="812">
        <v>1</v>
      </c>
      <c r="G392" s="812">
        <v>532</v>
      </c>
      <c r="H392" s="812"/>
      <c r="I392" s="812">
        <v>532</v>
      </c>
      <c r="J392" s="812"/>
      <c r="K392" s="812"/>
      <c r="L392" s="812"/>
      <c r="M392" s="812"/>
      <c r="N392" s="812"/>
      <c r="O392" s="812"/>
      <c r="P392" s="800"/>
      <c r="Q392" s="813"/>
    </row>
    <row r="393" spans="1:17" ht="14.4" customHeight="1" x14ac:dyDescent="0.3">
      <c r="A393" s="794" t="s">
        <v>591</v>
      </c>
      <c r="B393" s="795" t="s">
        <v>3509</v>
      </c>
      <c r="C393" s="795" t="s">
        <v>3374</v>
      </c>
      <c r="D393" s="795" t="s">
        <v>4080</v>
      </c>
      <c r="E393" s="795" t="s">
        <v>4081</v>
      </c>
      <c r="F393" s="812">
        <v>1</v>
      </c>
      <c r="G393" s="812">
        <v>1495</v>
      </c>
      <c r="H393" s="812"/>
      <c r="I393" s="812">
        <v>1495</v>
      </c>
      <c r="J393" s="812"/>
      <c r="K393" s="812"/>
      <c r="L393" s="812"/>
      <c r="M393" s="812"/>
      <c r="N393" s="812"/>
      <c r="O393" s="812"/>
      <c r="P393" s="800"/>
      <c r="Q393" s="813"/>
    </row>
    <row r="394" spans="1:17" ht="14.4" customHeight="1" x14ac:dyDescent="0.3">
      <c r="A394" s="794" t="s">
        <v>591</v>
      </c>
      <c r="B394" s="795" t="s">
        <v>3509</v>
      </c>
      <c r="C394" s="795" t="s">
        <v>3374</v>
      </c>
      <c r="D394" s="795" t="s">
        <v>4082</v>
      </c>
      <c r="E394" s="795" t="s">
        <v>4083</v>
      </c>
      <c r="F394" s="812">
        <v>4</v>
      </c>
      <c r="G394" s="812">
        <v>3700</v>
      </c>
      <c r="H394" s="812"/>
      <c r="I394" s="812">
        <v>925</v>
      </c>
      <c r="J394" s="812"/>
      <c r="K394" s="812"/>
      <c r="L394" s="812"/>
      <c r="M394" s="812"/>
      <c r="N394" s="812">
        <v>7</v>
      </c>
      <c r="O394" s="812">
        <v>6741</v>
      </c>
      <c r="P394" s="800"/>
      <c r="Q394" s="813">
        <v>963</v>
      </c>
    </row>
    <row r="395" spans="1:17" ht="14.4" customHeight="1" x14ac:dyDescent="0.3">
      <c r="A395" s="794" t="s">
        <v>591</v>
      </c>
      <c r="B395" s="795" t="s">
        <v>3509</v>
      </c>
      <c r="C395" s="795" t="s">
        <v>3374</v>
      </c>
      <c r="D395" s="795" t="s">
        <v>4084</v>
      </c>
      <c r="E395" s="795" t="s">
        <v>4085</v>
      </c>
      <c r="F395" s="812"/>
      <c r="G395" s="812"/>
      <c r="H395" s="812"/>
      <c r="I395" s="812"/>
      <c r="J395" s="812">
        <v>1</v>
      </c>
      <c r="K395" s="812">
        <v>1031</v>
      </c>
      <c r="L395" s="812">
        <v>1</v>
      </c>
      <c r="M395" s="812">
        <v>1031</v>
      </c>
      <c r="N395" s="812"/>
      <c r="O395" s="812"/>
      <c r="P395" s="800"/>
      <c r="Q395" s="813"/>
    </row>
    <row r="396" spans="1:17" ht="14.4" customHeight="1" x14ac:dyDescent="0.3">
      <c r="A396" s="794" t="s">
        <v>591</v>
      </c>
      <c r="B396" s="795" t="s">
        <v>3509</v>
      </c>
      <c r="C396" s="795" t="s">
        <v>3374</v>
      </c>
      <c r="D396" s="795" t="s">
        <v>4086</v>
      </c>
      <c r="E396" s="795" t="s">
        <v>4087</v>
      </c>
      <c r="F396" s="812">
        <v>1</v>
      </c>
      <c r="G396" s="812">
        <v>2017</v>
      </c>
      <c r="H396" s="812"/>
      <c r="I396" s="812">
        <v>2017</v>
      </c>
      <c r="J396" s="812"/>
      <c r="K396" s="812"/>
      <c r="L396" s="812"/>
      <c r="M396" s="812"/>
      <c r="N396" s="812"/>
      <c r="O396" s="812"/>
      <c r="P396" s="800"/>
      <c r="Q396" s="813"/>
    </row>
    <row r="397" spans="1:17" ht="14.4" customHeight="1" x14ac:dyDescent="0.3">
      <c r="A397" s="794" t="s">
        <v>591</v>
      </c>
      <c r="B397" s="795" t="s">
        <v>3509</v>
      </c>
      <c r="C397" s="795" t="s">
        <v>3374</v>
      </c>
      <c r="D397" s="795" t="s">
        <v>3401</v>
      </c>
      <c r="E397" s="795" t="s">
        <v>3402</v>
      </c>
      <c r="F397" s="812">
        <v>5</v>
      </c>
      <c r="G397" s="812">
        <v>6175</v>
      </c>
      <c r="H397" s="812"/>
      <c r="I397" s="812">
        <v>1235</v>
      </c>
      <c r="J397" s="812"/>
      <c r="K397" s="812"/>
      <c r="L397" s="812"/>
      <c r="M397" s="812"/>
      <c r="N397" s="812">
        <v>3</v>
      </c>
      <c r="O397" s="812">
        <v>3825</v>
      </c>
      <c r="P397" s="800"/>
      <c r="Q397" s="813">
        <v>1275</v>
      </c>
    </row>
    <row r="398" spans="1:17" ht="14.4" customHeight="1" x14ac:dyDescent="0.3">
      <c r="A398" s="794" t="s">
        <v>591</v>
      </c>
      <c r="B398" s="795" t="s">
        <v>3509</v>
      </c>
      <c r="C398" s="795" t="s">
        <v>3374</v>
      </c>
      <c r="D398" s="795" t="s">
        <v>4088</v>
      </c>
      <c r="E398" s="795" t="s">
        <v>4089</v>
      </c>
      <c r="F398" s="812"/>
      <c r="G398" s="812"/>
      <c r="H398" s="812"/>
      <c r="I398" s="812"/>
      <c r="J398" s="812"/>
      <c r="K398" s="812"/>
      <c r="L398" s="812"/>
      <c r="M398" s="812"/>
      <c r="N398" s="812">
        <v>1</v>
      </c>
      <c r="O398" s="812">
        <v>3213</v>
      </c>
      <c r="P398" s="800"/>
      <c r="Q398" s="813">
        <v>3213</v>
      </c>
    </row>
    <row r="399" spans="1:17" ht="14.4" customHeight="1" x14ac:dyDescent="0.3">
      <c r="A399" s="794" t="s">
        <v>591</v>
      </c>
      <c r="B399" s="795" t="s">
        <v>3509</v>
      </c>
      <c r="C399" s="795" t="s">
        <v>3374</v>
      </c>
      <c r="D399" s="795" t="s">
        <v>3403</v>
      </c>
      <c r="E399" s="795" t="s">
        <v>3404</v>
      </c>
      <c r="F399" s="812">
        <v>5</v>
      </c>
      <c r="G399" s="812">
        <v>4730</v>
      </c>
      <c r="H399" s="812"/>
      <c r="I399" s="812">
        <v>946</v>
      </c>
      <c r="J399" s="812"/>
      <c r="K399" s="812"/>
      <c r="L399" s="812"/>
      <c r="M399" s="812"/>
      <c r="N399" s="812"/>
      <c r="O399" s="812"/>
      <c r="P399" s="800"/>
      <c r="Q399" s="813"/>
    </row>
    <row r="400" spans="1:17" ht="14.4" customHeight="1" x14ac:dyDescent="0.3">
      <c r="A400" s="794" t="s">
        <v>591</v>
      </c>
      <c r="B400" s="795" t="s">
        <v>3509</v>
      </c>
      <c r="C400" s="795" t="s">
        <v>3374</v>
      </c>
      <c r="D400" s="795" t="s">
        <v>4090</v>
      </c>
      <c r="E400" s="795" t="s">
        <v>4091</v>
      </c>
      <c r="F400" s="812">
        <v>5</v>
      </c>
      <c r="G400" s="812">
        <v>3990</v>
      </c>
      <c r="H400" s="812">
        <v>2.441860465116279</v>
      </c>
      <c r="I400" s="812">
        <v>798</v>
      </c>
      <c r="J400" s="812">
        <v>2</v>
      </c>
      <c r="K400" s="812">
        <v>1634</v>
      </c>
      <c r="L400" s="812">
        <v>1</v>
      </c>
      <c r="M400" s="812">
        <v>817</v>
      </c>
      <c r="N400" s="812">
        <v>2</v>
      </c>
      <c r="O400" s="812">
        <v>1636</v>
      </c>
      <c r="P400" s="800">
        <v>1.0012239902080784</v>
      </c>
      <c r="Q400" s="813">
        <v>818</v>
      </c>
    </row>
    <row r="401" spans="1:17" ht="14.4" customHeight="1" x14ac:dyDescent="0.3">
      <c r="A401" s="794" t="s">
        <v>591</v>
      </c>
      <c r="B401" s="795" t="s">
        <v>3509</v>
      </c>
      <c r="C401" s="795" t="s">
        <v>3374</v>
      </c>
      <c r="D401" s="795" t="s">
        <v>4092</v>
      </c>
      <c r="E401" s="795" t="s">
        <v>4093</v>
      </c>
      <c r="F401" s="812">
        <v>1</v>
      </c>
      <c r="G401" s="812">
        <v>2365</v>
      </c>
      <c r="H401" s="812"/>
      <c r="I401" s="812">
        <v>2365</v>
      </c>
      <c r="J401" s="812"/>
      <c r="K401" s="812"/>
      <c r="L401" s="812"/>
      <c r="M401" s="812"/>
      <c r="N401" s="812"/>
      <c r="O401" s="812"/>
      <c r="P401" s="800"/>
      <c r="Q401" s="813"/>
    </row>
    <row r="402" spans="1:17" ht="14.4" customHeight="1" x14ac:dyDescent="0.3">
      <c r="A402" s="794" t="s">
        <v>591</v>
      </c>
      <c r="B402" s="795" t="s">
        <v>3509</v>
      </c>
      <c r="C402" s="795" t="s">
        <v>3374</v>
      </c>
      <c r="D402" s="795" t="s">
        <v>3405</v>
      </c>
      <c r="E402" s="795" t="s">
        <v>3406</v>
      </c>
      <c r="F402" s="812">
        <v>3</v>
      </c>
      <c r="G402" s="812">
        <v>4911</v>
      </c>
      <c r="H402" s="812"/>
      <c r="I402" s="812">
        <v>1637</v>
      </c>
      <c r="J402" s="812"/>
      <c r="K402" s="812"/>
      <c r="L402" s="812"/>
      <c r="M402" s="812"/>
      <c r="N402" s="812">
        <v>2</v>
      </c>
      <c r="O402" s="812">
        <v>3356</v>
      </c>
      <c r="P402" s="800"/>
      <c r="Q402" s="813">
        <v>1678</v>
      </c>
    </row>
    <row r="403" spans="1:17" ht="14.4" customHeight="1" x14ac:dyDescent="0.3">
      <c r="A403" s="794" t="s">
        <v>591</v>
      </c>
      <c r="B403" s="795" t="s">
        <v>3509</v>
      </c>
      <c r="C403" s="795" t="s">
        <v>3374</v>
      </c>
      <c r="D403" s="795" t="s">
        <v>4094</v>
      </c>
      <c r="E403" s="795" t="s">
        <v>4095</v>
      </c>
      <c r="F403" s="812">
        <v>1</v>
      </c>
      <c r="G403" s="812">
        <v>1340</v>
      </c>
      <c r="H403" s="812">
        <v>0.96195262024407757</v>
      </c>
      <c r="I403" s="812">
        <v>1340</v>
      </c>
      <c r="J403" s="812">
        <v>1</v>
      </c>
      <c r="K403" s="812">
        <v>1393</v>
      </c>
      <c r="L403" s="812">
        <v>1</v>
      </c>
      <c r="M403" s="812">
        <v>1393</v>
      </c>
      <c r="N403" s="812"/>
      <c r="O403" s="812"/>
      <c r="P403" s="800"/>
      <c r="Q403" s="813"/>
    </row>
    <row r="404" spans="1:17" ht="14.4" customHeight="1" x14ac:dyDescent="0.3">
      <c r="A404" s="794" t="s">
        <v>591</v>
      </c>
      <c r="B404" s="795" t="s">
        <v>3509</v>
      </c>
      <c r="C404" s="795" t="s">
        <v>3374</v>
      </c>
      <c r="D404" s="795" t="s">
        <v>4096</v>
      </c>
      <c r="E404" s="795" t="s">
        <v>4097</v>
      </c>
      <c r="F404" s="812">
        <v>33</v>
      </c>
      <c r="G404" s="812">
        <v>165330</v>
      </c>
      <c r="H404" s="812">
        <v>0.77458256029684602</v>
      </c>
      <c r="I404" s="812">
        <v>5010</v>
      </c>
      <c r="J404" s="812">
        <v>42</v>
      </c>
      <c r="K404" s="812">
        <v>213444</v>
      </c>
      <c r="L404" s="812">
        <v>1</v>
      </c>
      <c r="M404" s="812">
        <v>5082</v>
      </c>
      <c r="N404" s="812">
        <v>24</v>
      </c>
      <c r="O404" s="812">
        <v>122016</v>
      </c>
      <c r="P404" s="800">
        <v>0.57165345477033791</v>
      </c>
      <c r="Q404" s="813">
        <v>5084</v>
      </c>
    </row>
    <row r="405" spans="1:17" ht="14.4" customHeight="1" x14ac:dyDescent="0.3">
      <c r="A405" s="794" t="s">
        <v>591</v>
      </c>
      <c r="B405" s="795" t="s">
        <v>3509</v>
      </c>
      <c r="C405" s="795" t="s">
        <v>3374</v>
      </c>
      <c r="D405" s="795" t="s">
        <v>4098</v>
      </c>
      <c r="E405" s="795" t="s">
        <v>4099</v>
      </c>
      <c r="F405" s="812">
        <v>4</v>
      </c>
      <c r="G405" s="812">
        <v>19500</v>
      </c>
      <c r="H405" s="812">
        <v>1.915144372421921</v>
      </c>
      <c r="I405" s="812">
        <v>4875</v>
      </c>
      <c r="J405" s="812">
        <v>2</v>
      </c>
      <c r="K405" s="812">
        <v>10182</v>
      </c>
      <c r="L405" s="812">
        <v>1</v>
      </c>
      <c r="M405" s="812">
        <v>5091</v>
      </c>
      <c r="N405" s="812">
        <v>7</v>
      </c>
      <c r="O405" s="812">
        <v>35665</v>
      </c>
      <c r="P405" s="800">
        <v>3.5027499508937341</v>
      </c>
      <c r="Q405" s="813">
        <v>5095</v>
      </c>
    </row>
    <row r="406" spans="1:17" ht="14.4" customHeight="1" x14ac:dyDescent="0.3">
      <c r="A406" s="794" t="s">
        <v>591</v>
      </c>
      <c r="B406" s="795" t="s">
        <v>3509</v>
      </c>
      <c r="C406" s="795" t="s">
        <v>3374</v>
      </c>
      <c r="D406" s="795" t="s">
        <v>4100</v>
      </c>
      <c r="E406" s="795" t="s">
        <v>4101</v>
      </c>
      <c r="F406" s="812">
        <v>1</v>
      </c>
      <c r="G406" s="812">
        <v>649</v>
      </c>
      <c r="H406" s="812"/>
      <c r="I406" s="812">
        <v>649</v>
      </c>
      <c r="J406" s="812"/>
      <c r="K406" s="812"/>
      <c r="L406" s="812"/>
      <c r="M406" s="812"/>
      <c r="N406" s="812"/>
      <c r="O406" s="812"/>
      <c r="P406" s="800"/>
      <c r="Q406" s="813"/>
    </row>
    <row r="407" spans="1:17" ht="14.4" customHeight="1" x14ac:dyDescent="0.3">
      <c r="A407" s="794" t="s">
        <v>591</v>
      </c>
      <c r="B407" s="795" t="s">
        <v>3509</v>
      </c>
      <c r="C407" s="795" t="s">
        <v>3374</v>
      </c>
      <c r="D407" s="795" t="s">
        <v>4102</v>
      </c>
      <c r="E407" s="795" t="s">
        <v>4103</v>
      </c>
      <c r="F407" s="812"/>
      <c r="G407" s="812"/>
      <c r="H407" s="812"/>
      <c r="I407" s="812"/>
      <c r="J407" s="812">
        <v>1</v>
      </c>
      <c r="K407" s="812">
        <v>3188</v>
      </c>
      <c r="L407" s="812">
        <v>1</v>
      </c>
      <c r="M407" s="812">
        <v>3188</v>
      </c>
      <c r="N407" s="812">
        <v>1</v>
      </c>
      <c r="O407" s="812">
        <v>3189</v>
      </c>
      <c r="P407" s="800">
        <v>1.0003136762860727</v>
      </c>
      <c r="Q407" s="813">
        <v>3189</v>
      </c>
    </row>
    <row r="408" spans="1:17" ht="14.4" customHeight="1" x14ac:dyDescent="0.3">
      <c r="A408" s="794" t="s">
        <v>591</v>
      </c>
      <c r="B408" s="795" t="s">
        <v>3509</v>
      </c>
      <c r="C408" s="795" t="s">
        <v>3374</v>
      </c>
      <c r="D408" s="795" t="s">
        <v>4104</v>
      </c>
      <c r="E408" s="795" t="s">
        <v>4105</v>
      </c>
      <c r="F408" s="812"/>
      <c r="G408" s="812"/>
      <c r="H408" s="812"/>
      <c r="I408" s="812"/>
      <c r="J408" s="812">
        <v>1</v>
      </c>
      <c r="K408" s="812">
        <v>2336</v>
      </c>
      <c r="L408" s="812">
        <v>1</v>
      </c>
      <c r="M408" s="812">
        <v>2336</v>
      </c>
      <c r="N408" s="812"/>
      <c r="O408" s="812"/>
      <c r="P408" s="800"/>
      <c r="Q408" s="813"/>
    </row>
    <row r="409" spans="1:17" ht="14.4" customHeight="1" x14ac:dyDescent="0.3">
      <c r="A409" s="794" t="s">
        <v>591</v>
      </c>
      <c r="B409" s="795" t="s">
        <v>3509</v>
      </c>
      <c r="C409" s="795" t="s">
        <v>3374</v>
      </c>
      <c r="D409" s="795" t="s">
        <v>4106</v>
      </c>
      <c r="E409" s="795" t="s">
        <v>4107</v>
      </c>
      <c r="F409" s="812"/>
      <c r="G409" s="812"/>
      <c r="H409" s="812"/>
      <c r="I409" s="812"/>
      <c r="J409" s="812"/>
      <c r="K409" s="812"/>
      <c r="L409" s="812"/>
      <c r="M409" s="812"/>
      <c r="N409" s="812">
        <v>1</v>
      </c>
      <c r="O409" s="812">
        <v>2834</v>
      </c>
      <c r="P409" s="800"/>
      <c r="Q409" s="813">
        <v>2834</v>
      </c>
    </row>
    <row r="410" spans="1:17" ht="14.4" customHeight="1" x14ac:dyDescent="0.3">
      <c r="A410" s="794" t="s">
        <v>591</v>
      </c>
      <c r="B410" s="795" t="s">
        <v>3509</v>
      </c>
      <c r="C410" s="795" t="s">
        <v>3374</v>
      </c>
      <c r="D410" s="795" t="s">
        <v>4108</v>
      </c>
      <c r="E410" s="795" t="s">
        <v>4109</v>
      </c>
      <c r="F410" s="812">
        <v>1</v>
      </c>
      <c r="G410" s="812">
        <v>6163</v>
      </c>
      <c r="H410" s="812">
        <v>0.48703967125019759</v>
      </c>
      <c r="I410" s="812">
        <v>6163</v>
      </c>
      <c r="J410" s="812">
        <v>2</v>
      </c>
      <c r="K410" s="812">
        <v>12654</v>
      </c>
      <c r="L410" s="812">
        <v>1</v>
      </c>
      <c r="M410" s="812">
        <v>6327</v>
      </c>
      <c r="N410" s="812">
        <v>1</v>
      </c>
      <c r="O410" s="812">
        <v>6331</v>
      </c>
      <c r="P410" s="800">
        <v>0.50031610557926343</v>
      </c>
      <c r="Q410" s="813">
        <v>6331</v>
      </c>
    </row>
    <row r="411" spans="1:17" ht="14.4" customHeight="1" x14ac:dyDescent="0.3">
      <c r="A411" s="794" t="s">
        <v>591</v>
      </c>
      <c r="B411" s="795" t="s">
        <v>3509</v>
      </c>
      <c r="C411" s="795" t="s">
        <v>3374</v>
      </c>
      <c r="D411" s="795" t="s">
        <v>4110</v>
      </c>
      <c r="E411" s="795" t="s">
        <v>4111</v>
      </c>
      <c r="F411" s="812"/>
      <c r="G411" s="812"/>
      <c r="H411" s="812"/>
      <c r="I411" s="812"/>
      <c r="J411" s="812">
        <v>2</v>
      </c>
      <c r="K411" s="812">
        <v>3144</v>
      </c>
      <c r="L411" s="812">
        <v>1</v>
      </c>
      <c r="M411" s="812">
        <v>1572</v>
      </c>
      <c r="N411" s="812">
        <v>1</v>
      </c>
      <c r="O411" s="812">
        <v>1573</v>
      </c>
      <c r="P411" s="800">
        <v>0.50031806615776087</v>
      </c>
      <c r="Q411" s="813">
        <v>1573</v>
      </c>
    </row>
    <row r="412" spans="1:17" ht="14.4" customHeight="1" x14ac:dyDescent="0.3">
      <c r="A412" s="794" t="s">
        <v>591</v>
      </c>
      <c r="B412" s="795" t="s">
        <v>3509</v>
      </c>
      <c r="C412" s="795" t="s">
        <v>3374</v>
      </c>
      <c r="D412" s="795" t="s">
        <v>4112</v>
      </c>
      <c r="E412" s="795" t="s">
        <v>4113</v>
      </c>
      <c r="F412" s="812"/>
      <c r="G412" s="812"/>
      <c r="H412" s="812"/>
      <c r="I412" s="812"/>
      <c r="J412" s="812"/>
      <c r="K412" s="812"/>
      <c r="L412" s="812"/>
      <c r="M412" s="812"/>
      <c r="N412" s="812">
        <v>4</v>
      </c>
      <c r="O412" s="812">
        <v>19596</v>
      </c>
      <c r="P412" s="800"/>
      <c r="Q412" s="813">
        <v>4899</v>
      </c>
    </row>
    <row r="413" spans="1:17" ht="14.4" customHeight="1" x14ac:dyDescent="0.3">
      <c r="A413" s="794" t="s">
        <v>591</v>
      </c>
      <c r="B413" s="795" t="s">
        <v>3509</v>
      </c>
      <c r="C413" s="795" t="s">
        <v>3374</v>
      </c>
      <c r="D413" s="795" t="s">
        <v>4114</v>
      </c>
      <c r="E413" s="795" t="s">
        <v>4115</v>
      </c>
      <c r="F413" s="812">
        <v>3</v>
      </c>
      <c r="G413" s="812">
        <v>6660</v>
      </c>
      <c r="H413" s="812"/>
      <c r="I413" s="812">
        <v>2220</v>
      </c>
      <c r="J413" s="812"/>
      <c r="K413" s="812"/>
      <c r="L413" s="812"/>
      <c r="M413" s="812"/>
      <c r="N413" s="812"/>
      <c r="O413" s="812"/>
      <c r="P413" s="800"/>
      <c r="Q413" s="813"/>
    </row>
    <row r="414" spans="1:17" ht="14.4" customHeight="1" x14ac:dyDescent="0.3">
      <c r="A414" s="794" t="s">
        <v>591</v>
      </c>
      <c r="B414" s="795" t="s">
        <v>3509</v>
      </c>
      <c r="C414" s="795" t="s">
        <v>3374</v>
      </c>
      <c r="D414" s="795" t="s">
        <v>4116</v>
      </c>
      <c r="E414" s="795" t="s">
        <v>4117</v>
      </c>
      <c r="F414" s="812">
        <v>3</v>
      </c>
      <c r="G414" s="812">
        <v>8556</v>
      </c>
      <c r="H414" s="812"/>
      <c r="I414" s="812">
        <v>2852</v>
      </c>
      <c r="J414" s="812"/>
      <c r="K414" s="812"/>
      <c r="L414" s="812"/>
      <c r="M414" s="812"/>
      <c r="N414" s="812"/>
      <c r="O414" s="812"/>
      <c r="P414" s="800"/>
      <c r="Q414" s="813"/>
    </row>
    <row r="415" spans="1:17" ht="14.4" customHeight="1" x14ac:dyDescent="0.3">
      <c r="A415" s="794" t="s">
        <v>591</v>
      </c>
      <c r="B415" s="795" t="s">
        <v>3509</v>
      </c>
      <c r="C415" s="795" t="s">
        <v>3374</v>
      </c>
      <c r="D415" s="795" t="s">
        <v>4118</v>
      </c>
      <c r="E415" s="795" t="s">
        <v>4119</v>
      </c>
      <c r="F415" s="812"/>
      <c r="G415" s="812"/>
      <c r="H415" s="812"/>
      <c r="I415" s="812"/>
      <c r="J415" s="812">
        <v>1</v>
      </c>
      <c r="K415" s="812">
        <v>1659</v>
      </c>
      <c r="L415" s="812">
        <v>1</v>
      </c>
      <c r="M415" s="812">
        <v>1659</v>
      </c>
      <c r="N415" s="812"/>
      <c r="O415" s="812"/>
      <c r="P415" s="800"/>
      <c r="Q415" s="813"/>
    </row>
    <row r="416" spans="1:17" ht="14.4" customHeight="1" x14ac:dyDescent="0.3">
      <c r="A416" s="794" t="s">
        <v>591</v>
      </c>
      <c r="B416" s="795" t="s">
        <v>3509</v>
      </c>
      <c r="C416" s="795" t="s">
        <v>3374</v>
      </c>
      <c r="D416" s="795" t="s">
        <v>4120</v>
      </c>
      <c r="E416" s="795" t="s">
        <v>4121</v>
      </c>
      <c r="F416" s="812"/>
      <c r="G416" s="812"/>
      <c r="H416" s="812"/>
      <c r="I416" s="812"/>
      <c r="J416" s="812"/>
      <c r="K416" s="812"/>
      <c r="L416" s="812"/>
      <c r="M416" s="812"/>
      <c r="N416" s="812">
        <v>2</v>
      </c>
      <c r="O416" s="812">
        <v>8554</v>
      </c>
      <c r="P416" s="800"/>
      <c r="Q416" s="813">
        <v>4277</v>
      </c>
    </row>
    <row r="417" spans="1:17" ht="14.4" customHeight="1" x14ac:dyDescent="0.3">
      <c r="A417" s="794" t="s">
        <v>591</v>
      </c>
      <c r="B417" s="795" t="s">
        <v>3509</v>
      </c>
      <c r="C417" s="795" t="s">
        <v>3374</v>
      </c>
      <c r="D417" s="795" t="s">
        <v>4122</v>
      </c>
      <c r="E417" s="795" t="s">
        <v>4123</v>
      </c>
      <c r="F417" s="812"/>
      <c r="G417" s="812"/>
      <c r="H417" s="812"/>
      <c r="I417" s="812"/>
      <c r="J417" s="812"/>
      <c r="K417" s="812"/>
      <c r="L417" s="812"/>
      <c r="M417" s="812"/>
      <c r="N417" s="812">
        <v>1</v>
      </c>
      <c r="O417" s="812">
        <v>2493</v>
      </c>
      <c r="P417" s="800"/>
      <c r="Q417" s="813">
        <v>2493</v>
      </c>
    </row>
    <row r="418" spans="1:17" ht="14.4" customHeight="1" x14ac:dyDescent="0.3">
      <c r="A418" s="794" t="s">
        <v>591</v>
      </c>
      <c r="B418" s="795" t="s">
        <v>3509</v>
      </c>
      <c r="C418" s="795" t="s">
        <v>3374</v>
      </c>
      <c r="D418" s="795" t="s">
        <v>3407</v>
      </c>
      <c r="E418" s="795" t="s">
        <v>3408</v>
      </c>
      <c r="F418" s="812">
        <v>33</v>
      </c>
      <c r="G418" s="812">
        <v>42372</v>
      </c>
      <c r="H418" s="812">
        <v>0.87530986613782846</v>
      </c>
      <c r="I418" s="812">
        <v>1284</v>
      </c>
      <c r="J418" s="812">
        <v>37</v>
      </c>
      <c r="K418" s="812">
        <v>48408</v>
      </c>
      <c r="L418" s="812">
        <v>1</v>
      </c>
      <c r="M418" s="812">
        <v>1308.3243243243244</v>
      </c>
      <c r="N418" s="812">
        <v>49</v>
      </c>
      <c r="O418" s="812">
        <v>64190</v>
      </c>
      <c r="P418" s="800">
        <v>1.3260204924805816</v>
      </c>
      <c r="Q418" s="813">
        <v>1310</v>
      </c>
    </row>
    <row r="419" spans="1:17" ht="14.4" customHeight="1" x14ac:dyDescent="0.3">
      <c r="A419" s="794" t="s">
        <v>591</v>
      </c>
      <c r="B419" s="795" t="s">
        <v>3509</v>
      </c>
      <c r="C419" s="795" t="s">
        <v>3374</v>
      </c>
      <c r="D419" s="795" t="s">
        <v>4124</v>
      </c>
      <c r="E419" s="795" t="s">
        <v>4125</v>
      </c>
      <c r="F419" s="812">
        <v>5</v>
      </c>
      <c r="G419" s="812">
        <v>20395</v>
      </c>
      <c r="H419" s="812">
        <v>0.47841895378841193</v>
      </c>
      <c r="I419" s="812">
        <v>4079</v>
      </c>
      <c r="J419" s="812">
        <v>10</v>
      </c>
      <c r="K419" s="812">
        <v>42630</v>
      </c>
      <c r="L419" s="812">
        <v>1</v>
      </c>
      <c r="M419" s="812">
        <v>4263</v>
      </c>
      <c r="N419" s="812">
        <v>9</v>
      </c>
      <c r="O419" s="812">
        <v>38394</v>
      </c>
      <c r="P419" s="800">
        <v>0.90063335679099221</v>
      </c>
      <c r="Q419" s="813">
        <v>4266</v>
      </c>
    </row>
    <row r="420" spans="1:17" ht="14.4" customHeight="1" x14ac:dyDescent="0.3">
      <c r="A420" s="794" t="s">
        <v>591</v>
      </c>
      <c r="B420" s="795" t="s">
        <v>3509</v>
      </c>
      <c r="C420" s="795" t="s">
        <v>3374</v>
      </c>
      <c r="D420" s="795" t="s">
        <v>3409</v>
      </c>
      <c r="E420" s="795" t="s">
        <v>3410</v>
      </c>
      <c r="F420" s="812">
        <v>1</v>
      </c>
      <c r="G420" s="812">
        <v>946</v>
      </c>
      <c r="H420" s="812">
        <v>0.24356333676622038</v>
      </c>
      <c r="I420" s="812">
        <v>946</v>
      </c>
      <c r="J420" s="812">
        <v>4</v>
      </c>
      <c r="K420" s="812">
        <v>3884</v>
      </c>
      <c r="L420" s="812">
        <v>1</v>
      </c>
      <c r="M420" s="812">
        <v>971</v>
      </c>
      <c r="N420" s="812">
        <v>2</v>
      </c>
      <c r="O420" s="812">
        <v>1944</v>
      </c>
      <c r="P420" s="800">
        <v>0.50051493305870232</v>
      </c>
      <c r="Q420" s="813">
        <v>972</v>
      </c>
    </row>
    <row r="421" spans="1:17" ht="14.4" customHeight="1" x14ac:dyDescent="0.3">
      <c r="A421" s="794" t="s">
        <v>591</v>
      </c>
      <c r="B421" s="795" t="s">
        <v>3509</v>
      </c>
      <c r="C421" s="795" t="s">
        <v>3374</v>
      </c>
      <c r="D421" s="795" t="s">
        <v>4126</v>
      </c>
      <c r="E421" s="795" t="s">
        <v>4127</v>
      </c>
      <c r="F421" s="812"/>
      <c r="G421" s="812"/>
      <c r="H421" s="812"/>
      <c r="I421" s="812"/>
      <c r="J421" s="812">
        <v>1</v>
      </c>
      <c r="K421" s="812">
        <v>930</v>
      </c>
      <c r="L421" s="812">
        <v>1</v>
      </c>
      <c r="M421" s="812">
        <v>930</v>
      </c>
      <c r="N421" s="812"/>
      <c r="O421" s="812"/>
      <c r="P421" s="800"/>
      <c r="Q421" s="813"/>
    </row>
    <row r="422" spans="1:17" ht="14.4" customHeight="1" x14ac:dyDescent="0.3">
      <c r="A422" s="794" t="s">
        <v>591</v>
      </c>
      <c r="B422" s="795" t="s">
        <v>3509</v>
      </c>
      <c r="C422" s="795" t="s">
        <v>3374</v>
      </c>
      <c r="D422" s="795" t="s">
        <v>3411</v>
      </c>
      <c r="E422" s="795" t="s">
        <v>3412</v>
      </c>
      <c r="F422" s="812"/>
      <c r="G422" s="812"/>
      <c r="H422" s="812"/>
      <c r="I422" s="812"/>
      <c r="J422" s="812">
        <v>1</v>
      </c>
      <c r="K422" s="812">
        <v>985</v>
      </c>
      <c r="L422" s="812">
        <v>1</v>
      </c>
      <c r="M422" s="812">
        <v>985</v>
      </c>
      <c r="N422" s="812"/>
      <c r="O422" s="812"/>
      <c r="P422" s="800"/>
      <c r="Q422" s="813"/>
    </row>
    <row r="423" spans="1:17" ht="14.4" customHeight="1" x14ac:dyDescent="0.3">
      <c r="A423" s="794" t="s">
        <v>591</v>
      </c>
      <c r="B423" s="795" t="s">
        <v>3509</v>
      </c>
      <c r="C423" s="795" t="s">
        <v>3374</v>
      </c>
      <c r="D423" s="795" t="s">
        <v>4128</v>
      </c>
      <c r="E423" s="795" t="s">
        <v>4129</v>
      </c>
      <c r="F423" s="812"/>
      <c r="G423" s="812"/>
      <c r="H423" s="812"/>
      <c r="I423" s="812"/>
      <c r="J423" s="812"/>
      <c r="K423" s="812"/>
      <c r="L423" s="812"/>
      <c r="M423" s="812"/>
      <c r="N423" s="812">
        <v>2</v>
      </c>
      <c r="O423" s="812">
        <v>2056</v>
      </c>
      <c r="P423" s="800"/>
      <c r="Q423" s="813">
        <v>1028</v>
      </c>
    </row>
    <row r="424" spans="1:17" ht="14.4" customHeight="1" x14ac:dyDescent="0.3">
      <c r="A424" s="794" t="s">
        <v>591</v>
      </c>
      <c r="B424" s="795" t="s">
        <v>3509</v>
      </c>
      <c r="C424" s="795" t="s">
        <v>3374</v>
      </c>
      <c r="D424" s="795" t="s">
        <v>4130</v>
      </c>
      <c r="E424" s="795" t="s">
        <v>4131</v>
      </c>
      <c r="F424" s="812">
        <v>2</v>
      </c>
      <c r="G424" s="812">
        <v>4674</v>
      </c>
      <c r="H424" s="812">
        <v>1.9402241594022416</v>
      </c>
      <c r="I424" s="812">
        <v>2337</v>
      </c>
      <c r="J424" s="812">
        <v>1</v>
      </c>
      <c r="K424" s="812">
        <v>2409</v>
      </c>
      <c r="L424" s="812">
        <v>1</v>
      </c>
      <c r="M424" s="812">
        <v>2409</v>
      </c>
      <c r="N424" s="812">
        <v>1</v>
      </c>
      <c r="O424" s="812">
        <v>2410</v>
      </c>
      <c r="P424" s="800">
        <v>1.0004151100041512</v>
      </c>
      <c r="Q424" s="813">
        <v>2410</v>
      </c>
    </row>
    <row r="425" spans="1:17" ht="14.4" customHeight="1" x14ac:dyDescent="0.3">
      <c r="A425" s="794" t="s">
        <v>591</v>
      </c>
      <c r="B425" s="795" t="s">
        <v>3509</v>
      </c>
      <c r="C425" s="795" t="s">
        <v>3374</v>
      </c>
      <c r="D425" s="795" t="s">
        <v>4132</v>
      </c>
      <c r="E425" s="795" t="s">
        <v>4133</v>
      </c>
      <c r="F425" s="812">
        <v>6</v>
      </c>
      <c r="G425" s="812">
        <v>17880</v>
      </c>
      <c r="H425" s="812">
        <v>1.1576561994172871</v>
      </c>
      <c r="I425" s="812">
        <v>2980</v>
      </c>
      <c r="J425" s="812">
        <v>5</v>
      </c>
      <c r="K425" s="812">
        <v>15445</v>
      </c>
      <c r="L425" s="812">
        <v>1</v>
      </c>
      <c r="M425" s="812">
        <v>3089</v>
      </c>
      <c r="N425" s="812">
        <v>13</v>
      </c>
      <c r="O425" s="812">
        <v>40196</v>
      </c>
      <c r="P425" s="800">
        <v>2.6025250890255744</v>
      </c>
      <c r="Q425" s="813">
        <v>3092</v>
      </c>
    </row>
    <row r="426" spans="1:17" ht="14.4" customHeight="1" x14ac:dyDescent="0.3">
      <c r="A426" s="794" t="s">
        <v>591</v>
      </c>
      <c r="B426" s="795" t="s">
        <v>3509</v>
      </c>
      <c r="C426" s="795" t="s">
        <v>3374</v>
      </c>
      <c r="D426" s="795" t="s">
        <v>4134</v>
      </c>
      <c r="E426" s="795" t="s">
        <v>4135</v>
      </c>
      <c r="F426" s="812">
        <v>1</v>
      </c>
      <c r="G426" s="812">
        <v>1640</v>
      </c>
      <c r="H426" s="812"/>
      <c r="I426" s="812">
        <v>1640</v>
      </c>
      <c r="J426" s="812"/>
      <c r="K426" s="812"/>
      <c r="L426" s="812"/>
      <c r="M426" s="812"/>
      <c r="N426" s="812">
        <v>1</v>
      </c>
      <c r="O426" s="812">
        <v>1690</v>
      </c>
      <c r="P426" s="800"/>
      <c r="Q426" s="813">
        <v>1690</v>
      </c>
    </row>
    <row r="427" spans="1:17" ht="14.4" customHeight="1" x14ac:dyDescent="0.3">
      <c r="A427" s="794" t="s">
        <v>591</v>
      </c>
      <c r="B427" s="795" t="s">
        <v>3509</v>
      </c>
      <c r="C427" s="795" t="s">
        <v>3374</v>
      </c>
      <c r="D427" s="795" t="s">
        <v>4136</v>
      </c>
      <c r="E427" s="795" t="s">
        <v>4137</v>
      </c>
      <c r="F427" s="812">
        <v>0</v>
      </c>
      <c r="G427" s="812">
        <v>0</v>
      </c>
      <c r="H427" s="812"/>
      <c r="I427" s="812"/>
      <c r="J427" s="812">
        <v>0</v>
      </c>
      <c r="K427" s="812">
        <v>0</v>
      </c>
      <c r="L427" s="812"/>
      <c r="M427" s="812"/>
      <c r="N427" s="812">
        <v>0</v>
      </c>
      <c r="O427" s="812">
        <v>0</v>
      </c>
      <c r="P427" s="800"/>
      <c r="Q427" s="813"/>
    </row>
    <row r="428" spans="1:17" ht="14.4" customHeight="1" x14ac:dyDescent="0.3">
      <c r="A428" s="794" t="s">
        <v>591</v>
      </c>
      <c r="B428" s="795" t="s">
        <v>3509</v>
      </c>
      <c r="C428" s="795" t="s">
        <v>3374</v>
      </c>
      <c r="D428" s="795" t="s">
        <v>4138</v>
      </c>
      <c r="E428" s="795" t="s">
        <v>4139</v>
      </c>
      <c r="F428" s="812">
        <v>246</v>
      </c>
      <c r="G428" s="812">
        <v>0</v>
      </c>
      <c r="H428" s="812"/>
      <c r="I428" s="812">
        <v>0</v>
      </c>
      <c r="J428" s="812">
        <v>179</v>
      </c>
      <c r="K428" s="812">
        <v>0</v>
      </c>
      <c r="L428" s="812"/>
      <c r="M428" s="812">
        <v>0</v>
      </c>
      <c r="N428" s="812">
        <v>204</v>
      </c>
      <c r="O428" s="812">
        <v>0</v>
      </c>
      <c r="P428" s="800"/>
      <c r="Q428" s="813">
        <v>0</v>
      </c>
    </row>
    <row r="429" spans="1:17" ht="14.4" customHeight="1" x14ac:dyDescent="0.3">
      <c r="A429" s="794" t="s">
        <v>591</v>
      </c>
      <c r="B429" s="795" t="s">
        <v>3509</v>
      </c>
      <c r="C429" s="795" t="s">
        <v>3374</v>
      </c>
      <c r="D429" s="795" t="s">
        <v>4140</v>
      </c>
      <c r="E429" s="795" t="s">
        <v>4141</v>
      </c>
      <c r="F429" s="812">
        <v>28</v>
      </c>
      <c r="G429" s="812">
        <v>0</v>
      </c>
      <c r="H429" s="812"/>
      <c r="I429" s="812">
        <v>0</v>
      </c>
      <c r="J429" s="812">
        <v>23</v>
      </c>
      <c r="K429" s="812">
        <v>0</v>
      </c>
      <c r="L429" s="812"/>
      <c r="M429" s="812">
        <v>0</v>
      </c>
      <c r="N429" s="812">
        <v>18</v>
      </c>
      <c r="O429" s="812">
        <v>0</v>
      </c>
      <c r="P429" s="800"/>
      <c r="Q429" s="813">
        <v>0</v>
      </c>
    </row>
    <row r="430" spans="1:17" ht="14.4" customHeight="1" x14ac:dyDescent="0.3">
      <c r="A430" s="794" t="s">
        <v>591</v>
      </c>
      <c r="B430" s="795" t="s">
        <v>3509</v>
      </c>
      <c r="C430" s="795" t="s">
        <v>3374</v>
      </c>
      <c r="D430" s="795" t="s">
        <v>4142</v>
      </c>
      <c r="E430" s="795" t="s">
        <v>4143</v>
      </c>
      <c r="F430" s="812">
        <v>10</v>
      </c>
      <c r="G430" s="812">
        <v>56980</v>
      </c>
      <c r="H430" s="812">
        <v>1.092701261841752</v>
      </c>
      <c r="I430" s="812">
        <v>5698</v>
      </c>
      <c r="J430" s="812">
        <v>9</v>
      </c>
      <c r="K430" s="812">
        <v>52146</v>
      </c>
      <c r="L430" s="812">
        <v>1</v>
      </c>
      <c r="M430" s="812">
        <v>5794</v>
      </c>
      <c r="N430" s="812">
        <v>10</v>
      </c>
      <c r="O430" s="812">
        <v>57958</v>
      </c>
      <c r="P430" s="800">
        <v>1.1114562957849117</v>
      </c>
      <c r="Q430" s="813">
        <v>5795.8</v>
      </c>
    </row>
    <row r="431" spans="1:17" ht="14.4" customHeight="1" x14ac:dyDescent="0.3">
      <c r="A431" s="794" t="s">
        <v>591</v>
      </c>
      <c r="B431" s="795" t="s">
        <v>3509</v>
      </c>
      <c r="C431" s="795" t="s">
        <v>3374</v>
      </c>
      <c r="D431" s="795" t="s">
        <v>4144</v>
      </c>
      <c r="E431" s="795" t="s">
        <v>4145</v>
      </c>
      <c r="F431" s="812">
        <v>25</v>
      </c>
      <c r="G431" s="812">
        <v>98950</v>
      </c>
      <c r="H431" s="812">
        <v>1.0394235112451022</v>
      </c>
      <c r="I431" s="812">
        <v>3958</v>
      </c>
      <c r="J431" s="812">
        <v>23</v>
      </c>
      <c r="K431" s="812">
        <v>95197</v>
      </c>
      <c r="L431" s="812">
        <v>1</v>
      </c>
      <c r="M431" s="812">
        <v>4139</v>
      </c>
      <c r="N431" s="812">
        <v>36</v>
      </c>
      <c r="O431" s="812">
        <v>149106</v>
      </c>
      <c r="P431" s="800">
        <v>1.5662888536403459</v>
      </c>
      <c r="Q431" s="813">
        <v>4141.833333333333</v>
      </c>
    </row>
    <row r="432" spans="1:17" ht="14.4" customHeight="1" x14ac:dyDescent="0.3">
      <c r="A432" s="794" t="s">
        <v>591</v>
      </c>
      <c r="B432" s="795" t="s">
        <v>3509</v>
      </c>
      <c r="C432" s="795" t="s">
        <v>3374</v>
      </c>
      <c r="D432" s="795" t="s">
        <v>4146</v>
      </c>
      <c r="E432" s="795" t="s">
        <v>4147</v>
      </c>
      <c r="F432" s="812">
        <v>1029</v>
      </c>
      <c r="G432" s="812">
        <v>1114989</v>
      </c>
      <c r="H432" s="812">
        <v>1.1413799880844895</v>
      </c>
      <c r="I432" s="812">
        <v>1083.5655976676385</v>
      </c>
      <c r="J432" s="812">
        <v>863</v>
      </c>
      <c r="K432" s="812">
        <v>976878</v>
      </c>
      <c r="L432" s="812">
        <v>1</v>
      </c>
      <c r="M432" s="812">
        <v>1131.9559675550406</v>
      </c>
      <c r="N432" s="812">
        <v>948</v>
      </c>
      <c r="O432" s="812">
        <v>1072029</v>
      </c>
      <c r="P432" s="800">
        <v>1.0974031557676598</v>
      </c>
      <c r="Q432" s="813">
        <v>1130.8322784810127</v>
      </c>
    </row>
    <row r="433" spans="1:17" ht="14.4" customHeight="1" x14ac:dyDescent="0.3">
      <c r="A433" s="794" t="s">
        <v>591</v>
      </c>
      <c r="B433" s="795" t="s">
        <v>3509</v>
      </c>
      <c r="C433" s="795" t="s">
        <v>3374</v>
      </c>
      <c r="D433" s="795" t="s">
        <v>3427</v>
      </c>
      <c r="E433" s="795" t="s">
        <v>3428</v>
      </c>
      <c r="F433" s="812">
        <v>2</v>
      </c>
      <c r="G433" s="812">
        <v>768</v>
      </c>
      <c r="H433" s="812"/>
      <c r="I433" s="812">
        <v>384</v>
      </c>
      <c r="J433" s="812"/>
      <c r="K433" s="812"/>
      <c r="L433" s="812"/>
      <c r="M433" s="812"/>
      <c r="N433" s="812"/>
      <c r="O433" s="812"/>
      <c r="P433" s="800"/>
      <c r="Q433" s="813"/>
    </row>
    <row r="434" spans="1:17" ht="14.4" customHeight="1" x14ac:dyDescent="0.3">
      <c r="A434" s="794" t="s">
        <v>591</v>
      </c>
      <c r="B434" s="795" t="s">
        <v>3509</v>
      </c>
      <c r="C434" s="795" t="s">
        <v>3374</v>
      </c>
      <c r="D434" s="795" t="s">
        <v>4148</v>
      </c>
      <c r="E434" s="795" t="s">
        <v>4149</v>
      </c>
      <c r="F434" s="812">
        <v>1</v>
      </c>
      <c r="G434" s="812">
        <v>0</v>
      </c>
      <c r="H434" s="812"/>
      <c r="I434" s="812">
        <v>0</v>
      </c>
      <c r="J434" s="812">
        <v>3</v>
      </c>
      <c r="K434" s="812">
        <v>0</v>
      </c>
      <c r="L434" s="812"/>
      <c r="M434" s="812">
        <v>0</v>
      </c>
      <c r="N434" s="812">
        <v>3</v>
      </c>
      <c r="O434" s="812">
        <v>0</v>
      </c>
      <c r="P434" s="800"/>
      <c r="Q434" s="813">
        <v>0</v>
      </c>
    </row>
    <row r="435" spans="1:17" ht="14.4" customHeight="1" x14ac:dyDescent="0.3">
      <c r="A435" s="794" t="s">
        <v>591</v>
      </c>
      <c r="B435" s="795" t="s">
        <v>3509</v>
      </c>
      <c r="C435" s="795" t="s">
        <v>3374</v>
      </c>
      <c r="D435" s="795" t="s">
        <v>4150</v>
      </c>
      <c r="E435" s="795" t="s">
        <v>4151</v>
      </c>
      <c r="F435" s="812">
        <v>6</v>
      </c>
      <c r="G435" s="812">
        <v>17094</v>
      </c>
      <c r="H435" s="812">
        <v>1.9315254237288135</v>
      </c>
      <c r="I435" s="812">
        <v>2849</v>
      </c>
      <c r="J435" s="812">
        <v>3</v>
      </c>
      <c r="K435" s="812">
        <v>8850</v>
      </c>
      <c r="L435" s="812">
        <v>1</v>
      </c>
      <c r="M435" s="812">
        <v>2950</v>
      </c>
      <c r="N435" s="812">
        <v>7</v>
      </c>
      <c r="O435" s="812">
        <v>20664</v>
      </c>
      <c r="P435" s="800">
        <v>2.3349152542372882</v>
      </c>
      <c r="Q435" s="813">
        <v>2952</v>
      </c>
    </row>
    <row r="436" spans="1:17" ht="14.4" customHeight="1" x14ac:dyDescent="0.3">
      <c r="A436" s="794" t="s">
        <v>591</v>
      </c>
      <c r="B436" s="795" t="s">
        <v>3509</v>
      </c>
      <c r="C436" s="795" t="s">
        <v>3374</v>
      </c>
      <c r="D436" s="795" t="s">
        <v>4152</v>
      </c>
      <c r="E436" s="795" t="s">
        <v>4153</v>
      </c>
      <c r="F436" s="812">
        <v>10</v>
      </c>
      <c r="G436" s="812">
        <v>4360</v>
      </c>
      <c r="H436" s="812">
        <v>1.9710669077757685</v>
      </c>
      <c r="I436" s="812">
        <v>436</v>
      </c>
      <c r="J436" s="812">
        <v>5</v>
      </c>
      <c r="K436" s="812">
        <v>2212</v>
      </c>
      <c r="L436" s="812">
        <v>1</v>
      </c>
      <c r="M436" s="812">
        <v>442.4</v>
      </c>
      <c r="N436" s="812">
        <v>5</v>
      </c>
      <c r="O436" s="812">
        <v>2225</v>
      </c>
      <c r="P436" s="800">
        <v>1.005877034358047</v>
      </c>
      <c r="Q436" s="813">
        <v>445</v>
      </c>
    </row>
    <row r="437" spans="1:17" ht="14.4" customHeight="1" x14ac:dyDescent="0.3">
      <c r="A437" s="794" t="s">
        <v>591</v>
      </c>
      <c r="B437" s="795" t="s">
        <v>3509</v>
      </c>
      <c r="C437" s="795" t="s">
        <v>3374</v>
      </c>
      <c r="D437" s="795" t="s">
        <v>4154</v>
      </c>
      <c r="E437" s="795" t="s">
        <v>4155</v>
      </c>
      <c r="F437" s="812"/>
      <c r="G437" s="812"/>
      <c r="H437" s="812"/>
      <c r="I437" s="812"/>
      <c r="J437" s="812"/>
      <c r="K437" s="812"/>
      <c r="L437" s="812"/>
      <c r="M437" s="812"/>
      <c r="N437" s="812">
        <v>1</v>
      </c>
      <c r="O437" s="812">
        <v>4136</v>
      </c>
      <c r="P437" s="800"/>
      <c r="Q437" s="813">
        <v>4136</v>
      </c>
    </row>
    <row r="438" spans="1:17" ht="14.4" customHeight="1" x14ac:dyDescent="0.3">
      <c r="A438" s="794" t="s">
        <v>591</v>
      </c>
      <c r="B438" s="795" t="s">
        <v>3509</v>
      </c>
      <c r="C438" s="795" t="s">
        <v>3374</v>
      </c>
      <c r="D438" s="795" t="s">
        <v>3435</v>
      </c>
      <c r="E438" s="795" t="s">
        <v>3436</v>
      </c>
      <c r="F438" s="812">
        <v>358</v>
      </c>
      <c r="G438" s="812">
        <v>84130</v>
      </c>
      <c r="H438" s="812">
        <v>1.0708603286534373</v>
      </c>
      <c r="I438" s="812">
        <v>235</v>
      </c>
      <c r="J438" s="812">
        <v>313</v>
      </c>
      <c r="K438" s="812">
        <v>78563</v>
      </c>
      <c r="L438" s="812">
        <v>1</v>
      </c>
      <c r="M438" s="812">
        <v>251</v>
      </c>
      <c r="N438" s="812">
        <v>372</v>
      </c>
      <c r="O438" s="812">
        <v>93372</v>
      </c>
      <c r="P438" s="800">
        <v>1.1884984025559104</v>
      </c>
      <c r="Q438" s="813">
        <v>251</v>
      </c>
    </row>
    <row r="439" spans="1:17" ht="14.4" customHeight="1" x14ac:dyDescent="0.3">
      <c r="A439" s="794" t="s">
        <v>591</v>
      </c>
      <c r="B439" s="795" t="s">
        <v>3509</v>
      </c>
      <c r="C439" s="795" t="s">
        <v>3374</v>
      </c>
      <c r="D439" s="795" t="s">
        <v>3437</v>
      </c>
      <c r="E439" s="795" t="s">
        <v>3438</v>
      </c>
      <c r="F439" s="812">
        <v>2</v>
      </c>
      <c r="G439" s="812">
        <v>227</v>
      </c>
      <c r="H439" s="812"/>
      <c r="I439" s="812">
        <v>113.5</v>
      </c>
      <c r="J439" s="812"/>
      <c r="K439" s="812"/>
      <c r="L439" s="812"/>
      <c r="M439" s="812"/>
      <c r="N439" s="812"/>
      <c r="O439" s="812"/>
      <c r="P439" s="800"/>
      <c r="Q439" s="813"/>
    </row>
    <row r="440" spans="1:17" ht="14.4" customHeight="1" x14ac:dyDescent="0.3">
      <c r="A440" s="794" t="s">
        <v>591</v>
      </c>
      <c r="B440" s="795" t="s">
        <v>3509</v>
      </c>
      <c r="C440" s="795" t="s">
        <v>3374</v>
      </c>
      <c r="D440" s="795" t="s">
        <v>3439</v>
      </c>
      <c r="E440" s="795" t="s">
        <v>3440</v>
      </c>
      <c r="F440" s="812"/>
      <c r="G440" s="812"/>
      <c r="H440" s="812"/>
      <c r="I440" s="812"/>
      <c r="J440" s="812">
        <v>1</v>
      </c>
      <c r="K440" s="812">
        <v>721</v>
      </c>
      <c r="L440" s="812">
        <v>1</v>
      </c>
      <c r="M440" s="812">
        <v>721</v>
      </c>
      <c r="N440" s="812"/>
      <c r="O440" s="812"/>
      <c r="P440" s="800"/>
      <c r="Q440" s="813"/>
    </row>
    <row r="441" spans="1:17" ht="14.4" customHeight="1" x14ac:dyDescent="0.3">
      <c r="A441" s="794" t="s">
        <v>591</v>
      </c>
      <c r="B441" s="795" t="s">
        <v>3509</v>
      </c>
      <c r="C441" s="795" t="s">
        <v>3374</v>
      </c>
      <c r="D441" s="795" t="s">
        <v>4156</v>
      </c>
      <c r="E441" s="795" t="s">
        <v>4157</v>
      </c>
      <c r="F441" s="812">
        <v>319</v>
      </c>
      <c r="G441" s="812">
        <v>111325</v>
      </c>
      <c r="H441" s="812">
        <v>1.7832828743972959</v>
      </c>
      <c r="I441" s="812">
        <v>348.98119122257054</v>
      </c>
      <c r="J441" s="812">
        <v>168</v>
      </c>
      <c r="K441" s="812">
        <v>62427</v>
      </c>
      <c r="L441" s="812">
        <v>1</v>
      </c>
      <c r="M441" s="812">
        <v>371.58928571428572</v>
      </c>
      <c r="N441" s="812">
        <v>182</v>
      </c>
      <c r="O441" s="812">
        <v>67886</v>
      </c>
      <c r="P441" s="800">
        <v>1.087446137088119</v>
      </c>
      <c r="Q441" s="813">
        <v>373</v>
      </c>
    </row>
    <row r="442" spans="1:17" ht="14.4" customHeight="1" x14ac:dyDescent="0.3">
      <c r="A442" s="794" t="s">
        <v>591</v>
      </c>
      <c r="B442" s="795" t="s">
        <v>3509</v>
      </c>
      <c r="C442" s="795" t="s">
        <v>3374</v>
      </c>
      <c r="D442" s="795" t="s">
        <v>4158</v>
      </c>
      <c r="E442" s="795" t="s">
        <v>4159</v>
      </c>
      <c r="F442" s="812">
        <v>54</v>
      </c>
      <c r="G442" s="812">
        <v>45996</v>
      </c>
      <c r="H442" s="812">
        <v>2.9690162664601085</v>
      </c>
      <c r="I442" s="812">
        <v>851.77777777777783</v>
      </c>
      <c r="J442" s="812">
        <v>18</v>
      </c>
      <c r="K442" s="812">
        <v>15492</v>
      </c>
      <c r="L442" s="812">
        <v>1</v>
      </c>
      <c r="M442" s="812">
        <v>860.66666666666663</v>
      </c>
      <c r="N442" s="812">
        <v>26</v>
      </c>
      <c r="O442" s="812">
        <v>22490</v>
      </c>
      <c r="P442" s="800">
        <v>1.4517170152336689</v>
      </c>
      <c r="Q442" s="813">
        <v>865</v>
      </c>
    </row>
    <row r="443" spans="1:17" ht="14.4" customHeight="1" x14ac:dyDescent="0.3">
      <c r="A443" s="794" t="s">
        <v>591</v>
      </c>
      <c r="B443" s="795" t="s">
        <v>3509</v>
      </c>
      <c r="C443" s="795" t="s">
        <v>3374</v>
      </c>
      <c r="D443" s="795" t="s">
        <v>3507</v>
      </c>
      <c r="E443" s="795" t="s">
        <v>3508</v>
      </c>
      <c r="F443" s="812">
        <v>254</v>
      </c>
      <c r="G443" s="812">
        <v>28951</v>
      </c>
      <c r="H443" s="812">
        <v>0.96619276465091442</v>
      </c>
      <c r="I443" s="812">
        <v>113.98031496062993</v>
      </c>
      <c r="J443" s="812">
        <v>250</v>
      </c>
      <c r="K443" s="812">
        <v>29964</v>
      </c>
      <c r="L443" s="812">
        <v>1</v>
      </c>
      <c r="M443" s="812">
        <v>119.85599999999999</v>
      </c>
      <c r="N443" s="812">
        <v>269</v>
      </c>
      <c r="O443" s="812">
        <v>32280</v>
      </c>
      <c r="P443" s="800">
        <v>1.0772927513015618</v>
      </c>
      <c r="Q443" s="813">
        <v>120</v>
      </c>
    </row>
    <row r="444" spans="1:17" ht="14.4" customHeight="1" x14ac:dyDescent="0.3">
      <c r="A444" s="794" t="s">
        <v>591</v>
      </c>
      <c r="B444" s="795" t="s">
        <v>3509</v>
      </c>
      <c r="C444" s="795" t="s">
        <v>3374</v>
      </c>
      <c r="D444" s="795" t="s">
        <v>4160</v>
      </c>
      <c r="E444" s="795" t="s">
        <v>4161</v>
      </c>
      <c r="F444" s="812">
        <v>1</v>
      </c>
      <c r="G444" s="812">
        <v>4308</v>
      </c>
      <c r="H444" s="812">
        <v>0.31989307195366451</v>
      </c>
      <c r="I444" s="812">
        <v>4308</v>
      </c>
      <c r="J444" s="812">
        <v>3</v>
      </c>
      <c r="K444" s="812">
        <v>13467</v>
      </c>
      <c r="L444" s="812">
        <v>1</v>
      </c>
      <c r="M444" s="812">
        <v>4489</v>
      </c>
      <c r="N444" s="812">
        <v>4</v>
      </c>
      <c r="O444" s="812">
        <v>17968</v>
      </c>
      <c r="P444" s="800">
        <v>1.334224400386129</v>
      </c>
      <c r="Q444" s="813">
        <v>4492</v>
      </c>
    </row>
    <row r="445" spans="1:17" ht="14.4" customHeight="1" x14ac:dyDescent="0.3">
      <c r="A445" s="794" t="s">
        <v>591</v>
      </c>
      <c r="B445" s="795" t="s">
        <v>3509</v>
      </c>
      <c r="C445" s="795" t="s">
        <v>3374</v>
      </c>
      <c r="D445" s="795" t="s">
        <v>4162</v>
      </c>
      <c r="E445" s="795" t="s">
        <v>4163</v>
      </c>
      <c r="F445" s="812">
        <v>5</v>
      </c>
      <c r="G445" s="812">
        <v>18270</v>
      </c>
      <c r="H445" s="812">
        <v>2.3820078226857886</v>
      </c>
      <c r="I445" s="812">
        <v>3654</v>
      </c>
      <c r="J445" s="812">
        <v>2</v>
      </c>
      <c r="K445" s="812">
        <v>7670</v>
      </c>
      <c r="L445" s="812">
        <v>1</v>
      </c>
      <c r="M445" s="812">
        <v>3835</v>
      </c>
      <c r="N445" s="812">
        <v>3</v>
      </c>
      <c r="O445" s="812">
        <v>11514</v>
      </c>
      <c r="P445" s="800">
        <v>1.5011734028683181</v>
      </c>
      <c r="Q445" s="813">
        <v>3838</v>
      </c>
    </row>
    <row r="446" spans="1:17" ht="14.4" customHeight="1" x14ac:dyDescent="0.3">
      <c r="A446" s="794" t="s">
        <v>591</v>
      </c>
      <c r="B446" s="795" t="s">
        <v>3509</v>
      </c>
      <c r="C446" s="795" t="s">
        <v>3374</v>
      </c>
      <c r="D446" s="795" t="s">
        <v>4164</v>
      </c>
      <c r="E446" s="795" t="s">
        <v>4165</v>
      </c>
      <c r="F446" s="812">
        <v>4</v>
      </c>
      <c r="G446" s="812">
        <v>3488</v>
      </c>
      <c r="H446" s="812"/>
      <c r="I446" s="812">
        <v>872</v>
      </c>
      <c r="J446" s="812"/>
      <c r="K446" s="812"/>
      <c r="L446" s="812"/>
      <c r="M446" s="812"/>
      <c r="N446" s="812">
        <v>1</v>
      </c>
      <c r="O446" s="812">
        <v>885</v>
      </c>
      <c r="P446" s="800"/>
      <c r="Q446" s="813">
        <v>885</v>
      </c>
    </row>
    <row r="447" spans="1:17" ht="14.4" customHeight="1" x14ac:dyDescent="0.3">
      <c r="A447" s="794" t="s">
        <v>591</v>
      </c>
      <c r="B447" s="795" t="s">
        <v>3509</v>
      </c>
      <c r="C447" s="795" t="s">
        <v>3374</v>
      </c>
      <c r="D447" s="795" t="s">
        <v>3445</v>
      </c>
      <c r="E447" s="795" t="s">
        <v>3446</v>
      </c>
      <c r="F447" s="812">
        <v>1</v>
      </c>
      <c r="G447" s="812">
        <v>179</v>
      </c>
      <c r="H447" s="812">
        <v>0.97814207650273222</v>
      </c>
      <c r="I447" s="812">
        <v>179</v>
      </c>
      <c r="J447" s="812">
        <v>1</v>
      </c>
      <c r="K447" s="812">
        <v>183</v>
      </c>
      <c r="L447" s="812">
        <v>1</v>
      </c>
      <c r="M447" s="812">
        <v>183</v>
      </c>
      <c r="N447" s="812">
        <v>1</v>
      </c>
      <c r="O447" s="812">
        <v>183</v>
      </c>
      <c r="P447" s="800">
        <v>1</v>
      </c>
      <c r="Q447" s="813">
        <v>183</v>
      </c>
    </row>
    <row r="448" spans="1:17" ht="14.4" customHeight="1" x14ac:dyDescent="0.3">
      <c r="A448" s="794" t="s">
        <v>591</v>
      </c>
      <c r="B448" s="795" t="s">
        <v>3509</v>
      </c>
      <c r="C448" s="795" t="s">
        <v>3374</v>
      </c>
      <c r="D448" s="795" t="s">
        <v>4166</v>
      </c>
      <c r="E448" s="795" t="s">
        <v>4167</v>
      </c>
      <c r="F448" s="812">
        <v>8</v>
      </c>
      <c r="G448" s="812">
        <v>14312</v>
      </c>
      <c r="H448" s="812">
        <v>0.96131112305212252</v>
      </c>
      <c r="I448" s="812">
        <v>1789</v>
      </c>
      <c r="J448" s="812">
        <v>8</v>
      </c>
      <c r="K448" s="812">
        <v>14888</v>
      </c>
      <c r="L448" s="812">
        <v>1</v>
      </c>
      <c r="M448" s="812">
        <v>1861</v>
      </c>
      <c r="N448" s="812">
        <v>12</v>
      </c>
      <c r="O448" s="812">
        <v>22344</v>
      </c>
      <c r="P448" s="800">
        <v>1.5008060182697474</v>
      </c>
      <c r="Q448" s="813">
        <v>1862</v>
      </c>
    </row>
    <row r="449" spans="1:17" ht="14.4" customHeight="1" x14ac:dyDescent="0.3">
      <c r="A449" s="794" t="s">
        <v>591</v>
      </c>
      <c r="B449" s="795" t="s">
        <v>3509</v>
      </c>
      <c r="C449" s="795" t="s">
        <v>3374</v>
      </c>
      <c r="D449" s="795" t="s">
        <v>4168</v>
      </c>
      <c r="E449" s="795" t="s">
        <v>4169</v>
      </c>
      <c r="F449" s="812">
        <v>1</v>
      </c>
      <c r="G449" s="812">
        <v>112</v>
      </c>
      <c r="H449" s="812"/>
      <c r="I449" s="812">
        <v>112</v>
      </c>
      <c r="J449" s="812"/>
      <c r="K449" s="812"/>
      <c r="L449" s="812"/>
      <c r="M449" s="812"/>
      <c r="N449" s="812"/>
      <c r="O449" s="812"/>
      <c r="P449" s="800"/>
      <c r="Q449" s="813"/>
    </row>
    <row r="450" spans="1:17" ht="14.4" customHeight="1" x14ac:dyDescent="0.3">
      <c r="A450" s="794" t="s">
        <v>591</v>
      </c>
      <c r="B450" s="795" t="s">
        <v>3509</v>
      </c>
      <c r="C450" s="795" t="s">
        <v>3374</v>
      </c>
      <c r="D450" s="795" t="s">
        <v>3447</v>
      </c>
      <c r="E450" s="795" t="s">
        <v>3448</v>
      </c>
      <c r="F450" s="812">
        <v>13</v>
      </c>
      <c r="G450" s="812">
        <v>4043</v>
      </c>
      <c r="H450" s="812">
        <v>1.0583769633507853</v>
      </c>
      <c r="I450" s="812">
        <v>311</v>
      </c>
      <c r="J450" s="812">
        <v>12</v>
      </c>
      <c r="K450" s="812">
        <v>3820</v>
      </c>
      <c r="L450" s="812">
        <v>1</v>
      </c>
      <c r="M450" s="812">
        <v>318.33333333333331</v>
      </c>
      <c r="N450" s="812">
        <v>16</v>
      </c>
      <c r="O450" s="812">
        <v>5104</v>
      </c>
      <c r="P450" s="800">
        <v>1.3361256544502618</v>
      </c>
      <c r="Q450" s="813">
        <v>319</v>
      </c>
    </row>
    <row r="451" spans="1:17" ht="14.4" customHeight="1" x14ac:dyDescent="0.3">
      <c r="A451" s="794" t="s">
        <v>591</v>
      </c>
      <c r="B451" s="795" t="s">
        <v>3509</v>
      </c>
      <c r="C451" s="795" t="s">
        <v>3374</v>
      </c>
      <c r="D451" s="795" t="s">
        <v>4170</v>
      </c>
      <c r="E451" s="795" t="s">
        <v>4171</v>
      </c>
      <c r="F451" s="812">
        <v>1</v>
      </c>
      <c r="G451" s="812">
        <v>628</v>
      </c>
      <c r="H451" s="812"/>
      <c r="I451" s="812">
        <v>628</v>
      </c>
      <c r="J451" s="812"/>
      <c r="K451" s="812"/>
      <c r="L451" s="812"/>
      <c r="M451" s="812"/>
      <c r="N451" s="812"/>
      <c r="O451" s="812"/>
      <c r="P451" s="800"/>
      <c r="Q451" s="813"/>
    </row>
    <row r="452" spans="1:17" ht="14.4" customHeight="1" x14ac:dyDescent="0.3">
      <c r="A452" s="794" t="s">
        <v>591</v>
      </c>
      <c r="B452" s="795" t="s">
        <v>3509</v>
      </c>
      <c r="C452" s="795" t="s">
        <v>3374</v>
      </c>
      <c r="D452" s="795" t="s">
        <v>4172</v>
      </c>
      <c r="E452" s="795" t="s">
        <v>4173</v>
      </c>
      <c r="F452" s="812">
        <v>7</v>
      </c>
      <c r="G452" s="812">
        <v>17780</v>
      </c>
      <c r="H452" s="812">
        <v>0.67119667799169502</v>
      </c>
      <c r="I452" s="812">
        <v>2540</v>
      </c>
      <c r="J452" s="812">
        <v>10</v>
      </c>
      <c r="K452" s="812">
        <v>26490</v>
      </c>
      <c r="L452" s="812">
        <v>1</v>
      </c>
      <c r="M452" s="812">
        <v>2649</v>
      </c>
      <c r="N452" s="812">
        <v>17</v>
      </c>
      <c r="O452" s="812">
        <v>45050</v>
      </c>
      <c r="P452" s="800">
        <v>1.700641751604379</v>
      </c>
      <c r="Q452" s="813">
        <v>2650</v>
      </c>
    </row>
    <row r="453" spans="1:17" ht="14.4" customHeight="1" x14ac:dyDescent="0.3">
      <c r="A453" s="794" t="s">
        <v>591</v>
      </c>
      <c r="B453" s="795" t="s">
        <v>3509</v>
      </c>
      <c r="C453" s="795" t="s">
        <v>3374</v>
      </c>
      <c r="D453" s="795" t="s">
        <v>4174</v>
      </c>
      <c r="E453" s="795" t="s">
        <v>4175</v>
      </c>
      <c r="F453" s="812">
        <v>2</v>
      </c>
      <c r="G453" s="812">
        <v>9210</v>
      </c>
      <c r="H453" s="812">
        <v>0.6414542415378186</v>
      </c>
      <c r="I453" s="812">
        <v>4605</v>
      </c>
      <c r="J453" s="812">
        <v>3</v>
      </c>
      <c r="K453" s="812">
        <v>14358</v>
      </c>
      <c r="L453" s="812">
        <v>1</v>
      </c>
      <c r="M453" s="812">
        <v>4786</v>
      </c>
      <c r="N453" s="812">
        <v>1</v>
      </c>
      <c r="O453" s="812">
        <v>4789</v>
      </c>
      <c r="P453" s="800">
        <v>0.3335422760830199</v>
      </c>
      <c r="Q453" s="813">
        <v>4789</v>
      </c>
    </row>
    <row r="454" spans="1:17" ht="14.4" customHeight="1" x14ac:dyDescent="0.3">
      <c r="A454" s="794" t="s">
        <v>591</v>
      </c>
      <c r="B454" s="795" t="s">
        <v>3509</v>
      </c>
      <c r="C454" s="795" t="s">
        <v>3374</v>
      </c>
      <c r="D454" s="795" t="s">
        <v>4176</v>
      </c>
      <c r="E454" s="795" t="s">
        <v>4177</v>
      </c>
      <c r="F454" s="812">
        <v>16</v>
      </c>
      <c r="G454" s="812">
        <v>87754</v>
      </c>
      <c r="H454" s="812">
        <v>0.64284877076801361</v>
      </c>
      <c r="I454" s="812">
        <v>5484.625</v>
      </c>
      <c r="J454" s="812">
        <v>24</v>
      </c>
      <c r="K454" s="812">
        <v>136508</v>
      </c>
      <c r="L454" s="812">
        <v>1</v>
      </c>
      <c r="M454" s="812">
        <v>5687.833333333333</v>
      </c>
      <c r="N454" s="812">
        <v>12</v>
      </c>
      <c r="O454" s="812">
        <v>68532</v>
      </c>
      <c r="P454" s="800">
        <v>0.50203651068069266</v>
      </c>
      <c r="Q454" s="813">
        <v>5711</v>
      </c>
    </row>
    <row r="455" spans="1:17" ht="14.4" customHeight="1" x14ac:dyDescent="0.3">
      <c r="A455" s="794" t="s">
        <v>591</v>
      </c>
      <c r="B455" s="795" t="s">
        <v>3509</v>
      </c>
      <c r="C455" s="795" t="s">
        <v>3374</v>
      </c>
      <c r="D455" s="795" t="s">
        <v>4178</v>
      </c>
      <c r="E455" s="795" t="s">
        <v>4179</v>
      </c>
      <c r="F455" s="812">
        <v>3</v>
      </c>
      <c r="G455" s="812">
        <v>7398</v>
      </c>
      <c r="H455" s="812"/>
      <c r="I455" s="812">
        <v>2466</v>
      </c>
      <c r="J455" s="812"/>
      <c r="K455" s="812"/>
      <c r="L455" s="812"/>
      <c r="M455" s="812"/>
      <c r="N455" s="812">
        <v>1</v>
      </c>
      <c r="O455" s="812">
        <v>2552</v>
      </c>
      <c r="P455" s="800"/>
      <c r="Q455" s="813">
        <v>2552</v>
      </c>
    </row>
    <row r="456" spans="1:17" ht="14.4" customHeight="1" x14ac:dyDescent="0.3">
      <c r="A456" s="794" t="s">
        <v>591</v>
      </c>
      <c r="B456" s="795" t="s">
        <v>3509</v>
      </c>
      <c r="C456" s="795" t="s">
        <v>3374</v>
      </c>
      <c r="D456" s="795" t="s">
        <v>4180</v>
      </c>
      <c r="E456" s="795" t="s">
        <v>4181</v>
      </c>
      <c r="F456" s="812">
        <v>2</v>
      </c>
      <c r="G456" s="812">
        <v>4946</v>
      </c>
      <c r="H456" s="812">
        <v>0.48528257456828883</v>
      </c>
      <c r="I456" s="812">
        <v>2473</v>
      </c>
      <c r="J456" s="812">
        <v>4</v>
      </c>
      <c r="K456" s="812">
        <v>10192</v>
      </c>
      <c r="L456" s="812">
        <v>1</v>
      </c>
      <c r="M456" s="812">
        <v>2548</v>
      </c>
      <c r="N456" s="812">
        <v>6</v>
      </c>
      <c r="O456" s="812">
        <v>15293</v>
      </c>
      <c r="P456" s="800">
        <v>1.5004905808477238</v>
      </c>
      <c r="Q456" s="813">
        <v>2548.8333333333335</v>
      </c>
    </row>
    <row r="457" spans="1:17" ht="14.4" customHeight="1" x14ac:dyDescent="0.3">
      <c r="A457" s="794" t="s">
        <v>591</v>
      </c>
      <c r="B457" s="795" t="s">
        <v>3509</v>
      </c>
      <c r="C457" s="795" t="s">
        <v>3374</v>
      </c>
      <c r="D457" s="795" t="s">
        <v>4182</v>
      </c>
      <c r="E457" s="795" t="s">
        <v>4183</v>
      </c>
      <c r="F457" s="812">
        <v>1</v>
      </c>
      <c r="G457" s="812">
        <v>4374</v>
      </c>
      <c r="H457" s="812"/>
      <c r="I457" s="812">
        <v>4374</v>
      </c>
      <c r="J457" s="812"/>
      <c r="K457" s="812"/>
      <c r="L457" s="812"/>
      <c r="M457" s="812"/>
      <c r="N457" s="812">
        <v>7</v>
      </c>
      <c r="O457" s="812">
        <v>32002</v>
      </c>
      <c r="P457" s="800"/>
      <c r="Q457" s="813">
        <v>4571.7142857142853</v>
      </c>
    </row>
    <row r="458" spans="1:17" ht="14.4" customHeight="1" x14ac:dyDescent="0.3">
      <c r="A458" s="794" t="s">
        <v>591</v>
      </c>
      <c r="B458" s="795" t="s">
        <v>3509</v>
      </c>
      <c r="C458" s="795" t="s">
        <v>3374</v>
      </c>
      <c r="D458" s="795" t="s">
        <v>4184</v>
      </c>
      <c r="E458" s="795" t="s">
        <v>4185</v>
      </c>
      <c r="F458" s="812">
        <v>3</v>
      </c>
      <c r="G458" s="812">
        <v>10605</v>
      </c>
      <c r="H458" s="812">
        <v>0.47641509433962265</v>
      </c>
      <c r="I458" s="812">
        <v>3535</v>
      </c>
      <c r="J458" s="812">
        <v>6</v>
      </c>
      <c r="K458" s="812">
        <v>22260</v>
      </c>
      <c r="L458" s="812">
        <v>1</v>
      </c>
      <c r="M458" s="812">
        <v>3710</v>
      </c>
      <c r="N458" s="812">
        <v>4</v>
      </c>
      <c r="O458" s="812">
        <v>14852</v>
      </c>
      <c r="P458" s="800">
        <v>0.66720575022461814</v>
      </c>
      <c r="Q458" s="813">
        <v>3713</v>
      </c>
    </row>
    <row r="459" spans="1:17" ht="14.4" customHeight="1" x14ac:dyDescent="0.3">
      <c r="A459" s="794" t="s">
        <v>591</v>
      </c>
      <c r="B459" s="795" t="s">
        <v>3509</v>
      </c>
      <c r="C459" s="795" t="s">
        <v>3374</v>
      </c>
      <c r="D459" s="795" t="s">
        <v>4186</v>
      </c>
      <c r="E459" s="795" t="s">
        <v>4187</v>
      </c>
      <c r="F459" s="812">
        <v>3</v>
      </c>
      <c r="G459" s="812">
        <v>9033</v>
      </c>
      <c r="H459" s="812">
        <v>1.4517839922854388</v>
      </c>
      <c r="I459" s="812">
        <v>3011</v>
      </c>
      <c r="J459" s="812">
        <v>2</v>
      </c>
      <c r="K459" s="812">
        <v>6222</v>
      </c>
      <c r="L459" s="812">
        <v>1</v>
      </c>
      <c r="M459" s="812">
        <v>3111</v>
      </c>
      <c r="N459" s="812">
        <v>5</v>
      </c>
      <c r="O459" s="812">
        <v>15565</v>
      </c>
      <c r="P459" s="800">
        <v>2.5016072002571521</v>
      </c>
      <c r="Q459" s="813">
        <v>3113</v>
      </c>
    </row>
    <row r="460" spans="1:17" ht="14.4" customHeight="1" x14ac:dyDescent="0.3">
      <c r="A460" s="794" t="s">
        <v>591</v>
      </c>
      <c r="B460" s="795" t="s">
        <v>3509</v>
      </c>
      <c r="C460" s="795" t="s">
        <v>3374</v>
      </c>
      <c r="D460" s="795" t="s">
        <v>4188</v>
      </c>
      <c r="E460" s="795" t="s">
        <v>4189</v>
      </c>
      <c r="F460" s="812">
        <v>9</v>
      </c>
      <c r="G460" s="812">
        <v>25479</v>
      </c>
      <c r="H460" s="812">
        <v>1.4488229273285569</v>
      </c>
      <c r="I460" s="812">
        <v>2831</v>
      </c>
      <c r="J460" s="812">
        <v>6</v>
      </c>
      <c r="K460" s="812">
        <v>17586</v>
      </c>
      <c r="L460" s="812">
        <v>1</v>
      </c>
      <c r="M460" s="812">
        <v>2931</v>
      </c>
      <c r="N460" s="812">
        <v>9</v>
      </c>
      <c r="O460" s="812">
        <v>26397</v>
      </c>
      <c r="P460" s="800">
        <v>1.5010235414534288</v>
      </c>
      <c r="Q460" s="813">
        <v>2933</v>
      </c>
    </row>
    <row r="461" spans="1:17" ht="14.4" customHeight="1" x14ac:dyDescent="0.3">
      <c r="A461" s="794" t="s">
        <v>591</v>
      </c>
      <c r="B461" s="795" t="s">
        <v>3509</v>
      </c>
      <c r="C461" s="795" t="s">
        <v>3374</v>
      </c>
      <c r="D461" s="795" t="s">
        <v>4190</v>
      </c>
      <c r="E461" s="795" t="s">
        <v>4191</v>
      </c>
      <c r="F461" s="812">
        <v>2</v>
      </c>
      <c r="G461" s="812">
        <v>7590</v>
      </c>
      <c r="H461" s="812">
        <v>0.64213197969543145</v>
      </c>
      <c r="I461" s="812">
        <v>3795</v>
      </c>
      <c r="J461" s="812">
        <v>3</v>
      </c>
      <c r="K461" s="812">
        <v>11820</v>
      </c>
      <c r="L461" s="812">
        <v>1</v>
      </c>
      <c r="M461" s="812">
        <v>3940</v>
      </c>
      <c r="N461" s="812">
        <v>3</v>
      </c>
      <c r="O461" s="812">
        <v>11826</v>
      </c>
      <c r="P461" s="800">
        <v>1.0005076142131979</v>
      </c>
      <c r="Q461" s="813">
        <v>3942</v>
      </c>
    </row>
    <row r="462" spans="1:17" ht="14.4" customHeight="1" x14ac:dyDescent="0.3">
      <c r="A462" s="794" t="s">
        <v>591</v>
      </c>
      <c r="B462" s="795" t="s">
        <v>3509</v>
      </c>
      <c r="C462" s="795" t="s">
        <v>3374</v>
      </c>
      <c r="D462" s="795" t="s">
        <v>4192</v>
      </c>
      <c r="E462" s="795" t="s">
        <v>4193</v>
      </c>
      <c r="F462" s="812">
        <v>4</v>
      </c>
      <c r="G462" s="812">
        <v>3904</v>
      </c>
      <c r="H462" s="812">
        <v>3.9000999000998999</v>
      </c>
      <c r="I462" s="812">
        <v>976</v>
      </c>
      <c r="J462" s="812">
        <v>1</v>
      </c>
      <c r="K462" s="812">
        <v>1001</v>
      </c>
      <c r="L462" s="812">
        <v>1</v>
      </c>
      <c r="M462" s="812">
        <v>1001</v>
      </c>
      <c r="N462" s="812">
        <v>3</v>
      </c>
      <c r="O462" s="812">
        <v>3006</v>
      </c>
      <c r="P462" s="800">
        <v>3.0029970029970028</v>
      </c>
      <c r="Q462" s="813">
        <v>1002</v>
      </c>
    </row>
    <row r="463" spans="1:17" ht="14.4" customHeight="1" x14ac:dyDescent="0.3">
      <c r="A463" s="794" t="s">
        <v>591</v>
      </c>
      <c r="B463" s="795" t="s">
        <v>3509</v>
      </c>
      <c r="C463" s="795" t="s">
        <v>3374</v>
      </c>
      <c r="D463" s="795" t="s">
        <v>3457</v>
      </c>
      <c r="E463" s="795" t="s">
        <v>3458</v>
      </c>
      <c r="F463" s="812">
        <v>1</v>
      </c>
      <c r="G463" s="812">
        <v>114</v>
      </c>
      <c r="H463" s="812">
        <v>0.47499999999999998</v>
      </c>
      <c r="I463" s="812">
        <v>114</v>
      </c>
      <c r="J463" s="812">
        <v>2</v>
      </c>
      <c r="K463" s="812">
        <v>240</v>
      </c>
      <c r="L463" s="812">
        <v>1</v>
      </c>
      <c r="M463" s="812">
        <v>120</v>
      </c>
      <c r="N463" s="812"/>
      <c r="O463" s="812"/>
      <c r="P463" s="800"/>
      <c r="Q463" s="813"/>
    </row>
    <row r="464" spans="1:17" ht="14.4" customHeight="1" x14ac:dyDescent="0.3">
      <c r="A464" s="794" t="s">
        <v>591</v>
      </c>
      <c r="B464" s="795" t="s">
        <v>3509</v>
      </c>
      <c r="C464" s="795" t="s">
        <v>3374</v>
      </c>
      <c r="D464" s="795" t="s">
        <v>3461</v>
      </c>
      <c r="E464" s="795" t="s">
        <v>3462</v>
      </c>
      <c r="F464" s="812">
        <v>1</v>
      </c>
      <c r="G464" s="812">
        <v>935</v>
      </c>
      <c r="H464" s="812"/>
      <c r="I464" s="812">
        <v>935</v>
      </c>
      <c r="J464" s="812"/>
      <c r="K464" s="812"/>
      <c r="L464" s="812"/>
      <c r="M464" s="812"/>
      <c r="N464" s="812"/>
      <c r="O464" s="812"/>
      <c r="P464" s="800"/>
      <c r="Q464" s="813"/>
    </row>
    <row r="465" spans="1:17" ht="14.4" customHeight="1" x14ac:dyDescent="0.3">
      <c r="A465" s="794" t="s">
        <v>591</v>
      </c>
      <c r="B465" s="795" t="s">
        <v>3509</v>
      </c>
      <c r="C465" s="795" t="s">
        <v>3374</v>
      </c>
      <c r="D465" s="795" t="s">
        <v>4194</v>
      </c>
      <c r="E465" s="795" t="s">
        <v>4195</v>
      </c>
      <c r="F465" s="812">
        <v>1</v>
      </c>
      <c r="G465" s="812">
        <v>5853</v>
      </c>
      <c r="H465" s="812">
        <v>0.32146976437633878</v>
      </c>
      <c r="I465" s="812">
        <v>5853</v>
      </c>
      <c r="J465" s="812">
        <v>3</v>
      </c>
      <c r="K465" s="812">
        <v>18207</v>
      </c>
      <c r="L465" s="812">
        <v>1</v>
      </c>
      <c r="M465" s="812">
        <v>6069</v>
      </c>
      <c r="N465" s="812">
        <v>4</v>
      </c>
      <c r="O465" s="812">
        <v>24292</v>
      </c>
      <c r="P465" s="800">
        <v>1.3342121162190366</v>
      </c>
      <c r="Q465" s="813">
        <v>6073</v>
      </c>
    </row>
    <row r="466" spans="1:17" ht="14.4" customHeight="1" x14ac:dyDescent="0.3">
      <c r="A466" s="794" t="s">
        <v>591</v>
      </c>
      <c r="B466" s="795" t="s">
        <v>3509</v>
      </c>
      <c r="C466" s="795" t="s">
        <v>3374</v>
      </c>
      <c r="D466" s="795" t="s">
        <v>708</v>
      </c>
      <c r="E466" s="795" t="s">
        <v>4196</v>
      </c>
      <c r="F466" s="812">
        <v>2</v>
      </c>
      <c r="G466" s="812">
        <v>2386</v>
      </c>
      <c r="H466" s="812"/>
      <c r="I466" s="812">
        <v>1193</v>
      </c>
      <c r="J466" s="812"/>
      <c r="K466" s="812"/>
      <c r="L466" s="812"/>
      <c r="M466" s="812"/>
      <c r="N466" s="812"/>
      <c r="O466" s="812"/>
      <c r="P466" s="800"/>
      <c r="Q466" s="813"/>
    </row>
    <row r="467" spans="1:17" ht="14.4" customHeight="1" x14ac:dyDescent="0.3">
      <c r="A467" s="794" t="s">
        <v>591</v>
      </c>
      <c r="B467" s="795" t="s">
        <v>3509</v>
      </c>
      <c r="C467" s="795" t="s">
        <v>3374</v>
      </c>
      <c r="D467" s="795" t="s">
        <v>4197</v>
      </c>
      <c r="E467" s="795" t="s">
        <v>4198</v>
      </c>
      <c r="F467" s="812">
        <v>1</v>
      </c>
      <c r="G467" s="812">
        <v>8050</v>
      </c>
      <c r="H467" s="812">
        <v>0.96917890681435104</v>
      </c>
      <c r="I467" s="812">
        <v>8050</v>
      </c>
      <c r="J467" s="812">
        <v>1</v>
      </c>
      <c r="K467" s="812">
        <v>8306</v>
      </c>
      <c r="L467" s="812">
        <v>1</v>
      </c>
      <c r="M467" s="812">
        <v>8306</v>
      </c>
      <c r="N467" s="812">
        <v>1</v>
      </c>
      <c r="O467" s="812">
        <v>8312</v>
      </c>
      <c r="P467" s="800">
        <v>1.0007223693715386</v>
      </c>
      <c r="Q467" s="813">
        <v>8312</v>
      </c>
    </row>
    <row r="468" spans="1:17" ht="14.4" customHeight="1" x14ac:dyDescent="0.3">
      <c r="A468" s="794" t="s">
        <v>591</v>
      </c>
      <c r="B468" s="795" t="s">
        <v>3509</v>
      </c>
      <c r="C468" s="795" t="s">
        <v>3374</v>
      </c>
      <c r="D468" s="795" t="s">
        <v>4199</v>
      </c>
      <c r="E468" s="795" t="s">
        <v>4200</v>
      </c>
      <c r="F468" s="812"/>
      <c r="G468" s="812"/>
      <c r="H468" s="812"/>
      <c r="I468" s="812"/>
      <c r="J468" s="812">
        <v>2</v>
      </c>
      <c r="K468" s="812">
        <v>0</v>
      </c>
      <c r="L468" s="812"/>
      <c r="M468" s="812">
        <v>0</v>
      </c>
      <c r="N468" s="812">
        <v>3</v>
      </c>
      <c r="O468" s="812">
        <v>0</v>
      </c>
      <c r="P468" s="800"/>
      <c r="Q468" s="813">
        <v>0</v>
      </c>
    </row>
    <row r="469" spans="1:17" ht="14.4" customHeight="1" x14ac:dyDescent="0.3">
      <c r="A469" s="794" t="s">
        <v>591</v>
      </c>
      <c r="B469" s="795" t="s">
        <v>3509</v>
      </c>
      <c r="C469" s="795" t="s">
        <v>3374</v>
      </c>
      <c r="D469" s="795" t="s">
        <v>4201</v>
      </c>
      <c r="E469" s="795" t="s">
        <v>4202</v>
      </c>
      <c r="F469" s="812">
        <v>2</v>
      </c>
      <c r="G469" s="812">
        <v>1724</v>
      </c>
      <c r="H469" s="812"/>
      <c r="I469" s="812">
        <v>862</v>
      </c>
      <c r="J469" s="812"/>
      <c r="K469" s="812"/>
      <c r="L469" s="812"/>
      <c r="M469" s="812"/>
      <c r="N469" s="812">
        <v>1</v>
      </c>
      <c r="O469" s="812">
        <v>892</v>
      </c>
      <c r="P469" s="800"/>
      <c r="Q469" s="813">
        <v>892</v>
      </c>
    </row>
    <row r="470" spans="1:17" ht="14.4" customHeight="1" x14ac:dyDescent="0.3">
      <c r="A470" s="794" t="s">
        <v>591</v>
      </c>
      <c r="B470" s="795" t="s">
        <v>3509</v>
      </c>
      <c r="C470" s="795" t="s">
        <v>3374</v>
      </c>
      <c r="D470" s="795" t="s">
        <v>4203</v>
      </c>
      <c r="E470" s="795" t="s">
        <v>4204</v>
      </c>
      <c r="F470" s="812">
        <v>2</v>
      </c>
      <c r="G470" s="812">
        <v>1381</v>
      </c>
      <c r="H470" s="812">
        <v>1.9450704225352113</v>
      </c>
      <c r="I470" s="812">
        <v>690.5</v>
      </c>
      <c r="J470" s="812">
        <v>1</v>
      </c>
      <c r="K470" s="812">
        <v>710</v>
      </c>
      <c r="L470" s="812">
        <v>1</v>
      </c>
      <c r="M470" s="812">
        <v>710</v>
      </c>
      <c r="N470" s="812">
        <v>2</v>
      </c>
      <c r="O470" s="812">
        <v>2834</v>
      </c>
      <c r="P470" s="800">
        <v>3.9915492957746479</v>
      </c>
      <c r="Q470" s="813">
        <v>1417</v>
      </c>
    </row>
    <row r="471" spans="1:17" ht="14.4" customHeight="1" x14ac:dyDescent="0.3">
      <c r="A471" s="794" t="s">
        <v>591</v>
      </c>
      <c r="B471" s="795" t="s">
        <v>3509</v>
      </c>
      <c r="C471" s="795" t="s">
        <v>3374</v>
      </c>
      <c r="D471" s="795" t="s">
        <v>3467</v>
      </c>
      <c r="E471" s="795" t="s">
        <v>3468</v>
      </c>
      <c r="F471" s="812">
        <v>2</v>
      </c>
      <c r="G471" s="812">
        <v>778</v>
      </c>
      <c r="H471" s="812">
        <v>0.64995822890559729</v>
      </c>
      <c r="I471" s="812">
        <v>389</v>
      </c>
      <c r="J471" s="812">
        <v>3</v>
      </c>
      <c r="K471" s="812">
        <v>1197</v>
      </c>
      <c r="L471" s="812">
        <v>1</v>
      </c>
      <c r="M471" s="812">
        <v>399</v>
      </c>
      <c r="N471" s="812">
        <v>3</v>
      </c>
      <c r="O471" s="812">
        <v>1200</v>
      </c>
      <c r="P471" s="800">
        <v>1.0025062656641603</v>
      </c>
      <c r="Q471" s="813">
        <v>400</v>
      </c>
    </row>
    <row r="472" spans="1:17" ht="14.4" customHeight="1" x14ac:dyDescent="0.3">
      <c r="A472" s="794" t="s">
        <v>591</v>
      </c>
      <c r="B472" s="795" t="s">
        <v>3509</v>
      </c>
      <c r="C472" s="795" t="s">
        <v>3374</v>
      </c>
      <c r="D472" s="795" t="s">
        <v>4205</v>
      </c>
      <c r="E472" s="795" t="s">
        <v>4206</v>
      </c>
      <c r="F472" s="812">
        <v>30</v>
      </c>
      <c r="G472" s="812">
        <v>9538</v>
      </c>
      <c r="H472" s="812">
        <v>1.2528569552081965</v>
      </c>
      <c r="I472" s="812">
        <v>317.93333333333334</v>
      </c>
      <c r="J472" s="812">
        <v>23</v>
      </c>
      <c r="K472" s="812">
        <v>7613</v>
      </c>
      <c r="L472" s="812">
        <v>1</v>
      </c>
      <c r="M472" s="812">
        <v>331</v>
      </c>
      <c r="N472" s="812">
        <v>26</v>
      </c>
      <c r="O472" s="812">
        <v>8606</v>
      </c>
      <c r="P472" s="800">
        <v>1.1304347826086956</v>
      </c>
      <c r="Q472" s="813">
        <v>331</v>
      </c>
    </row>
    <row r="473" spans="1:17" ht="14.4" customHeight="1" x14ac:dyDescent="0.3">
      <c r="A473" s="794" t="s">
        <v>591</v>
      </c>
      <c r="B473" s="795" t="s">
        <v>3509</v>
      </c>
      <c r="C473" s="795" t="s">
        <v>3374</v>
      </c>
      <c r="D473" s="795" t="s">
        <v>4207</v>
      </c>
      <c r="E473" s="795" t="s">
        <v>4208</v>
      </c>
      <c r="F473" s="812"/>
      <c r="G473" s="812"/>
      <c r="H473" s="812"/>
      <c r="I473" s="812"/>
      <c r="J473" s="812">
        <v>1</v>
      </c>
      <c r="K473" s="812">
        <v>1033</v>
      </c>
      <c r="L473" s="812">
        <v>1</v>
      </c>
      <c r="M473" s="812">
        <v>1033</v>
      </c>
      <c r="N473" s="812">
        <v>1</v>
      </c>
      <c r="O473" s="812">
        <v>1034</v>
      </c>
      <c r="P473" s="800">
        <v>1.0009680542110357</v>
      </c>
      <c r="Q473" s="813">
        <v>1034</v>
      </c>
    </row>
    <row r="474" spans="1:17" ht="14.4" customHeight="1" x14ac:dyDescent="0.3">
      <c r="A474" s="794" t="s">
        <v>591</v>
      </c>
      <c r="B474" s="795" t="s">
        <v>3509</v>
      </c>
      <c r="C474" s="795" t="s">
        <v>3374</v>
      </c>
      <c r="D474" s="795" t="s">
        <v>4209</v>
      </c>
      <c r="E474" s="795" t="s">
        <v>4210</v>
      </c>
      <c r="F474" s="812">
        <v>3</v>
      </c>
      <c r="G474" s="812">
        <v>2445</v>
      </c>
      <c r="H474" s="812"/>
      <c r="I474" s="812">
        <v>815</v>
      </c>
      <c r="J474" s="812"/>
      <c r="K474" s="812"/>
      <c r="L474" s="812"/>
      <c r="M474" s="812"/>
      <c r="N474" s="812"/>
      <c r="O474" s="812"/>
      <c r="P474" s="800"/>
      <c r="Q474" s="813"/>
    </row>
    <row r="475" spans="1:17" ht="14.4" customHeight="1" x14ac:dyDescent="0.3">
      <c r="A475" s="794" t="s">
        <v>591</v>
      </c>
      <c r="B475" s="795" t="s">
        <v>3509</v>
      </c>
      <c r="C475" s="795" t="s">
        <v>3374</v>
      </c>
      <c r="D475" s="795" t="s">
        <v>4211</v>
      </c>
      <c r="E475" s="795" t="s">
        <v>4212</v>
      </c>
      <c r="F475" s="812"/>
      <c r="G475" s="812"/>
      <c r="H475" s="812"/>
      <c r="I475" s="812"/>
      <c r="J475" s="812"/>
      <c r="K475" s="812"/>
      <c r="L475" s="812"/>
      <c r="M475" s="812"/>
      <c r="N475" s="812">
        <v>2</v>
      </c>
      <c r="O475" s="812">
        <v>3094</v>
      </c>
      <c r="P475" s="800"/>
      <c r="Q475" s="813">
        <v>1547</v>
      </c>
    </row>
    <row r="476" spans="1:17" ht="14.4" customHeight="1" x14ac:dyDescent="0.3">
      <c r="A476" s="794" t="s">
        <v>591</v>
      </c>
      <c r="B476" s="795" t="s">
        <v>3509</v>
      </c>
      <c r="C476" s="795" t="s">
        <v>3374</v>
      </c>
      <c r="D476" s="795" t="s">
        <v>4213</v>
      </c>
      <c r="E476" s="795" t="s">
        <v>4214</v>
      </c>
      <c r="F476" s="812">
        <v>1</v>
      </c>
      <c r="G476" s="812">
        <v>3932</v>
      </c>
      <c r="H476" s="812"/>
      <c r="I476" s="812">
        <v>3932</v>
      </c>
      <c r="J476" s="812"/>
      <c r="K476" s="812"/>
      <c r="L476" s="812"/>
      <c r="M476" s="812"/>
      <c r="N476" s="812">
        <v>2</v>
      </c>
      <c r="O476" s="812">
        <v>8158</v>
      </c>
      <c r="P476" s="800"/>
      <c r="Q476" s="813">
        <v>4079</v>
      </c>
    </row>
    <row r="477" spans="1:17" ht="14.4" customHeight="1" x14ac:dyDescent="0.3">
      <c r="A477" s="794" t="s">
        <v>591</v>
      </c>
      <c r="B477" s="795" t="s">
        <v>3509</v>
      </c>
      <c r="C477" s="795" t="s">
        <v>3374</v>
      </c>
      <c r="D477" s="795" t="s">
        <v>4215</v>
      </c>
      <c r="E477" s="795" t="s">
        <v>4216</v>
      </c>
      <c r="F477" s="812">
        <v>14</v>
      </c>
      <c r="G477" s="812">
        <v>18620</v>
      </c>
      <c r="H477" s="812">
        <v>0.79369138959931795</v>
      </c>
      <c r="I477" s="812">
        <v>1330</v>
      </c>
      <c r="J477" s="812">
        <v>17</v>
      </c>
      <c r="K477" s="812">
        <v>23460</v>
      </c>
      <c r="L477" s="812">
        <v>1</v>
      </c>
      <c r="M477" s="812">
        <v>1380</v>
      </c>
      <c r="N477" s="812">
        <v>20</v>
      </c>
      <c r="O477" s="812">
        <v>27620</v>
      </c>
      <c r="P477" s="800">
        <v>1.1773231031543052</v>
      </c>
      <c r="Q477" s="813">
        <v>1381</v>
      </c>
    </row>
    <row r="478" spans="1:17" ht="14.4" customHeight="1" x14ac:dyDescent="0.3">
      <c r="A478" s="794" t="s">
        <v>591</v>
      </c>
      <c r="B478" s="795" t="s">
        <v>3509</v>
      </c>
      <c r="C478" s="795" t="s">
        <v>3374</v>
      </c>
      <c r="D478" s="795" t="s">
        <v>4217</v>
      </c>
      <c r="E478" s="795" t="s">
        <v>4218</v>
      </c>
      <c r="F478" s="812">
        <v>6</v>
      </c>
      <c r="G478" s="812">
        <v>8658</v>
      </c>
      <c r="H478" s="812">
        <v>1.9343163538873995</v>
      </c>
      <c r="I478" s="812">
        <v>1443</v>
      </c>
      <c r="J478" s="812">
        <v>3</v>
      </c>
      <c r="K478" s="812">
        <v>4476</v>
      </c>
      <c r="L478" s="812">
        <v>1</v>
      </c>
      <c r="M478" s="812">
        <v>1492</v>
      </c>
      <c r="N478" s="812">
        <v>2</v>
      </c>
      <c r="O478" s="812">
        <v>2986</v>
      </c>
      <c r="P478" s="800">
        <v>0.66711349419124222</v>
      </c>
      <c r="Q478" s="813">
        <v>1493</v>
      </c>
    </row>
    <row r="479" spans="1:17" ht="14.4" customHeight="1" x14ac:dyDescent="0.3">
      <c r="A479" s="794" t="s">
        <v>591</v>
      </c>
      <c r="B479" s="795" t="s">
        <v>3509</v>
      </c>
      <c r="C479" s="795" t="s">
        <v>3374</v>
      </c>
      <c r="D479" s="795" t="s">
        <v>3471</v>
      </c>
      <c r="E479" s="795" t="s">
        <v>3472</v>
      </c>
      <c r="F479" s="812"/>
      <c r="G479" s="812"/>
      <c r="H479" s="812"/>
      <c r="I479" s="812"/>
      <c r="J479" s="812"/>
      <c r="K479" s="812"/>
      <c r="L479" s="812"/>
      <c r="M479" s="812"/>
      <c r="N479" s="812">
        <v>2</v>
      </c>
      <c r="O479" s="812">
        <v>2222</v>
      </c>
      <c r="P479" s="800"/>
      <c r="Q479" s="813">
        <v>1111</v>
      </c>
    </row>
    <row r="480" spans="1:17" ht="14.4" customHeight="1" x14ac:dyDescent="0.3">
      <c r="A480" s="794" t="s">
        <v>591</v>
      </c>
      <c r="B480" s="795" t="s">
        <v>3509</v>
      </c>
      <c r="C480" s="795" t="s">
        <v>3374</v>
      </c>
      <c r="D480" s="795" t="s">
        <v>4219</v>
      </c>
      <c r="E480" s="795" t="s">
        <v>4220</v>
      </c>
      <c r="F480" s="812">
        <v>5</v>
      </c>
      <c r="G480" s="812">
        <v>6060</v>
      </c>
      <c r="H480" s="812">
        <v>4.8949919224555734</v>
      </c>
      <c r="I480" s="812">
        <v>1212</v>
      </c>
      <c r="J480" s="812">
        <v>1</v>
      </c>
      <c r="K480" s="812">
        <v>1238</v>
      </c>
      <c r="L480" s="812">
        <v>1</v>
      </c>
      <c r="M480" s="812">
        <v>1238</v>
      </c>
      <c r="N480" s="812">
        <v>2</v>
      </c>
      <c r="O480" s="812">
        <v>2478</v>
      </c>
      <c r="P480" s="800">
        <v>2.0016155088852989</v>
      </c>
      <c r="Q480" s="813">
        <v>1239</v>
      </c>
    </row>
    <row r="481" spans="1:17" ht="14.4" customHeight="1" x14ac:dyDescent="0.3">
      <c r="A481" s="794" t="s">
        <v>591</v>
      </c>
      <c r="B481" s="795" t="s">
        <v>3509</v>
      </c>
      <c r="C481" s="795" t="s">
        <v>3374</v>
      </c>
      <c r="D481" s="795" t="s">
        <v>3473</v>
      </c>
      <c r="E481" s="795" t="s">
        <v>3474</v>
      </c>
      <c r="F481" s="812"/>
      <c r="G481" s="812"/>
      <c r="H481" s="812"/>
      <c r="I481" s="812"/>
      <c r="J481" s="812">
        <v>1</v>
      </c>
      <c r="K481" s="812">
        <v>1369</v>
      </c>
      <c r="L481" s="812">
        <v>1</v>
      </c>
      <c r="M481" s="812">
        <v>1369</v>
      </c>
      <c r="N481" s="812">
        <v>1</v>
      </c>
      <c r="O481" s="812">
        <v>1370</v>
      </c>
      <c r="P481" s="800">
        <v>1.0007304601899196</v>
      </c>
      <c r="Q481" s="813">
        <v>1370</v>
      </c>
    </row>
    <row r="482" spans="1:17" ht="14.4" customHeight="1" x14ac:dyDescent="0.3">
      <c r="A482" s="794" t="s">
        <v>591</v>
      </c>
      <c r="B482" s="795" t="s">
        <v>3509</v>
      </c>
      <c r="C482" s="795" t="s">
        <v>3374</v>
      </c>
      <c r="D482" s="795" t="s">
        <v>4221</v>
      </c>
      <c r="E482" s="795" t="s">
        <v>4222</v>
      </c>
      <c r="F482" s="812"/>
      <c r="G482" s="812"/>
      <c r="H482" s="812"/>
      <c r="I482" s="812"/>
      <c r="J482" s="812"/>
      <c r="K482" s="812"/>
      <c r="L482" s="812"/>
      <c r="M482" s="812"/>
      <c r="N482" s="812">
        <v>1</v>
      </c>
      <c r="O482" s="812">
        <v>2621</v>
      </c>
      <c r="P482" s="800"/>
      <c r="Q482" s="813">
        <v>2621</v>
      </c>
    </row>
    <row r="483" spans="1:17" ht="14.4" customHeight="1" x14ac:dyDescent="0.3">
      <c r="A483" s="794" t="s">
        <v>591</v>
      </c>
      <c r="B483" s="795" t="s">
        <v>3509</v>
      </c>
      <c r="C483" s="795" t="s">
        <v>3374</v>
      </c>
      <c r="D483" s="795" t="s">
        <v>4223</v>
      </c>
      <c r="E483" s="795" t="s">
        <v>4224</v>
      </c>
      <c r="F483" s="812"/>
      <c r="G483" s="812"/>
      <c r="H483" s="812"/>
      <c r="I483" s="812"/>
      <c r="J483" s="812"/>
      <c r="K483" s="812"/>
      <c r="L483" s="812"/>
      <c r="M483" s="812"/>
      <c r="N483" s="812">
        <v>2</v>
      </c>
      <c r="O483" s="812">
        <v>3154</v>
      </c>
      <c r="P483" s="800"/>
      <c r="Q483" s="813">
        <v>1577</v>
      </c>
    </row>
    <row r="484" spans="1:17" ht="14.4" customHeight="1" x14ac:dyDescent="0.3">
      <c r="A484" s="794" t="s">
        <v>591</v>
      </c>
      <c r="B484" s="795" t="s">
        <v>3509</v>
      </c>
      <c r="C484" s="795" t="s">
        <v>3374</v>
      </c>
      <c r="D484" s="795" t="s">
        <v>4225</v>
      </c>
      <c r="E484" s="795" t="s">
        <v>4226</v>
      </c>
      <c r="F484" s="812">
        <v>5</v>
      </c>
      <c r="G484" s="812">
        <v>24960</v>
      </c>
      <c r="H484" s="812">
        <v>0.40077071290944122</v>
      </c>
      <c r="I484" s="812">
        <v>4992</v>
      </c>
      <c r="J484" s="812">
        <v>12</v>
      </c>
      <c r="K484" s="812">
        <v>62280</v>
      </c>
      <c r="L484" s="812">
        <v>1</v>
      </c>
      <c r="M484" s="812">
        <v>5190</v>
      </c>
      <c r="N484" s="812">
        <v>5</v>
      </c>
      <c r="O484" s="812">
        <v>26060</v>
      </c>
      <c r="P484" s="800">
        <v>0.41843288375080284</v>
      </c>
      <c r="Q484" s="813">
        <v>5212</v>
      </c>
    </row>
    <row r="485" spans="1:17" ht="14.4" customHeight="1" x14ac:dyDescent="0.3">
      <c r="A485" s="794" t="s">
        <v>591</v>
      </c>
      <c r="B485" s="795" t="s">
        <v>3509</v>
      </c>
      <c r="C485" s="795" t="s">
        <v>3374</v>
      </c>
      <c r="D485" s="795" t="s">
        <v>4227</v>
      </c>
      <c r="E485" s="795" t="s">
        <v>4228</v>
      </c>
      <c r="F485" s="812">
        <v>1</v>
      </c>
      <c r="G485" s="812">
        <v>2735</v>
      </c>
      <c r="H485" s="812"/>
      <c r="I485" s="812">
        <v>2735</v>
      </c>
      <c r="J485" s="812"/>
      <c r="K485" s="812"/>
      <c r="L485" s="812"/>
      <c r="M485" s="812"/>
      <c r="N485" s="812"/>
      <c r="O485" s="812"/>
      <c r="P485" s="800"/>
      <c r="Q485" s="813"/>
    </row>
    <row r="486" spans="1:17" ht="14.4" customHeight="1" x14ac:dyDescent="0.3">
      <c r="A486" s="794" t="s">
        <v>591</v>
      </c>
      <c r="B486" s="795" t="s">
        <v>3509</v>
      </c>
      <c r="C486" s="795" t="s">
        <v>3374</v>
      </c>
      <c r="D486" s="795" t="s">
        <v>4229</v>
      </c>
      <c r="E486" s="795" t="s">
        <v>4230</v>
      </c>
      <c r="F486" s="812">
        <v>2</v>
      </c>
      <c r="G486" s="812">
        <v>4628</v>
      </c>
      <c r="H486" s="812">
        <v>1.9388353581901969</v>
      </c>
      <c r="I486" s="812">
        <v>2314</v>
      </c>
      <c r="J486" s="812">
        <v>1</v>
      </c>
      <c r="K486" s="812">
        <v>2387</v>
      </c>
      <c r="L486" s="812">
        <v>1</v>
      </c>
      <c r="M486" s="812">
        <v>2387</v>
      </c>
      <c r="N486" s="812"/>
      <c r="O486" s="812"/>
      <c r="P486" s="800"/>
      <c r="Q486" s="813"/>
    </row>
    <row r="487" spans="1:17" ht="14.4" customHeight="1" x14ac:dyDescent="0.3">
      <c r="A487" s="794" t="s">
        <v>591</v>
      </c>
      <c r="B487" s="795" t="s">
        <v>3509</v>
      </c>
      <c r="C487" s="795" t="s">
        <v>3374</v>
      </c>
      <c r="D487" s="795" t="s">
        <v>4231</v>
      </c>
      <c r="E487" s="795" t="s">
        <v>4232</v>
      </c>
      <c r="F487" s="812"/>
      <c r="G487" s="812"/>
      <c r="H487" s="812"/>
      <c r="I487" s="812"/>
      <c r="J487" s="812">
        <v>1</v>
      </c>
      <c r="K487" s="812">
        <v>120</v>
      </c>
      <c r="L487" s="812">
        <v>1</v>
      </c>
      <c r="M487" s="812">
        <v>120</v>
      </c>
      <c r="N487" s="812"/>
      <c r="O487" s="812"/>
      <c r="P487" s="800"/>
      <c r="Q487" s="813"/>
    </row>
    <row r="488" spans="1:17" ht="14.4" customHeight="1" x14ac:dyDescent="0.3">
      <c r="A488" s="794" t="s">
        <v>591</v>
      </c>
      <c r="B488" s="795" t="s">
        <v>3509</v>
      </c>
      <c r="C488" s="795" t="s">
        <v>3374</v>
      </c>
      <c r="D488" s="795" t="s">
        <v>3550</v>
      </c>
      <c r="E488" s="795" t="s">
        <v>3551</v>
      </c>
      <c r="F488" s="812">
        <v>1</v>
      </c>
      <c r="G488" s="812">
        <v>6056</v>
      </c>
      <c r="H488" s="812"/>
      <c r="I488" s="812">
        <v>6056</v>
      </c>
      <c r="J488" s="812"/>
      <c r="K488" s="812"/>
      <c r="L488" s="812"/>
      <c r="M488" s="812"/>
      <c r="N488" s="812"/>
      <c r="O488" s="812"/>
      <c r="P488" s="800"/>
      <c r="Q488" s="813"/>
    </row>
    <row r="489" spans="1:17" ht="14.4" customHeight="1" x14ac:dyDescent="0.3">
      <c r="A489" s="794" t="s">
        <v>591</v>
      </c>
      <c r="B489" s="795" t="s">
        <v>3509</v>
      </c>
      <c r="C489" s="795" t="s">
        <v>3374</v>
      </c>
      <c r="D489" s="795" t="s">
        <v>4233</v>
      </c>
      <c r="E489" s="795" t="s">
        <v>4234</v>
      </c>
      <c r="F489" s="812">
        <v>1</v>
      </c>
      <c r="G489" s="812">
        <v>543</v>
      </c>
      <c r="H489" s="812">
        <v>0.97661870503597126</v>
      </c>
      <c r="I489" s="812">
        <v>543</v>
      </c>
      <c r="J489" s="812">
        <v>1</v>
      </c>
      <c r="K489" s="812">
        <v>556</v>
      </c>
      <c r="L489" s="812">
        <v>1</v>
      </c>
      <c r="M489" s="812">
        <v>556</v>
      </c>
      <c r="N489" s="812">
        <v>1</v>
      </c>
      <c r="O489" s="812">
        <v>556</v>
      </c>
      <c r="P489" s="800">
        <v>1</v>
      </c>
      <c r="Q489" s="813">
        <v>556</v>
      </c>
    </row>
    <row r="490" spans="1:17" ht="14.4" customHeight="1" x14ac:dyDescent="0.3">
      <c r="A490" s="794" t="s">
        <v>591</v>
      </c>
      <c r="B490" s="795" t="s">
        <v>3509</v>
      </c>
      <c r="C490" s="795" t="s">
        <v>3374</v>
      </c>
      <c r="D490" s="795" t="s">
        <v>4235</v>
      </c>
      <c r="E490" s="795" t="s">
        <v>4236</v>
      </c>
      <c r="F490" s="812"/>
      <c r="G490" s="812"/>
      <c r="H490" s="812"/>
      <c r="I490" s="812"/>
      <c r="J490" s="812"/>
      <c r="K490" s="812"/>
      <c r="L490" s="812"/>
      <c r="M490" s="812"/>
      <c r="N490" s="812">
        <v>2</v>
      </c>
      <c r="O490" s="812">
        <v>7240</v>
      </c>
      <c r="P490" s="800"/>
      <c r="Q490" s="813">
        <v>3620</v>
      </c>
    </row>
    <row r="491" spans="1:17" ht="14.4" customHeight="1" x14ac:dyDescent="0.3">
      <c r="A491" s="794" t="s">
        <v>591</v>
      </c>
      <c r="B491" s="795" t="s">
        <v>3509</v>
      </c>
      <c r="C491" s="795" t="s">
        <v>3374</v>
      </c>
      <c r="D491" s="795" t="s">
        <v>4237</v>
      </c>
      <c r="E491" s="795" t="s">
        <v>4070</v>
      </c>
      <c r="F491" s="812">
        <v>1</v>
      </c>
      <c r="G491" s="812">
        <v>569</v>
      </c>
      <c r="H491" s="812"/>
      <c r="I491" s="812">
        <v>569</v>
      </c>
      <c r="J491" s="812"/>
      <c r="K491" s="812"/>
      <c r="L491" s="812"/>
      <c r="M491" s="812"/>
      <c r="N491" s="812"/>
      <c r="O491" s="812"/>
      <c r="P491" s="800"/>
      <c r="Q491" s="813"/>
    </row>
    <row r="492" spans="1:17" ht="14.4" customHeight="1" x14ac:dyDescent="0.3">
      <c r="A492" s="794" t="s">
        <v>591</v>
      </c>
      <c r="B492" s="795" t="s">
        <v>3509</v>
      </c>
      <c r="C492" s="795" t="s">
        <v>3374</v>
      </c>
      <c r="D492" s="795" t="s">
        <v>4238</v>
      </c>
      <c r="E492" s="795" t="s">
        <v>4239</v>
      </c>
      <c r="F492" s="812"/>
      <c r="G492" s="812"/>
      <c r="H492" s="812"/>
      <c r="I492" s="812"/>
      <c r="J492" s="812">
        <v>1</v>
      </c>
      <c r="K492" s="812">
        <v>2668</v>
      </c>
      <c r="L492" s="812">
        <v>1</v>
      </c>
      <c r="M492" s="812">
        <v>2668</v>
      </c>
      <c r="N492" s="812"/>
      <c r="O492" s="812"/>
      <c r="P492" s="800"/>
      <c r="Q492" s="813"/>
    </row>
    <row r="493" spans="1:17" ht="14.4" customHeight="1" x14ac:dyDescent="0.3">
      <c r="A493" s="794" t="s">
        <v>591</v>
      </c>
      <c r="B493" s="795" t="s">
        <v>3509</v>
      </c>
      <c r="C493" s="795" t="s">
        <v>3374</v>
      </c>
      <c r="D493" s="795" t="s">
        <v>4240</v>
      </c>
      <c r="E493" s="795" t="s">
        <v>4241</v>
      </c>
      <c r="F493" s="812">
        <v>1</v>
      </c>
      <c r="G493" s="812">
        <v>2271</v>
      </c>
      <c r="H493" s="812">
        <v>0.47891185153943483</v>
      </c>
      <c r="I493" s="812">
        <v>2271</v>
      </c>
      <c r="J493" s="812">
        <v>2</v>
      </c>
      <c r="K493" s="812">
        <v>4742</v>
      </c>
      <c r="L493" s="812">
        <v>1</v>
      </c>
      <c r="M493" s="812">
        <v>2371</v>
      </c>
      <c r="N493" s="812">
        <v>3</v>
      </c>
      <c r="O493" s="812">
        <v>7119</v>
      </c>
      <c r="P493" s="800">
        <v>1.5012652889076339</v>
      </c>
      <c r="Q493" s="813">
        <v>2373</v>
      </c>
    </row>
    <row r="494" spans="1:17" ht="14.4" customHeight="1" x14ac:dyDescent="0.3">
      <c r="A494" s="794" t="s">
        <v>591</v>
      </c>
      <c r="B494" s="795" t="s">
        <v>3509</v>
      </c>
      <c r="C494" s="795" t="s">
        <v>3374</v>
      </c>
      <c r="D494" s="795" t="s">
        <v>4242</v>
      </c>
      <c r="E494" s="795" t="s">
        <v>4243</v>
      </c>
      <c r="F494" s="812">
        <v>1</v>
      </c>
      <c r="G494" s="812">
        <v>1273</v>
      </c>
      <c r="H494" s="812">
        <v>0.97998460354118555</v>
      </c>
      <c r="I494" s="812">
        <v>1273</v>
      </c>
      <c r="J494" s="812">
        <v>1</v>
      </c>
      <c r="K494" s="812">
        <v>1299</v>
      </c>
      <c r="L494" s="812">
        <v>1</v>
      </c>
      <c r="M494" s="812">
        <v>1299</v>
      </c>
      <c r="N494" s="812"/>
      <c r="O494" s="812"/>
      <c r="P494" s="800"/>
      <c r="Q494" s="813"/>
    </row>
    <row r="495" spans="1:17" ht="14.4" customHeight="1" x14ac:dyDescent="0.3">
      <c r="A495" s="794" t="s">
        <v>591</v>
      </c>
      <c r="B495" s="795" t="s">
        <v>3509</v>
      </c>
      <c r="C495" s="795" t="s">
        <v>3374</v>
      </c>
      <c r="D495" s="795" t="s">
        <v>4244</v>
      </c>
      <c r="E495" s="795" t="s">
        <v>4245</v>
      </c>
      <c r="F495" s="812"/>
      <c r="G495" s="812"/>
      <c r="H495" s="812"/>
      <c r="I495" s="812"/>
      <c r="J495" s="812">
        <v>1</v>
      </c>
      <c r="K495" s="812">
        <v>3710</v>
      </c>
      <c r="L495" s="812">
        <v>1</v>
      </c>
      <c r="M495" s="812">
        <v>3710</v>
      </c>
      <c r="N495" s="812"/>
      <c r="O495" s="812"/>
      <c r="P495" s="800"/>
      <c r="Q495" s="813"/>
    </row>
    <row r="496" spans="1:17" ht="14.4" customHeight="1" x14ac:dyDescent="0.3">
      <c r="A496" s="794" t="s">
        <v>591</v>
      </c>
      <c r="B496" s="795" t="s">
        <v>3509</v>
      </c>
      <c r="C496" s="795" t="s">
        <v>3374</v>
      </c>
      <c r="D496" s="795" t="s">
        <v>4246</v>
      </c>
      <c r="E496" s="795" t="s">
        <v>4247</v>
      </c>
      <c r="F496" s="812">
        <v>1</v>
      </c>
      <c r="G496" s="812">
        <v>3029</v>
      </c>
      <c r="H496" s="812"/>
      <c r="I496" s="812">
        <v>3029</v>
      </c>
      <c r="J496" s="812"/>
      <c r="K496" s="812"/>
      <c r="L496" s="812"/>
      <c r="M496" s="812"/>
      <c r="N496" s="812"/>
      <c r="O496" s="812"/>
      <c r="P496" s="800"/>
      <c r="Q496" s="813"/>
    </row>
    <row r="497" spans="1:17" ht="14.4" customHeight="1" x14ac:dyDescent="0.3">
      <c r="A497" s="794" t="s">
        <v>591</v>
      </c>
      <c r="B497" s="795" t="s">
        <v>3509</v>
      </c>
      <c r="C497" s="795" t="s">
        <v>3374</v>
      </c>
      <c r="D497" s="795" t="s">
        <v>4248</v>
      </c>
      <c r="E497" s="795" t="s">
        <v>4249</v>
      </c>
      <c r="F497" s="812">
        <v>3</v>
      </c>
      <c r="G497" s="812">
        <v>10704</v>
      </c>
      <c r="H497" s="812">
        <v>0.57656881228117429</v>
      </c>
      <c r="I497" s="812">
        <v>3568</v>
      </c>
      <c r="J497" s="812">
        <v>5</v>
      </c>
      <c r="K497" s="812">
        <v>18565</v>
      </c>
      <c r="L497" s="812">
        <v>1</v>
      </c>
      <c r="M497" s="812">
        <v>3713</v>
      </c>
      <c r="N497" s="812">
        <v>3</v>
      </c>
      <c r="O497" s="812">
        <v>11145</v>
      </c>
      <c r="P497" s="800">
        <v>0.60032318879612179</v>
      </c>
      <c r="Q497" s="813">
        <v>3715</v>
      </c>
    </row>
    <row r="498" spans="1:17" ht="14.4" customHeight="1" x14ac:dyDescent="0.3">
      <c r="A498" s="794" t="s">
        <v>591</v>
      </c>
      <c r="B498" s="795" t="s">
        <v>3509</v>
      </c>
      <c r="C498" s="795" t="s">
        <v>3374</v>
      </c>
      <c r="D498" s="795" t="s">
        <v>4250</v>
      </c>
      <c r="E498" s="795" t="s">
        <v>4251</v>
      </c>
      <c r="F498" s="812"/>
      <c r="G498" s="812"/>
      <c r="H498" s="812"/>
      <c r="I498" s="812"/>
      <c r="J498" s="812">
        <v>1</v>
      </c>
      <c r="K498" s="812">
        <v>1087</v>
      </c>
      <c r="L498" s="812">
        <v>1</v>
      </c>
      <c r="M498" s="812">
        <v>1087</v>
      </c>
      <c r="N498" s="812"/>
      <c r="O498" s="812"/>
      <c r="P498" s="800"/>
      <c r="Q498" s="813"/>
    </row>
    <row r="499" spans="1:17" ht="14.4" customHeight="1" x14ac:dyDescent="0.3">
      <c r="A499" s="794" t="s">
        <v>591</v>
      </c>
      <c r="B499" s="795" t="s">
        <v>3509</v>
      </c>
      <c r="C499" s="795" t="s">
        <v>3374</v>
      </c>
      <c r="D499" s="795" t="s">
        <v>4252</v>
      </c>
      <c r="E499" s="795" t="s">
        <v>4253</v>
      </c>
      <c r="F499" s="812"/>
      <c r="G499" s="812"/>
      <c r="H499" s="812"/>
      <c r="I499" s="812"/>
      <c r="J499" s="812">
        <v>1</v>
      </c>
      <c r="K499" s="812">
        <v>1147</v>
      </c>
      <c r="L499" s="812">
        <v>1</v>
      </c>
      <c r="M499" s="812">
        <v>1147</v>
      </c>
      <c r="N499" s="812"/>
      <c r="O499" s="812"/>
      <c r="P499" s="800"/>
      <c r="Q499" s="813"/>
    </row>
    <row r="500" spans="1:17" ht="14.4" customHeight="1" x14ac:dyDescent="0.3">
      <c r="A500" s="794" t="s">
        <v>591</v>
      </c>
      <c r="B500" s="795" t="s">
        <v>3509</v>
      </c>
      <c r="C500" s="795" t="s">
        <v>3374</v>
      </c>
      <c r="D500" s="795" t="s">
        <v>4254</v>
      </c>
      <c r="E500" s="795" t="s">
        <v>4115</v>
      </c>
      <c r="F500" s="812">
        <v>5</v>
      </c>
      <c r="G500" s="812">
        <v>3430</v>
      </c>
      <c r="H500" s="812"/>
      <c r="I500" s="812">
        <v>686</v>
      </c>
      <c r="J500" s="812"/>
      <c r="K500" s="812"/>
      <c r="L500" s="812"/>
      <c r="M500" s="812"/>
      <c r="N500" s="812"/>
      <c r="O500" s="812"/>
      <c r="P500" s="800"/>
      <c r="Q500" s="813"/>
    </row>
    <row r="501" spans="1:17" ht="14.4" customHeight="1" x14ac:dyDescent="0.3">
      <c r="A501" s="794" t="s">
        <v>591</v>
      </c>
      <c r="B501" s="795" t="s">
        <v>3509</v>
      </c>
      <c r="C501" s="795" t="s">
        <v>3374</v>
      </c>
      <c r="D501" s="795" t="s">
        <v>4255</v>
      </c>
      <c r="E501" s="795" t="s">
        <v>4256</v>
      </c>
      <c r="F501" s="812">
        <v>1</v>
      </c>
      <c r="G501" s="812">
        <v>2864</v>
      </c>
      <c r="H501" s="812">
        <v>0.49158942670786132</v>
      </c>
      <c r="I501" s="812">
        <v>2864</v>
      </c>
      <c r="J501" s="812">
        <v>2</v>
      </c>
      <c r="K501" s="812">
        <v>5826</v>
      </c>
      <c r="L501" s="812">
        <v>1</v>
      </c>
      <c r="M501" s="812">
        <v>2913</v>
      </c>
      <c r="N501" s="812">
        <v>4</v>
      </c>
      <c r="O501" s="812">
        <v>11656</v>
      </c>
      <c r="P501" s="800">
        <v>2.0006865774116029</v>
      </c>
      <c r="Q501" s="813">
        <v>2914</v>
      </c>
    </row>
    <row r="502" spans="1:17" ht="14.4" customHeight="1" x14ac:dyDescent="0.3">
      <c r="A502" s="794" t="s">
        <v>591</v>
      </c>
      <c r="B502" s="795" t="s">
        <v>3509</v>
      </c>
      <c r="C502" s="795" t="s">
        <v>3374</v>
      </c>
      <c r="D502" s="795" t="s">
        <v>4257</v>
      </c>
      <c r="E502" s="795" t="s">
        <v>4258</v>
      </c>
      <c r="F502" s="812">
        <v>2</v>
      </c>
      <c r="G502" s="812">
        <v>6966</v>
      </c>
      <c r="H502" s="812"/>
      <c r="I502" s="812">
        <v>3483</v>
      </c>
      <c r="J502" s="812"/>
      <c r="K502" s="812"/>
      <c r="L502" s="812"/>
      <c r="M502" s="812"/>
      <c r="N502" s="812">
        <v>1</v>
      </c>
      <c r="O502" s="812">
        <v>3630</v>
      </c>
      <c r="P502" s="800"/>
      <c r="Q502" s="813">
        <v>3630</v>
      </c>
    </row>
    <row r="503" spans="1:17" ht="14.4" customHeight="1" x14ac:dyDescent="0.3">
      <c r="A503" s="794" t="s">
        <v>591</v>
      </c>
      <c r="B503" s="795" t="s">
        <v>3509</v>
      </c>
      <c r="C503" s="795" t="s">
        <v>3374</v>
      </c>
      <c r="D503" s="795" t="s">
        <v>4259</v>
      </c>
      <c r="E503" s="795" t="s">
        <v>4260</v>
      </c>
      <c r="F503" s="812">
        <v>1</v>
      </c>
      <c r="G503" s="812">
        <v>1434</v>
      </c>
      <c r="H503" s="812">
        <v>0.96695886716115986</v>
      </c>
      <c r="I503" s="812">
        <v>1434</v>
      </c>
      <c r="J503" s="812">
        <v>1</v>
      </c>
      <c r="K503" s="812">
        <v>1483</v>
      </c>
      <c r="L503" s="812">
        <v>1</v>
      </c>
      <c r="M503" s="812">
        <v>1483</v>
      </c>
      <c r="N503" s="812"/>
      <c r="O503" s="812"/>
      <c r="P503" s="800"/>
      <c r="Q503" s="813"/>
    </row>
    <row r="504" spans="1:17" ht="14.4" customHeight="1" x14ac:dyDescent="0.3">
      <c r="A504" s="794" t="s">
        <v>591</v>
      </c>
      <c r="B504" s="795" t="s">
        <v>3509</v>
      </c>
      <c r="C504" s="795" t="s">
        <v>3374</v>
      </c>
      <c r="D504" s="795" t="s">
        <v>4261</v>
      </c>
      <c r="E504" s="795" t="s">
        <v>4262</v>
      </c>
      <c r="F504" s="812">
        <v>1</v>
      </c>
      <c r="G504" s="812">
        <v>4042</v>
      </c>
      <c r="H504" s="812">
        <v>0.97093442229161664</v>
      </c>
      <c r="I504" s="812">
        <v>4042</v>
      </c>
      <c r="J504" s="812">
        <v>1</v>
      </c>
      <c r="K504" s="812">
        <v>4163</v>
      </c>
      <c r="L504" s="812">
        <v>1</v>
      </c>
      <c r="M504" s="812">
        <v>4163</v>
      </c>
      <c r="N504" s="812"/>
      <c r="O504" s="812"/>
      <c r="P504" s="800"/>
      <c r="Q504" s="813"/>
    </row>
    <row r="505" spans="1:17" ht="14.4" customHeight="1" x14ac:dyDescent="0.3">
      <c r="A505" s="794" t="s">
        <v>591</v>
      </c>
      <c r="B505" s="795" t="s">
        <v>3509</v>
      </c>
      <c r="C505" s="795" t="s">
        <v>3374</v>
      </c>
      <c r="D505" s="795" t="s">
        <v>4263</v>
      </c>
      <c r="E505" s="795" t="s">
        <v>4264</v>
      </c>
      <c r="F505" s="812"/>
      <c r="G505" s="812"/>
      <c r="H505" s="812"/>
      <c r="I505" s="812"/>
      <c r="J505" s="812"/>
      <c r="K505" s="812"/>
      <c r="L505" s="812"/>
      <c r="M505" s="812"/>
      <c r="N505" s="812">
        <v>1</v>
      </c>
      <c r="O505" s="812">
        <v>2417</v>
      </c>
      <c r="P505" s="800"/>
      <c r="Q505" s="813">
        <v>2417</v>
      </c>
    </row>
    <row r="506" spans="1:17" ht="14.4" customHeight="1" x14ac:dyDescent="0.3">
      <c r="A506" s="794" t="s">
        <v>591</v>
      </c>
      <c r="B506" s="795" t="s">
        <v>3509</v>
      </c>
      <c r="C506" s="795" t="s">
        <v>3374</v>
      </c>
      <c r="D506" s="795" t="s">
        <v>4265</v>
      </c>
      <c r="E506" s="795" t="s">
        <v>4266</v>
      </c>
      <c r="F506" s="812"/>
      <c r="G506" s="812"/>
      <c r="H506" s="812"/>
      <c r="I506" s="812"/>
      <c r="J506" s="812">
        <v>2</v>
      </c>
      <c r="K506" s="812">
        <v>1864</v>
      </c>
      <c r="L506" s="812">
        <v>1</v>
      </c>
      <c r="M506" s="812">
        <v>932</v>
      </c>
      <c r="N506" s="812"/>
      <c r="O506" s="812"/>
      <c r="P506" s="800"/>
      <c r="Q506" s="813"/>
    </row>
    <row r="507" spans="1:17" ht="14.4" customHeight="1" x14ac:dyDescent="0.3">
      <c r="A507" s="794" t="s">
        <v>591</v>
      </c>
      <c r="B507" s="795" t="s">
        <v>3509</v>
      </c>
      <c r="C507" s="795" t="s">
        <v>3374</v>
      </c>
      <c r="D507" s="795" t="s">
        <v>4267</v>
      </c>
      <c r="E507" s="795" t="s">
        <v>4268</v>
      </c>
      <c r="F507" s="812">
        <v>1</v>
      </c>
      <c r="G507" s="812">
        <v>5743</v>
      </c>
      <c r="H507" s="812">
        <v>0.48472316002700877</v>
      </c>
      <c r="I507" s="812">
        <v>5743</v>
      </c>
      <c r="J507" s="812">
        <v>2</v>
      </c>
      <c r="K507" s="812">
        <v>11848</v>
      </c>
      <c r="L507" s="812">
        <v>1</v>
      </c>
      <c r="M507" s="812">
        <v>5924</v>
      </c>
      <c r="N507" s="812"/>
      <c r="O507" s="812"/>
      <c r="P507" s="800"/>
      <c r="Q507" s="813"/>
    </row>
    <row r="508" spans="1:17" ht="14.4" customHeight="1" x14ac:dyDescent="0.3">
      <c r="A508" s="794" t="s">
        <v>591</v>
      </c>
      <c r="B508" s="795" t="s">
        <v>3509</v>
      </c>
      <c r="C508" s="795" t="s">
        <v>3374</v>
      </c>
      <c r="D508" s="795" t="s">
        <v>4269</v>
      </c>
      <c r="E508" s="795" t="s">
        <v>4270</v>
      </c>
      <c r="F508" s="812"/>
      <c r="G508" s="812"/>
      <c r="H508" s="812"/>
      <c r="I508" s="812"/>
      <c r="J508" s="812"/>
      <c r="K508" s="812"/>
      <c r="L508" s="812"/>
      <c r="M508" s="812"/>
      <c r="N508" s="812">
        <v>1</v>
      </c>
      <c r="O508" s="812">
        <v>232</v>
      </c>
      <c r="P508" s="800"/>
      <c r="Q508" s="813">
        <v>232</v>
      </c>
    </row>
    <row r="509" spans="1:17" ht="14.4" customHeight="1" x14ac:dyDescent="0.3">
      <c r="A509" s="794" t="s">
        <v>591</v>
      </c>
      <c r="B509" s="795" t="s">
        <v>3509</v>
      </c>
      <c r="C509" s="795" t="s">
        <v>3374</v>
      </c>
      <c r="D509" s="795" t="s">
        <v>4271</v>
      </c>
      <c r="E509" s="795" t="s">
        <v>4272</v>
      </c>
      <c r="F509" s="812"/>
      <c r="G509" s="812"/>
      <c r="H509" s="812"/>
      <c r="I509" s="812"/>
      <c r="J509" s="812"/>
      <c r="K509" s="812"/>
      <c r="L509" s="812"/>
      <c r="M509" s="812"/>
      <c r="N509" s="812">
        <v>1</v>
      </c>
      <c r="O509" s="812">
        <v>3971</v>
      </c>
      <c r="P509" s="800"/>
      <c r="Q509" s="813">
        <v>3971</v>
      </c>
    </row>
    <row r="510" spans="1:17" ht="14.4" customHeight="1" x14ac:dyDescent="0.3">
      <c r="A510" s="794" t="s">
        <v>591</v>
      </c>
      <c r="B510" s="795" t="s">
        <v>3509</v>
      </c>
      <c r="C510" s="795" t="s">
        <v>3374</v>
      </c>
      <c r="D510" s="795" t="s">
        <v>4273</v>
      </c>
      <c r="E510" s="795" t="s">
        <v>4274</v>
      </c>
      <c r="F510" s="812">
        <v>1</v>
      </c>
      <c r="G510" s="812">
        <v>3752</v>
      </c>
      <c r="H510" s="812"/>
      <c r="I510" s="812">
        <v>3752</v>
      </c>
      <c r="J510" s="812"/>
      <c r="K510" s="812"/>
      <c r="L510" s="812"/>
      <c r="M510" s="812"/>
      <c r="N510" s="812"/>
      <c r="O510" s="812"/>
      <c r="P510" s="800"/>
      <c r="Q510" s="813"/>
    </row>
    <row r="511" spans="1:17" ht="14.4" customHeight="1" x14ac:dyDescent="0.3">
      <c r="A511" s="794" t="s">
        <v>591</v>
      </c>
      <c r="B511" s="795" t="s">
        <v>3509</v>
      </c>
      <c r="C511" s="795" t="s">
        <v>3374</v>
      </c>
      <c r="D511" s="795" t="s">
        <v>4275</v>
      </c>
      <c r="E511" s="795" t="s">
        <v>4276</v>
      </c>
      <c r="F511" s="812"/>
      <c r="G511" s="812"/>
      <c r="H511" s="812"/>
      <c r="I511" s="812"/>
      <c r="J511" s="812"/>
      <c r="K511" s="812"/>
      <c r="L511" s="812"/>
      <c r="M511" s="812"/>
      <c r="N511" s="812">
        <v>1</v>
      </c>
      <c r="O511" s="812">
        <v>2760</v>
      </c>
      <c r="P511" s="800"/>
      <c r="Q511" s="813">
        <v>2760</v>
      </c>
    </row>
    <row r="512" spans="1:17" ht="14.4" customHeight="1" x14ac:dyDescent="0.3">
      <c r="A512" s="794" t="s">
        <v>591</v>
      </c>
      <c r="B512" s="795" t="s">
        <v>4277</v>
      </c>
      <c r="C512" s="795" t="s">
        <v>3374</v>
      </c>
      <c r="D512" s="795" t="s">
        <v>4278</v>
      </c>
      <c r="E512" s="795" t="s">
        <v>4279</v>
      </c>
      <c r="F512" s="812">
        <v>1</v>
      </c>
      <c r="G512" s="812">
        <v>3967</v>
      </c>
      <c r="H512" s="812"/>
      <c r="I512" s="812">
        <v>3967</v>
      </c>
      <c r="J512" s="812"/>
      <c r="K512" s="812"/>
      <c r="L512" s="812"/>
      <c r="M512" s="812"/>
      <c r="N512" s="812"/>
      <c r="O512" s="812"/>
      <c r="P512" s="800"/>
      <c r="Q512" s="813"/>
    </row>
    <row r="513" spans="1:17" ht="14.4" customHeight="1" x14ac:dyDescent="0.3">
      <c r="A513" s="794" t="s">
        <v>591</v>
      </c>
      <c r="B513" s="795" t="s">
        <v>4280</v>
      </c>
      <c r="C513" s="795" t="s">
        <v>3365</v>
      </c>
      <c r="D513" s="795" t="s">
        <v>3556</v>
      </c>
      <c r="E513" s="795" t="s">
        <v>1563</v>
      </c>
      <c r="F513" s="812">
        <v>12</v>
      </c>
      <c r="G513" s="812">
        <v>1353.96</v>
      </c>
      <c r="H513" s="812">
        <v>0.32325499221682125</v>
      </c>
      <c r="I513" s="812">
        <v>112.83</v>
      </c>
      <c r="J513" s="812">
        <v>49</v>
      </c>
      <c r="K513" s="812">
        <v>4188.5199999999995</v>
      </c>
      <c r="L513" s="812">
        <v>1</v>
      </c>
      <c r="M513" s="812">
        <v>85.47999999999999</v>
      </c>
      <c r="N513" s="812">
        <v>55</v>
      </c>
      <c r="O513" s="812">
        <v>4404.3999999999996</v>
      </c>
      <c r="P513" s="800">
        <v>1.0515408784009626</v>
      </c>
      <c r="Q513" s="813">
        <v>80.08</v>
      </c>
    </row>
    <row r="514" spans="1:17" ht="14.4" customHeight="1" x14ac:dyDescent="0.3">
      <c r="A514" s="794" t="s">
        <v>591</v>
      </c>
      <c r="B514" s="795" t="s">
        <v>4280</v>
      </c>
      <c r="C514" s="795" t="s">
        <v>3365</v>
      </c>
      <c r="D514" s="795" t="s">
        <v>3560</v>
      </c>
      <c r="E514" s="795" t="s">
        <v>1017</v>
      </c>
      <c r="F514" s="812">
        <v>283</v>
      </c>
      <c r="G514" s="812">
        <v>16545.75</v>
      </c>
      <c r="H514" s="812">
        <v>1.2056069658991548</v>
      </c>
      <c r="I514" s="812">
        <v>58.465547703180214</v>
      </c>
      <c r="J514" s="812">
        <v>235</v>
      </c>
      <c r="K514" s="812">
        <v>13724</v>
      </c>
      <c r="L514" s="812">
        <v>1</v>
      </c>
      <c r="M514" s="812">
        <v>58.4</v>
      </c>
      <c r="N514" s="812">
        <v>168</v>
      </c>
      <c r="O514" s="812">
        <v>9811.1999999999989</v>
      </c>
      <c r="P514" s="800">
        <v>0.71489361702127652</v>
      </c>
      <c r="Q514" s="813">
        <v>58.399999999999991</v>
      </c>
    </row>
    <row r="515" spans="1:17" ht="14.4" customHeight="1" x14ac:dyDescent="0.3">
      <c r="A515" s="794" t="s">
        <v>591</v>
      </c>
      <c r="B515" s="795" t="s">
        <v>4280</v>
      </c>
      <c r="C515" s="795" t="s">
        <v>3365</v>
      </c>
      <c r="D515" s="795" t="s">
        <v>3563</v>
      </c>
      <c r="E515" s="795" t="s">
        <v>3564</v>
      </c>
      <c r="F515" s="812"/>
      <c r="G515" s="812"/>
      <c r="H515" s="812"/>
      <c r="I515" s="812"/>
      <c r="J515" s="812">
        <v>4</v>
      </c>
      <c r="K515" s="812">
        <v>154.44</v>
      </c>
      <c r="L515" s="812">
        <v>1</v>
      </c>
      <c r="M515" s="812">
        <v>38.61</v>
      </c>
      <c r="N515" s="812"/>
      <c r="O515" s="812"/>
      <c r="P515" s="800"/>
      <c r="Q515" s="813"/>
    </row>
    <row r="516" spans="1:17" ht="14.4" customHeight="1" x14ac:dyDescent="0.3">
      <c r="A516" s="794" t="s">
        <v>591</v>
      </c>
      <c r="B516" s="795" t="s">
        <v>4280</v>
      </c>
      <c r="C516" s="795" t="s">
        <v>3365</v>
      </c>
      <c r="D516" s="795" t="s">
        <v>3565</v>
      </c>
      <c r="E516" s="795" t="s">
        <v>3566</v>
      </c>
      <c r="F516" s="812">
        <v>5.3000000000000007</v>
      </c>
      <c r="G516" s="812">
        <v>2059.5699999999997</v>
      </c>
      <c r="H516" s="812">
        <v>1.0872229905930297</v>
      </c>
      <c r="I516" s="812">
        <v>388.59811320754704</v>
      </c>
      <c r="J516" s="812">
        <v>4.9000000000000004</v>
      </c>
      <c r="K516" s="812">
        <v>1894.3399999999997</v>
      </c>
      <c r="L516" s="812">
        <v>1</v>
      </c>
      <c r="M516" s="812">
        <v>386.59999999999991</v>
      </c>
      <c r="N516" s="812">
        <v>2.5</v>
      </c>
      <c r="O516" s="812">
        <v>966.5</v>
      </c>
      <c r="P516" s="800">
        <v>0.51020408163265318</v>
      </c>
      <c r="Q516" s="813">
        <v>386.6</v>
      </c>
    </row>
    <row r="517" spans="1:17" ht="14.4" customHeight="1" x14ac:dyDescent="0.3">
      <c r="A517" s="794" t="s">
        <v>591</v>
      </c>
      <c r="B517" s="795" t="s">
        <v>4280</v>
      </c>
      <c r="C517" s="795" t="s">
        <v>3365</v>
      </c>
      <c r="D517" s="795" t="s">
        <v>4281</v>
      </c>
      <c r="E517" s="795" t="s">
        <v>4282</v>
      </c>
      <c r="F517" s="812">
        <v>5</v>
      </c>
      <c r="G517" s="812">
        <v>227.15</v>
      </c>
      <c r="H517" s="812"/>
      <c r="I517" s="812">
        <v>45.43</v>
      </c>
      <c r="J517" s="812"/>
      <c r="K517" s="812"/>
      <c r="L517" s="812"/>
      <c r="M517" s="812"/>
      <c r="N517" s="812"/>
      <c r="O517" s="812"/>
      <c r="P517" s="800"/>
      <c r="Q517" s="813"/>
    </row>
    <row r="518" spans="1:17" ht="14.4" customHeight="1" x14ac:dyDescent="0.3">
      <c r="A518" s="794" t="s">
        <v>591</v>
      </c>
      <c r="B518" s="795" t="s">
        <v>4280</v>
      </c>
      <c r="C518" s="795" t="s">
        <v>3365</v>
      </c>
      <c r="D518" s="795" t="s">
        <v>4283</v>
      </c>
      <c r="E518" s="795" t="s">
        <v>4284</v>
      </c>
      <c r="F518" s="812">
        <v>11</v>
      </c>
      <c r="G518" s="812">
        <v>849.42</v>
      </c>
      <c r="H518" s="812"/>
      <c r="I518" s="812">
        <v>77.22</v>
      </c>
      <c r="J518" s="812"/>
      <c r="K518" s="812"/>
      <c r="L518" s="812"/>
      <c r="M518" s="812"/>
      <c r="N518" s="812"/>
      <c r="O518" s="812"/>
      <c r="P518" s="800"/>
      <c r="Q518" s="813"/>
    </row>
    <row r="519" spans="1:17" ht="14.4" customHeight="1" x14ac:dyDescent="0.3">
      <c r="A519" s="794" t="s">
        <v>591</v>
      </c>
      <c r="B519" s="795" t="s">
        <v>4280</v>
      </c>
      <c r="C519" s="795" t="s">
        <v>3365</v>
      </c>
      <c r="D519" s="795" t="s">
        <v>3570</v>
      </c>
      <c r="E519" s="795" t="s">
        <v>3571</v>
      </c>
      <c r="F519" s="812"/>
      <c r="G519" s="812"/>
      <c r="H519" s="812"/>
      <c r="I519" s="812"/>
      <c r="J519" s="812">
        <v>1.6</v>
      </c>
      <c r="K519" s="812">
        <v>434.74</v>
      </c>
      <c r="L519" s="812">
        <v>1</v>
      </c>
      <c r="M519" s="812">
        <v>271.71249999999998</v>
      </c>
      <c r="N519" s="812">
        <v>17.200000000000003</v>
      </c>
      <c r="O519" s="812">
        <v>4673.5300000000007</v>
      </c>
      <c r="P519" s="800">
        <v>10.750172516906659</v>
      </c>
      <c r="Q519" s="813">
        <v>271.71686046511627</v>
      </c>
    </row>
    <row r="520" spans="1:17" ht="14.4" customHeight="1" x14ac:dyDescent="0.3">
      <c r="A520" s="794" t="s">
        <v>591</v>
      </c>
      <c r="B520" s="795" t="s">
        <v>4280</v>
      </c>
      <c r="C520" s="795" t="s">
        <v>3365</v>
      </c>
      <c r="D520" s="795" t="s">
        <v>3581</v>
      </c>
      <c r="E520" s="795" t="s">
        <v>3582</v>
      </c>
      <c r="F520" s="812">
        <v>28</v>
      </c>
      <c r="G520" s="812">
        <v>6237.2</v>
      </c>
      <c r="H520" s="812"/>
      <c r="I520" s="812">
        <v>222.75714285714284</v>
      </c>
      <c r="J520" s="812"/>
      <c r="K520" s="812"/>
      <c r="L520" s="812"/>
      <c r="M520" s="812"/>
      <c r="N520" s="812">
        <v>13</v>
      </c>
      <c r="O520" s="812">
        <v>2849.6</v>
      </c>
      <c r="P520" s="800"/>
      <c r="Q520" s="813">
        <v>219.2</v>
      </c>
    </row>
    <row r="521" spans="1:17" ht="14.4" customHeight="1" x14ac:dyDescent="0.3">
      <c r="A521" s="794" t="s">
        <v>591</v>
      </c>
      <c r="B521" s="795" t="s">
        <v>4280</v>
      </c>
      <c r="C521" s="795" t="s">
        <v>3365</v>
      </c>
      <c r="D521" s="795" t="s">
        <v>3585</v>
      </c>
      <c r="E521" s="795" t="s">
        <v>3586</v>
      </c>
      <c r="F521" s="812">
        <v>0.5</v>
      </c>
      <c r="G521" s="812">
        <v>46.35</v>
      </c>
      <c r="H521" s="812">
        <v>0.98032994923857864</v>
      </c>
      <c r="I521" s="812">
        <v>92.7</v>
      </c>
      <c r="J521" s="812">
        <v>0.6</v>
      </c>
      <c r="K521" s="812">
        <v>47.28</v>
      </c>
      <c r="L521" s="812">
        <v>1</v>
      </c>
      <c r="M521" s="812">
        <v>78.800000000000011</v>
      </c>
      <c r="N521" s="812">
        <v>5.7</v>
      </c>
      <c r="O521" s="812">
        <v>449.15999999999997</v>
      </c>
      <c r="P521" s="800">
        <v>9.4999999999999982</v>
      </c>
      <c r="Q521" s="813">
        <v>78.8</v>
      </c>
    </row>
    <row r="522" spans="1:17" ht="14.4" customHeight="1" x14ac:dyDescent="0.3">
      <c r="A522" s="794" t="s">
        <v>591</v>
      </c>
      <c r="B522" s="795" t="s">
        <v>4280</v>
      </c>
      <c r="C522" s="795" t="s">
        <v>3365</v>
      </c>
      <c r="D522" s="795" t="s">
        <v>3587</v>
      </c>
      <c r="E522" s="795" t="s">
        <v>1441</v>
      </c>
      <c r="F522" s="812"/>
      <c r="G522" s="812"/>
      <c r="H522" s="812"/>
      <c r="I522" s="812"/>
      <c r="J522" s="812">
        <v>16</v>
      </c>
      <c r="K522" s="812">
        <v>1122.4000000000001</v>
      </c>
      <c r="L522" s="812">
        <v>1</v>
      </c>
      <c r="M522" s="812">
        <v>70.150000000000006</v>
      </c>
      <c r="N522" s="812"/>
      <c r="O522" s="812"/>
      <c r="P522" s="800"/>
      <c r="Q522" s="813"/>
    </row>
    <row r="523" spans="1:17" ht="14.4" customHeight="1" x14ac:dyDescent="0.3">
      <c r="A523" s="794" t="s">
        <v>591</v>
      </c>
      <c r="B523" s="795" t="s">
        <v>4280</v>
      </c>
      <c r="C523" s="795" t="s">
        <v>3365</v>
      </c>
      <c r="D523" s="795" t="s">
        <v>4285</v>
      </c>
      <c r="E523" s="795" t="s">
        <v>4286</v>
      </c>
      <c r="F523" s="812">
        <v>1.5</v>
      </c>
      <c r="G523" s="812">
        <v>899.7</v>
      </c>
      <c r="H523" s="812"/>
      <c r="I523" s="812">
        <v>599.80000000000007</v>
      </c>
      <c r="J523" s="812"/>
      <c r="K523" s="812"/>
      <c r="L523" s="812"/>
      <c r="M523" s="812"/>
      <c r="N523" s="812"/>
      <c r="O523" s="812"/>
      <c r="P523" s="800"/>
      <c r="Q523" s="813"/>
    </row>
    <row r="524" spans="1:17" ht="14.4" customHeight="1" x14ac:dyDescent="0.3">
      <c r="A524" s="794" t="s">
        <v>591</v>
      </c>
      <c r="B524" s="795" t="s">
        <v>4280</v>
      </c>
      <c r="C524" s="795" t="s">
        <v>3365</v>
      </c>
      <c r="D524" s="795" t="s">
        <v>4287</v>
      </c>
      <c r="E524" s="795" t="s">
        <v>4286</v>
      </c>
      <c r="F524" s="812"/>
      <c r="G524" s="812"/>
      <c r="H524" s="812"/>
      <c r="I524" s="812"/>
      <c r="J524" s="812"/>
      <c r="K524" s="812"/>
      <c r="L524" s="812"/>
      <c r="M524" s="812"/>
      <c r="N524" s="812">
        <v>1.4</v>
      </c>
      <c r="O524" s="812">
        <v>1119.67</v>
      </c>
      <c r="P524" s="800"/>
      <c r="Q524" s="813">
        <v>799.76428571428585</v>
      </c>
    </row>
    <row r="525" spans="1:17" ht="14.4" customHeight="1" x14ac:dyDescent="0.3">
      <c r="A525" s="794" t="s">
        <v>591</v>
      </c>
      <c r="B525" s="795" t="s">
        <v>4280</v>
      </c>
      <c r="C525" s="795" t="s">
        <v>3365</v>
      </c>
      <c r="D525" s="795" t="s">
        <v>4288</v>
      </c>
      <c r="E525" s="795" t="s">
        <v>4289</v>
      </c>
      <c r="F525" s="812">
        <v>0.9</v>
      </c>
      <c r="G525" s="812">
        <v>1421.77</v>
      </c>
      <c r="H525" s="812"/>
      <c r="I525" s="812">
        <v>1579.7444444444443</v>
      </c>
      <c r="J525" s="812"/>
      <c r="K525" s="812"/>
      <c r="L525" s="812"/>
      <c r="M525" s="812"/>
      <c r="N525" s="812"/>
      <c r="O525" s="812"/>
      <c r="P525" s="800"/>
      <c r="Q525" s="813"/>
    </row>
    <row r="526" spans="1:17" ht="14.4" customHeight="1" x14ac:dyDescent="0.3">
      <c r="A526" s="794" t="s">
        <v>591</v>
      </c>
      <c r="B526" s="795" t="s">
        <v>4280</v>
      </c>
      <c r="C526" s="795" t="s">
        <v>3365</v>
      </c>
      <c r="D526" s="795" t="s">
        <v>4290</v>
      </c>
      <c r="E526" s="795" t="s">
        <v>4291</v>
      </c>
      <c r="F526" s="812">
        <v>3.9</v>
      </c>
      <c r="G526" s="812">
        <v>14867.19</v>
      </c>
      <c r="H526" s="812"/>
      <c r="I526" s="812">
        <v>3812.1000000000004</v>
      </c>
      <c r="J526" s="812"/>
      <c r="K526" s="812"/>
      <c r="L526" s="812"/>
      <c r="M526" s="812"/>
      <c r="N526" s="812"/>
      <c r="O526" s="812"/>
      <c r="P526" s="800"/>
      <c r="Q526" s="813"/>
    </row>
    <row r="527" spans="1:17" ht="14.4" customHeight="1" x14ac:dyDescent="0.3">
      <c r="A527" s="794" t="s">
        <v>591</v>
      </c>
      <c r="B527" s="795" t="s">
        <v>4280</v>
      </c>
      <c r="C527" s="795" t="s">
        <v>3365</v>
      </c>
      <c r="D527" s="795" t="s">
        <v>3591</v>
      </c>
      <c r="E527" s="795" t="s">
        <v>1054</v>
      </c>
      <c r="F527" s="812"/>
      <c r="G527" s="812"/>
      <c r="H527" s="812"/>
      <c r="I527" s="812"/>
      <c r="J527" s="812">
        <v>0.2</v>
      </c>
      <c r="K527" s="812">
        <v>154.43</v>
      </c>
      <c r="L527" s="812">
        <v>1</v>
      </c>
      <c r="M527" s="812">
        <v>772.15</v>
      </c>
      <c r="N527" s="812"/>
      <c r="O527" s="812"/>
      <c r="P527" s="800"/>
      <c r="Q527" s="813"/>
    </row>
    <row r="528" spans="1:17" ht="14.4" customHeight="1" x14ac:dyDescent="0.3">
      <c r="A528" s="794" t="s">
        <v>591</v>
      </c>
      <c r="B528" s="795" t="s">
        <v>4280</v>
      </c>
      <c r="C528" s="795" t="s">
        <v>3365</v>
      </c>
      <c r="D528" s="795" t="s">
        <v>4292</v>
      </c>
      <c r="E528" s="795" t="s">
        <v>1444</v>
      </c>
      <c r="F528" s="812"/>
      <c r="G528" s="812"/>
      <c r="H528" s="812"/>
      <c r="I528" s="812"/>
      <c r="J528" s="812"/>
      <c r="K528" s="812"/>
      <c r="L528" s="812"/>
      <c r="M528" s="812"/>
      <c r="N528" s="812">
        <v>0.5</v>
      </c>
      <c r="O528" s="812">
        <v>428.77</v>
      </c>
      <c r="P528" s="800"/>
      <c r="Q528" s="813">
        <v>857.54</v>
      </c>
    </row>
    <row r="529" spans="1:17" ht="14.4" customHeight="1" x14ac:dyDescent="0.3">
      <c r="A529" s="794" t="s">
        <v>591</v>
      </c>
      <c r="B529" s="795" t="s">
        <v>4280</v>
      </c>
      <c r="C529" s="795" t="s">
        <v>3365</v>
      </c>
      <c r="D529" s="795" t="s">
        <v>3595</v>
      </c>
      <c r="E529" s="795" t="s">
        <v>3596</v>
      </c>
      <c r="F529" s="812"/>
      <c r="G529" s="812"/>
      <c r="H529" s="812"/>
      <c r="I529" s="812"/>
      <c r="J529" s="812"/>
      <c r="K529" s="812"/>
      <c r="L529" s="812"/>
      <c r="M529" s="812"/>
      <c r="N529" s="812">
        <v>0.8</v>
      </c>
      <c r="O529" s="812">
        <v>1700.48</v>
      </c>
      <c r="P529" s="800"/>
      <c r="Q529" s="813">
        <v>2125.6</v>
      </c>
    </row>
    <row r="530" spans="1:17" ht="14.4" customHeight="1" x14ac:dyDescent="0.3">
      <c r="A530" s="794" t="s">
        <v>591</v>
      </c>
      <c r="B530" s="795" t="s">
        <v>4280</v>
      </c>
      <c r="C530" s="795" t="s">
        <v>3601</v>
      </c>
      <c r="D530" s="795" t="s">
        <v>3602</v>
      </c>
      <c r="E530" s="795" t="s">
        <v>3603</v>
      </c>
      <c r="F530" s="812">
        <v>63</v>
      </c>
      <c r="G530" s="812">
        <v>117531.54</v>
      </c>
      <c r="H530" s="812">
        <v>0.73344097565529554</v>
      </c>
      <c r="I530" s="812">
        <v>1865.58</v>
      </c>
      <c r="J530" s="812">
        <v>80</v>
      </c>
      <c r="K530" s="812">
        <v>160246.76</v>
      </c>
      <c r="L530" s="812">
        <v>1</v>
      </c>
      <c r="M530" s="812">
        <v>2003.0845000000002</v>
      </c>
      <c r="N530" s="812">
        <v>70</v>
      </c>
      <c r="O530" s="812">
        <v>148874</v>
      </c>
      <c r="P530" s="800">
        <v>0.92902970393909989</v>
      </c>
      <c r="Q530" s="813">
        <v>2126.7714285714287</v>
      </c>
    </row>
    <row r="531" spans="1:17" ht="14.4" customHeight="1" x14ac:dyDescent="0.3">
      <c r="A531" s="794" t="s">
        <v>591</v>
      </c>
      <c r="B531" s="795" t="s">
        <v>4280</v>
      </c>
      <c r="C531" s="795" t="s">
        <v>3601</v>
      </c>
      <c r="D531" s="795" t="s">
        <v>3604</v>
      </c>
      <c r="E531" s="795" t="s">
        <v>3605</v>
      </c>
      <c r="F531" s="812"/>
      <c r="G531" s="812"/>
      <c r="H531" s="812"/>
      <c r="I531" s="812"/>
      <c r="J531" s="812"/>
      <c r="K531" s="812"/>
      <c r="L531" s="812"/>
      <c r="M531" s="812"/>
      <c r="N531" s="812">
        <v>1</v>
      </c>
      <c r="O531" s="812">
        <v>2641.15</v>
      </c>
      <c r="P531" s="800"/>
      <c r="Q531" s="813">
        <v>2641.15</v>
      </c>
    </row>
    <row r="532" spans="1:17" ht="14.4" customHeight="1" x14ac:dyDescent="0.3">
      <c r="A532" s="794" t="s">
        <v>591</v>
      </c>
      <c r="B532" s="795" t="s">
        <v>4280</v>
      </c>
      <c r="C532" s="795" t="s">
        <v>3601</v>
      </c>
      <c r="D532" s="795" t="s">
        <v>3608</v>
      </c>
      <c r="E532" s="795" t="s">
        <v>3609</v>
      </c>
      <c r="F532" s="812"/>
      <c r="G532" s="812"/>
      <c r="H532" s="812"/>
      <c r="I532" s="812"/>
      <c r="J532" s="812">
        <v>2</v>
      </c>
      <c r="K532" s="812">
        <v>16584.18</v>
      </c>
      <c r="L532" s="812">
        <v>1</v>
      </c>
      <c r="M532" s="812">
        <v>8292.09</v>
      </c>
      <c r="N532" s="812"/>
      <c r="O532" s="812"/>
      <c r="P532" s="800"/>
      <c r="Q532" s="813"/>
    </row>
    <row r="533" spans="1:17" ht="14.4" customHeight="1" x14ac:dyDescent="0.3">
      <c r="A533" s="794" t="s">
        <v>591</v>
      </c>
      <c r="B533" s="795" t="s">
        <v>4280</v>
      </c>
      <c r="C533" s="795" t="s">
        <v>3601</v>
      </c>
      <c r="D533" s="795" t="s">
        <v>3610</v>
      </c>
      <c r="E533" s="795" t="s">
        <v>3611</v>
      </c>
      <c r="F533" s="812">
        <v>8</v>
      </c>
      <c r="G533" s="812">
        <v>7404.5599999999995</v>
      </c>
      <c r="H533" s="812">
        <v>0.87145278222389611</v>
      </c>
      <c r="I533" s="812">
        <v>925.56999999999994</v>
      </c>
      <c r="J533" s="812">
        <v>8</v>
      </c>
      <c r="K533" s="812">
        <v>8496.7999999999993</v>
      </c>
      <c r="L533" s="812">
        <v>1</v>
      </c>
      <c r="M533" s="812">
        <v>1062.0999999999999</v>
      </c>
      <c r="N533" s="812">
        <v>6</v>
      </c>
      <c r="O533" s="812">
        <v>6526.7599999999993</v>
      </c>
      <c r="P533" s="800">
        <v>0.76814330100743811</v>
      </c>
      <c r="Q533" s="813">
        <v>1087.7933333333333</v>
      </c>
    </row>
    <row r="534" spans="1:17" ht="14.4" customHeight="1" x14ac:dyDescent="0.3">
      <c r="A534" s="794" t="s">
        <v>591</v>
      </c>
      <c r="B534" s="795" t="s">
        <v>4280</v>
      </c>
      <c r="C534" s="795" t="s">
        <v>3612</v>
      </c>
      <c r="D534" s="795" t="s">
        <v>3613</v>
      </c>
      <c r="E534" s="795" t="s">
        <v>3614</v>
      </c>
      <c r="F534" s="812">
        <v>36</v>
      </c>
      <c r="G534" s="812">
        <v>11879.28</v>
      </c>
      <c r="H534" s="812">
        <v>0.9</v>
      </c>
      <c r="I534" s="812">
        <v>329.98</v>
      </c>
      <c r="J534" s="812">
        <v>40</v>
      </c>
      <c r="K534" s="812">
        <v>13199.2</v>
      </c>
      <c r="L534" s="812">
        <v>1</v>
      </c>
      <c r="M534" s="812">
        <v>329.98</v>
      </c>
      <c r="N534" s="812">
        <v>27</v>
      </c>
      <c r="O534" s="812">
        <v>8909.4600000000009</v>
      </c>
      <c r="P534" s="800">
        <v>0.67500000000000004</v>
      </c>
      <c r="Q534" s="813">
        <v>329.98</v>
      </c>
    </row>
    <row r="535" spans="1:17" ht="14.4" customHeight="1" x14ac:dyDescent="0.3">
      <c r="A535" s="794" t="s">
        <v>591</v>
      </c>
      <c r="B535" s="795" t="s">
        <v>4280</v>
      </c>
      <c r="C535" s="795" t="s">
        <v>3612</v>
      </c>
      <c r="D535" s="795" t="s">
        <v>3615</v>
      </c>
      <c r="E535" s="795" t="s">
        <v>3614</v>
      </c>
      <c r="F535" s="812">
        <v>13</v>
      </c>
      <c r="G535" s="812">
        <v>5634.33</v>
      </c>
      <c r="H535" s="812">
        <v>0.64999999999999991</v>
      </c>
      <c r="I535" s="812">
        <v>433.40999999999997</v>
      </c>
      <c r="J535" s="812">
        <v>20</v>
      </c>
      <c r="K535" s="812">
        <v>8668.2000000000007</v>
      </c>
      <c r="L535" s="812">
        <v>1</v>
      </c>
      <c r="M535" s="812">
        <v>433.41</v>
      </c>
      <c r="N535" s="812">
        <v>5</v>
      </c>
      <c r="O535" s="812">
        <v>2167.0500000000002</v>
      </c>
      <c r="P535" s="800">
        <v>0.25</v>
      </c>
      <c r="Q535" s="813">
        <v>433.41</v>
      </c>
    </row>
    <row r="536" spans="1:17" ht="14.4" customHeight="1" x14ac:dyDescent="0.3">
      <c r="A536" s="794" t="s">
        <v>591</v>
      </c>
      <c r="B536" s="795" t="s">
        <v>4280</v>
      </c>
      <c r="C536" s="795" t="s">
        <v>3612</v>
      </c>
      <c r="D536" s="795" t="s">
        <v>3616</v>
      </c>
      <c r="E536" s="795" t="s">
        <v>3617</v>
      </c>
      <c r="F536" s="812">
        <v>3</v>
      </c>
      <c r="G536" s="812">
        <v>4306.08</v>
      </c>
      <c r="H536" s="812">
        <v>3</v>
      </c>
      <c r="I536" s="812">
        <v>1435.36</v>
      </c>
      <c r="J536" s="812">
        <v>1</v>
      </c>
      <c r="K536" s="812">
        <v>1435.36</v>
      </c>
      <c r="L536" s="812">
        <v>1</v>
      </c>
      <c r="M536" s="812">
        <v>1435.36</v>
      </c>
      <c r="N536" s="812">
        <v>3</v>
      </c>
      <c r="O536" s="812">
        <v>4306.08</v>
      </c>
      <c r="P536" s="800">
        <v>3</v>
      </c>
      <c r="Q536" s="813">
        <v>1435.36</v>
      </c>
    </row>
    <row r="537" spans="1:17" ht="14.4" customHeight="1" x14ac:dyDescent="0.3">
      <c r="A537" s="794" t="s">
        <v>591</v>
      </c>
      <c r="B537" s="795" t="s">
        <v>4280</v>
      </c>
      <c r="C537" s="795" t="s">
        <v>3612</v>
      </c>
      <c r="D537" s="795" t="s">
        <v>3618</v>
      </c>
      <c r="E537" s="795" t="s">
        <v>3617</v>
      </c>
      <c r="F537" s="812"/>
      <c r="G537" s="812"/>
      <c r="H537" s="812"/>
      <c r="I537" s="812"/>
      <c r="J537" s="812">
        <v>1</v>
      </c>
      <c r="K537" s="812">
        <v>1697.77</v>
      </c>
      <c r="L537" s="812">
        <v>1</v>
      </c>
      <c r="M537" s="812">
        <v>1697.77</v>
      </c>
      <c r="N537" s="812">
        <v>1</v>
      </c>
      <c r="O537" s="812">
        <v>1697.77</v>
      </c>
      <c r="P537" s="800">
        <v>1</v>
      </c>
      <c r="Q537" s="813">
        <v>1697.77</v>
      </c>
    </row>
    <row r="538" spans="1:17" ht="14.4" customHeight="1" x14ac:dyDescent="0.3">
      <c r="A538" s="794" t="s">
        <v>591</v>
      </c>
      <c r="B538" s="795" t="s">
        <v>4280</v>
      </c>
      <c r="C538" s="795" t="s">
        <v>3612</v>
      </c>
      <c r="D538" s="795" t="s">
        <v>3629</v>
      </c>
      <c r="E538" s="795" t="s">
        <v>3630</v>
      </c>
      <c r="F538" s="812"/>
      <c r="G538" s="812"/>
      <c r="H538" s="812"/>
      <c r="I538" s="812"/>
      <c r="J538" s="812">
        <v>2</v>
      </c>
      <c r="K538" s="812">
        <v>1214.82</v>
      </c>
      <c r="L538" s="812">
        <v>1</v>
      </c>
      <c r="M538" s="812">
        <v>607.41</v>
      </c>
      <c r="N538" s="812"/>
      <c r="O538" s="812"/>
      <c r="P538" s="800"/>
      <c r="Q538" s="813"/>
    </row>
    <row r="539" spans="1:17" ht="14.4" customHeight="1" x14ac:dyDescent="0.3">
      <c r="A539" s="794" t="s">
        <v>591</v>
      </c>
      <c r="B539" s="795" t="s">
        <v>4280</v>
      </c>
      <c r="C539" s="795" t="s">
        <v>3612</v>
      </c>
      <c r="D539" s="795" t="s">
        <v>3631</v>
      </c>
      <c r="E539" s="795" t="s">
        <v>3632</v>
      </c>
      <c r="F539" s="812"/>
      <c r="G539" s="812"/>
      <c r="H539" s="812"/>
      <c r="I539" s="812"/>
      <c r="J539" s="812"/>
      <c r="K539" s="812"/>
      <c r="L539" s="812"/>
      <c r="M539" s="812"/>
      <c r="N539" s="812">
        <v>0.1</v>
      </c>
      <c r="O539" s="812">
        <v>126.58</v>
      </c>
      <c r="P539" s="800"/>
      <c r="Q539" s="813">
        <v>1265.8</v>
      </c>
    </row>
    <row r="540" spans="1:17" ht="14.4" customHeight="1" x14ac:dyDescent="0.3">
      <c r="A540" s="794" t="s">
        <v>591</v>
      </c>
      <c r="B540" s="795" t="s">
        <v>4280</v>
      </c>
      <c r="C540" s="795" t="s">
        <v>3612</v>
      </c>
      <c r="D540" s="795" t="s">
        <v>3633</v>
      </c>
      <c r="E540" s="795" t="s">
        <v>3634</v>
      </c>
      <c r="F540" s="812"/>
      <c r="G540" s="812"/>
      <c r="H540" s="812"/>
      <c r="I540" s="812"/>
      <c r="J540" s="812">
        <v>8</v>
      </c>
      <c r="K540" s="812">
        <v>696.4</v>
      </c>
      <c r="L540" s="812">
        <v>1</v>
      </c>
      <c r="M540" s="812">
        <v>87.05</v>
      </c>
      <c r="N540" s="812">
        <v>3</v>
      </c>
      <c r="O540" s="812">
        <v>261.14999999999998</v>
      </c>
      <c r="P540" s="800">
        <v>0.375</v>
      </c>
      <c r="Q540" s="813">
        <v>87.05</v>
      </c>
    </row>
    <row r="541" spans="1:17" ht="14.4" customHeight="1" x14ac:dyDescent="0.3">
      <c r="A541" s="794" t="s">
        <v>591</v>
      </c>
      <c r="B541" s="795" t="s">
        <v>4280</v>
      </c>
      <c r="C541" s="795" t="s">
        <v>3612</v>
      </c>
      <c r="D541" s="795" t="s">
        <v>3638</v>
      </c>
      <c r="E541" s="795" t="s">
        <v>3639</v>
      </c>
      <c r="F541" s="812">
        <v>2</v>
      </c>
      <c r="G541" s="812">
        <v>1022.9</v>
      </c>
      <c r="H541" s="812"/>
      <c r="I541" s="812">
        <v>511.45</v>
      </c>
      <c r="J541" s="812"/>
      <c r="K541" s="812"/>
      <c r="L541" s="812"/>
      <c r="M541" s="812"/>
      <c r="N541" s="812"/>
      <c r="O541" s="812"/>
      <c r="P541" s="800"/>
      <c r="Q541" s="813"/>
    </row>
    <row r="542" spans="1:17" ht="14.4" customHeight="1" x14ac:dyDescent="0.3">
      <c r="A542" s="794" t="s">
        <v>591</v>
      </c>
      <c r="B542" s="795" t="s">
        <v>4280</v>
      </c>
      <c r="C542" s="795" t="s">
        <v>3612</v>
      </c>
      <c r="D542" s="795" t="s">
        <v>3640</v>
      </c>
      <c r="E542" s="795" t="s">
        <v>3641</v>
      </c>
      <c r="F542" s="812">
        <v>0.8</v>
      </c>
      <c r="G542" s="812">
        <v>770.21</v>
      </c>
      <c r="H542" s="812"/>
      <c r="I542" s="812">
        <v>962.76250000000005</v>
      </c>
      <c r="J542" s="812"/>
      <c r="K542" s="812"/>
      <c r="L542" s="812"/>
      <c r="M542" s="812"/>
      <c r="N542" s="812"/>
      <c r="O542" s="812"/>
      <c r="P542" s="800"/>
      <c r="Q542" s="813"/>
    </row>
    <row r="543" spans="1:17" ht="14.4" customHeight="1" x14ac:dyDescent="0.3">
      <c r="A543" s="794" t="s">
        <v>591</v>
      </c>
      <c r="B543" s="795" t="s">
        <v>4280</v>
      </c>
      <c r="C543" s="795" t="s">
        <v>3612</v>
      </c>
      <c r="D543" s="795" t="s">
        <v>3645</v>
      </c>
      <c r="E543" s="795" t="s">
        <v>3643</v>
      </c>
      <c r="F543" s="812">
        <v>1.2</v>
      </c>
      <c r="G543" s="812">
        <v>755.48</v>
      </c>
      <c r="H543" s="812"/>
      <c r="I543" s="812">
        <v>629.56666666666672</v>
      </c>
      <c r="J543" s="812"/>
      <c r="K543" s="812"/>
      <c r="L543" s="812"/>
      <c r="M543" s="812"/>
      <c r="N543" s="812">
        <v>0.7</v>
      </c>
      <c r="O543" s="812">
        <v>440.71</v>
      </c>
      <c r="P543" s="800"/>
      <c r="Q543" s="813">
        <v>629.58571428571429</v>
      </c>
    </row>
    <row r="544" spans="1:17" ht="14.4" customHeight="1" x14ac:dyDescent="0.3">
      <c r="A544" s="794" t="s">
        <v>591</v>
      </c>
      <c r="B544" s="795" t="s">
        <v>4280</v>
      </c>
      <c r="C544" s="795" t="s">
        <v>3612</v>
      </c>
      <c r="D544" s="795" t="s">
        <v>4293</v>
      </c>
      <c r="E544" s="795" t="s">
        <v>3951</v>
      </c>
      <c r="F544" s="812"/>
      <c r="G544" s="812"/>
      <c r="H544" s="812"/>
      <c r="I544" s="812"/>
      <c r="J544" s="812">
        <v>1</v>
      </c>
      <c r="K544" s="812">
        <v>1169.8499999999999</v>
      </c>
      <c r="L544" s="812">
        <v>1</v>
      </c>
      <c r="M544" s="812">
        <v>1169.8499999999999</v>
      </c>
      <c r="N544" s="812"/>
      <c r="O544" s="812"/>
      <c r="P544" s="800"/>
      <c r="Q544" s="813"/>
    </row>
    <row r="545" spans="1:17" ht="14.4" customHeight="1" x14ac:dyDescent="0.3">
      <c r="A545" s="794" t="s">
        <v>591</v>
      </c>
      <c r="B545" s="795" t="s">
        <v>4280</v>
      </c>
      <c r="C545" s="795" t="s">
        <v>3612</v>
      </c>
      <c r="D545" s="795" t="s">
        <v>3648</v>
      </c>
      <c r="E545" s="795" t="s">
        <v>3647</v>
      </c>
      <c r="F545" s="812">
        <v>1</v>
      </c>
      <c r="G545" s="812">
        <v>2111.8000000000002</v>
      </c>
      <c r="H545" s="812"/>
      <c r="I545" s="812">
        <v>2111.8000000000002</v>
      </c>
      <c r="J545" s="812"/>
      <c r="K545" s="812"/>
      <c r="L545" s="812"/>
      <c r="M545" s="812"/>
      <c r="N545" s="812"/>
      <c r="O545" s="812"/>
      <c r="P545" s="800"/>
      <c r="Q545" s="813"/>
    </row>
    <row r="546" spans="1:17" ht="14.4" customHeight="1" x14ac:dyDescent="0.3">
      <c r="A546" s="794" t="s">
        <v>591</v>
      </c>
      <c r="B546" s="795" t="s">
        <v>4280</v>
      </c>
      <c r="C546" s="795" t="s">
        <v>3612</v>
      </c>
      <c r="D546" s="795" t="s">
        <v>3649</v>
      </c>
      <c r="E546" s="795" t="s">
        <v>3650</v>
      </c>
      <c r="F546" s="812"/>
      <c r="G546" s="812"/>
      <c r="H546" s="812"/>
      <c r="I546" s="812"/>
      <c r="J546" s="812">
        <v>4</v>
      </c>
      <c r="K546" s="812">
        <v>4137.16</v>
      </c>
      <c r="L546" s="812">
        <v>1</v>
      </c>
      <c r="M546" s="812">
        <v>1034.29</v>
      </c>
      <c r="N546" s="812"/>
      <c r="O546" s="812"/>
      <c r="P546" s="800"/>
      <c r="Q546" s="813"/>
    </row>
    <row r="547" spans="1:17" ht="14.4" customHeight="1" x14ac:dyDescent="0.3">
      <c r="A547" s="794" t="s">
        <v>591</v>
      </c>
      <c r="B547" s="795" t="s">
        <v>4280</v>
      </c>
      <c r="C547" s="795" t="s">
        <v>3612</v>
      </c>
      <c r="D547" s="795" t="s">
        <v>3651</v>
      </c>
      <c r="E547" s="795" t="s">
        <v>3650</v>
      </c>
      <c r="F547" s="812"/>
      <c r="G547" s="812"/>
      <c r="H547" s="812"/>
      <c r="I547" s="812"/>
      <c r="J547" s="812">
        <v>11</v>
      </c>
      <c r="K547" s="812">
        <v>12095.38</v>
      </c>
      <c r="L547" s="812">
        <v>1</v>
      </c>
      <c r="M547" s="812">
        <v>1099.58</v>
      </c>
      <c r="N547" s="812">
        <v>3</v>
      </c>
      <c r="O547" s="812">
        <v>3298.74</v>
      </c>
      <c r="P547" s="800">
        <v>0.27272727272727271</v>
      </c>
      <c r="Q547" s="813">
        <v>1099.58</v>
      </c>
    </row>
    <row r="548" spans="1:17" ht="14.4" customHeight="1" x14ac:dyDescent="0.3">
      <c r="A548" s="794" t="s">
        <v>591</v>
      </c>
      <c r="B548" s="795" t="s">
        <v>4280</v>
      </c>
      <c r="C548" s="795" t="s">
        <v>3612</v>
      </c>
      <c r="D548" s="795" t="s">
        <v>3652</v>
      </c>
      <c r="E548" s="795" t="s">
        <v>3650</v>
      </c>
      <c r="F548" s="812"/>
      <c r="G548" s="812"/>
      <c r="H548" s="812"/>
      <c r="I548" s="812"/>
      <c r="J548" s="812">
        <v>9</v>
      </c>
      <c r="K548" s="812">
        <v>10623.78</v>
      </c>
      <c r="L548" s="812">
        <v>1</v>
      </c>
      <c r="M548" s="812">
        <v>1180.42</v>
      </c>
      <c r="N548" s="812">
        <v>5</v>
      </c>
      <c r="O548" s="812">
        <v>5902.1</v>
      </c>
      <c r="P548" s="800">
        <v>0.55555555555555558</v>
      </c>
      <c r="Q548" s="813">
        <v>1180.42</v>
      </c>
    </row>
    <row r="549" spans="1:17" ht="14.4" customHeight="1" x14ac:dyDescent="0.3">
      <c r="A549" s="794" t="s">
        <v>591</v>
      </c>
      <c r="B549" s="795" t="s">
        <v>4280</v>
      </c>
      <c r="C549" s="795" t="s">
        <v>3612</v>
      </c>
      <c r="D549" s="795" t="s">
        <v>3653</v>
      </c>
      <c r="E549" s="795" t="s">
        <v>3650</v>
      </c>
      <c r="F549" s="812"/>
      <c r="G549" s="812"/>
      <c r="H549" s="812"/>
      <c r="I549" s="812"/>
      <c r="J549" s="812">
        <v>14</v>
      </c>
      <c r="K549" s="812">
        <v>17468.919999999998</v>
      </c>
      <c r="L549" s="812">
        <v>1</v>
      </c>
      <c r="M549" s="812">
        <v>1247.78</v>
      </c>
      <c r="N549" s="812"/>
      <c r="O549" s="812"/>
      <c r="P549" s="800"/>
      <c r="Q549" s="813"/>
    </row>
    <row r="550" spans="1:17" ht="14.4" customHeight="1" x14ac:dyDescent="0.3">
      <c r="A550" s="794" t="s">
        <v>591</v>
      </c>
      <c r="B550" s="795" t="s">
        <v>4280</v>
      </c>
      <c r="C550" s="795" t="s">
        <v>3612</v>
      </c>
      <c r="D550" s="795" t="s">
        <v>3655</v>
      </c>
      <c r="E550" s="795" t="s">
        <v>3656</v>
      </c>
      <c r="F550" s="812"/>
      <c r="G550" s="812"/>
      <c r="H550" s="812"/>
      <c r="I550" s="812"/>
      <c r="J550" s="812">
        <v>2</v>
      </c>
      <c r="K550" s="812">
        <v>21251.68</v>
      </c>
      <c r="L550" s="812">
        <v>1</v>
      </c>
      <c r="M550" s="812">
        <v>10625.84</v>
      </c>
      <c r="N550" s="812"/>
      <c r="O550" s="812"/>
      <c r="P550" s="800"/>
      <c r="Q550" s="813"/>
    </row>
    <row r="551" spans="1:17" ht="14.4" customHeight="1" x14ac:dyDescent="0.3">
      <c r="A551" s="794" t="s">
        <v>591</v>
      </c>
      <c r="B551" s="795" t="s">
        <v>4280</v>
      </c>
      <c r="C551" s="795" t="s">
        <v>3612</v>
      </c>
      <c r="D551" s="795" t="s">
        <v>3662</v>
      </c>
      <c r="E551" s="795" t="s">
        <v>3663</v>
      </c>
      <c r="F551" s="812">
        <v>7</v>
      </c>
      <c r="G551" s="812">
        <v>3496.71</v>
      </c>
      <c r="H551" s="812"/>
      <c r="I551" s="812">
        <v>499.53000000000003</v>
      </c>
      <c r="J551" s="812"/>
      <c r="K551" s="812"/>
      <c r="L551" s="812"/>
      <c r="M551" s="812"/>
      <c r="N551" s="812">
        <v>3</v>
      </c>
      <c r="O551" s="812">
        <v>1498.59</v>
      </c>
      <c r="P551" s="800"/>
      <c r="Q551" s="813">
        <v>499.53</v>
      </c>
    </row>
    <row r="552" spans="1:17" ht="14.4" customHeight="1" x14ac:dyDescent="0.3">
      <c r="A552" s="794" t="s">
        <v>591</v>
      </c>
      <c r="B552" s="795" t="s">
        <v>4280</v>
      </c>
      <c r="C552" s="795" t="s">
        <v>3612</v>
      </c>
      <c r="D552" s="795" t="s">
        <v>3664</v>
      </c>
      <c r="E552" s="795" t="s">
        <v>3663</v>
      </c>
      <c r="F552" s="812">
        <v>2</v>
      </c>
      <c r="G552" s="812">
        <v>853.96</v>
      </c>
      <c r="H552" s="812">
        <v>2</v>
      </c>
      <c r="I552" s="812">
        <v>426.98</v>
      </c>
      <c r="J552" s="812">
        <v>1</v>
      </c>
      <c r="K552" s="812">
        <v>426.98</v>
      </c>
      <c r="L552" s="812">
        <v>1</v>
      </c>
      <c r="M552" s="812">
        <v>426.98</v>
      </c>
      <c r="N552" s="812">
        <v>2</v>
      </c>
      <c r="O552" s="812">
        <v>853.96</v>
      </c>
      <c r="P552" s="800">
        <v>2</v>
      </c>
      <c r="Q552" s="813">
        <v>426.98</v>
      </c>
    </row>
    <row r="553" spans="1:17" ht="14.4" customHeight="1" x14ac:dyDescent="0.3">
      <c r="A553" s="794" t="s">
        <v>591</v>
      </c>
      <c r="B553" s="795" t="s">
        <v>4280</v>
      </c>
      <c r="C553" s="795" t="s">
        <v>3612</v>
      </c>
      <c r="D553" s="795" t="s">
        <v>3665</v>
      </c>
      <c r="E553" s="795" t="s">
        <v>3666</v>
      </c>
      <c r="F553" s="812">
        <v>2</v>
      </c>
      <c r="G553" s="812">
        <v>19315.740000000002</v>
      </c>
      <c r="H553" s="812"/>
      <c r="I553" s="812">
        <v>9657.8700000000008</v>
      </c>
      <c r="J553" s="812"/>
      <c r="K553" s="812"/>
      <c r="L553" s="812"/>
      <c r="M553" s="812"/>
      <c r="N553" s="812">
        <v>1</v>
      </c>
      <c r="O553" s="812">
        <v>9657.8700000000008</v>
      </c>
      <c r="P553" s="800"/>
      <c r="Q553" s="813">
        <v>9657.8700000000008</v>
      </c>
    </row>
    <row r="554" spans="1:17" ht="14.4" customHeight="1" x14ac:dyDescent="0.3">
      <c r="A554" s="794" t="s">
        <v>591</v>
      </c>
      <c r="B554" s="795" t="s">
        <v>4280</v>
      </c>
      <c r="C554" s="795" t="s">
        <v>3612</v>
      </c>
      <c r="D554" s="795" t="s">
        <v>3667</v>
      </c>
      <c r="E554" s="795" t="s">
        <v>3634</v>
      </c>
      <c r="F554" s="812">
        <v>3</v>
      </c>
      <c r="G554" s="812">
        <v>207.06</v>
      </c>
      <c r="H554" s="812">
        <v>0.2</v>
      </c>
      <c r="I554" s="812">
        <v>69.02</v>
      </c>
      <c r="J554" s="812">
        <v>15</v>
      </c>
      <c r="K554" s="812">
        <v>1035.3</v>
      </c>
      <c r="L554" s="812">
        <v>1</v>
      </c>
      <c r="M554" s="812">
        <v>69.02</v>
      </c>
      <c r="N554" s="812">
        <v>4</v>
      </c>
      <c r="O554" s="812">
        <v>276.08</v>
      </c>
      <c r="P554" s="800">
        <v>0.26666666666666666</v>
      </c>
      <c r="Q554" s="813">
        <v>69.02</v>
      </c>
    </row>
    <row r="555" spans="1:17" ht="14.4" customHeight="1" x14ac:dyDescent="0.3">
      <c r="A555" s="794" t="s">
        <v>591</v>
      </c>
      <c r="B555" s="795" t="s">
        <v>4280</v>
      </c>
      <c r="C555" s="795" t="s">
        <v>3612</v>
      </c>
      <c r="D555" s="795" t="s">
        <v>3668</v>
      </c>
      <c r="E555" s="795" t="s">
        <v>3634</v>
      </c>
      <c r="F555" s="812">
        <v>4</v>
      </c>
      <c r="G555" s="812">
        <v>339.92</v>
      </c>
      <c r="H555" s="812">
        <v>0.79999999999999993</v>
      </c>
      <c r="I555" s="812">
        <v>84.98</v>
      </c>
      <c r="J555" s="812">
        <v>5</v>
      </c>
      <c r="K555" s="812">
        <v>424.90000000000003</v>
      </c>
      <c r="L555" s="812">
        <v>1</v>
      </c>
      <c r="M555" s="812">
        <v>84.98</v>
      </c>
      <c r="N555" s="812">
        <v>3</v>
      </c>
      <c r="O555" s="812">
        <v>254.94</v>
      </c>
      <c r="P555" s="800">
        <v>0.6</v>
      </c>
      <c r="Q555" s="813">
        <v>84.98</v>
      </c>
    </row>
    <row r="556" spans="1:17" ht="14.4" customHeight="1" x14ac:dyDescent="0.3">
      <c r="A556" s="794" t="s">
        <v>591</v>
      </c>
      <c r="B556" s="795" t="s">
        <v>4280</v>
      </c>
      <c r="C556" s="795" t="s">
        <v>3612</v>
      </c>
      <c r="D556" s="795" t="s">
        <v>3669</v>
      </c>
      <c r="E556" s="795" t="s">
        <v>3670</v>
      </c>
      <c r="F556" s="812">
        <v>1</v>
      </c>
      <c r="G556" s="812">
        <v>713.02</v>
      </c>
      <c r="H556" s="812"/>
      <c r="I556" s="812">
        <v>713.02</v>
      </c>
      <c r="J556" s="812"/>
      <c r="K556" s="812"/>
      <c r="L556" s="812"/>
      <c r="M556" s="812"/>
      <c r="N556" s="812"/>
      <c r="O556" s="812"/>
      <c r="P556" s="800"/>
      <c r="Q556" s="813"/>
    </row>
    <row r="557" spans="1:17" ht="14.4" customHeight="1" x14ac:dyDescent="0.3">
      <c r="A557" s="794" t="s">
        <v>591</v>
      </c>
      <c r="B557" s="795" t="s">
        <v>4280</v>
      </c>
      <c r="C557" s="795" t="s">
        <v>3612</v>
      </c>
      <c r="D557" s="795" t="s">
        <v>3671</v>
      </c>
      <c r="E557" s="795" t="s">
        <v>3672</v>
      </c>
      <c r="F557" s="812">
        <v>2</v>
      </c>
      <c r="G557" s="812">
        <v>460.14</v>
      </c>
      <c r="H557" s="812">
        <v>1</v>
      </c>
      <c r="I557" s="812">
        <v>230.07</v>
      </c>
      <c r="J557" s="812">
        <v>2</v>
      </c>
      <c r="K557" s="812">
        <v>460.14</v>
      </c>
      <c r="L557" s="812">
        <v>1</v>
      </c>
      <c r="M557" s="812">
        <v>230.07</v>
      </c>
      <c r="N557" s="812">
        <v>1</v>
      </c>
      <c r="O557" s="812">
        <v>230.07</v>
      </c>
      <c r="P557" s="800">
        <v>0.5</v>
      </c>
      <c r="Q557" s="813">
        <v>230.07</v>
      </c>
    </row>
    <row r="558" spans="1:17" ht="14.4" customHeight="1" x14ac:dyDescent="0.3">
      <c r="A558" s="794" t="s">
        <v>591</v>
      </c>
      <c r="B558" s="795" t="s">
        <v>4280</v>
      </c>
      <c r="C558" s="795" t="s">
        <v>3612</v>
      </c>
      <c r="D558" s="795" t="s">
        <v>3673</v>
      </c>
      <c r="E558" s="795" t="s">
        <v>3674</v>
      </c>
      <c r="F558" s="812"/>
      <c r="G558" s="812"/>
      <c r="H558" s="812"/>
      <c r="I558" s="812"/>
      <c r="J558" s="812">
        <v>2</v>
      </c>
      <c r="K558" s="812">
        <v>246.66</v>
      </c>
      <c r="L558" s="812">
        <v>1</v>
      </c>
      <c r="M558" s="812">
        <v>123.33</v>
      </c>
      <c r="N558" s="812"/>
      <c r="O558" s="812"/>
      <c r="P558" s="800"/>
      <c r="Q558" s="813"/>
    </row>
    <row r="559" spans="1:17" ht="14.4" customHeight="1" x14ac:dyDescent="0.3">
      <c r="A559" s="794" t="s">
        <v>591</v>
      </c>
      <c r="B559" s="795" t="s">
        <v>4280</v>
      </c>
      <c r="C559" s="795" t="s">
        <v>3612</v>
      </c>
      <c r="D559" s="795" t="s">
        <v>3677</v>
      </c>
      <c r="E559" s="795" t="s">
        <v>3676</v>
      </c>
      <c r="F559" s="812">
        <v>1</v>
      </c>
      <c r="G559" s="812">
        <v>265.31</v>
      </c>
      <c r="H559" s="812"/>
      <c r="I559" s="812">
        <v>265.31</v>
      </c>
      <c r="J559" s="812"/>
      <c r="K559" s="812"/>
      <c r="L559" s="812"/>
      <c r="M559" s="812"/>
      <c r="N559" s="812"/>
      <c r="O559" s="812"/>
      <c r="P559" s="800"/>
      <c r="Q559" s="813"/>
    </row>
    <row r="560" spans="1:17" ht="14.4" customHeight="1" x14ac:dyDescent="0.3">
      <c r="A560" s="794" t="s">
        <v>591</v>
      </c>
      <c r="B560" s="795" t="s">
        <v>4280</v>
      </c>
      <c r="C560" s="795" t="s">
        <v>3612</v>
      </c>
      <c r="D560" s="795" t="s">
        <v>3678</v>
      </c>
      <c r="E560" s="795" t="s">
        <v>3679</v>
      </c>
      <c r="F560" s="812">
        <v>1</v>
      </c>
      <c r="G560" s="812">
        <v>518.17999999999995</v>
      </c>
      <c r="H560" s="812"/>
      <c r="I560" s="812">
        <v>518.17999999999995</v>
      </c>
      <c r="J560" s="812"/>
      <c r="K560" s="812"/>
      <c r="L560" s="812"/>
      <c r="M560" s="812"/>
      <c r="N560" s="812"/>
      <c r="O560" s="812"/>
      <c r="P560" s="800"/>
      <c r="Q560" s="813"/>
    </row>
    <row r="561" spans="1:17" ht="14.4" customHeight="1" x14ac:dyDescent="0.3">
      <c r="A561" s="794" t="s">
        <v>591</v>
      </c>
      <c r="B561" s="795" t="s">
        <v>4280</v>
      </c>
      <c r="C561" s="795" t="s">
        <v>3612</v>
      </c>
      <c r="D561" s="795" t="s">
        <v>3683</v>
      </c>
      <c r="E561" s="795" t="s">
        <v>3634</v>
      </c>
      <c r="F561" s="812"/>
      <c r="G561" s="812"/>
      <c r="H561" s="812"/>
      <c r="I561" s="812"/>
      <c r="J561" s="812">
        <v>5</v>
      </c>
      <c r="K561" s="812">
        <v>481.9</v>
      </c>
      <c r="L561" s="812">
        <v>1</v>
      </c>
      <c r="M561" s="812">
        <v>96.38</v>
      </c>
      <c r="N561" s="812"/>
      <c r="O561" s="812"/>
      <c r="P561" s="800"/>
      <c r="Q561" s="813"/>
    </row>
    <row r="562" spans="1:17" ht="14.4" customHeight="1" x14ac:dyDescent="0.3">
      <c r="A562" s="794" t="s">
        <v>591</v>
      </c>
      <c r="B562" s="795" t="s">
        <v>4280</v>
      </c>
      <c r="C562" s="795" t="s">
        <v>3612</v>
      </c>
      <c r="D562" s="795" t="s">
        <v>3684</v>
      </c>
      <c r="E562" s="795" t="s">
        <v>3634</v>
      </c>
      <c r="F562" s="812">
        <v>3</v>
      </c>
      <c r="G562" s="812">
        <v>363.75</v>
      </c>
      <c r="H562" s="812">
        <v>1.5</v>
      </c>
      <c r="I562" s="812">
        <v>121.25</v>
      </c>
      <c r="J562" s="812">
        <v>2</v>
      </c>
      <c r="K562" s="812">
        <v>242.5</v>
      </c>
      <c r="L562" s="812">
        <v>1</v>
      </c>
      <c r="M562" s="812">
        <v>121.25</v>
      </c>
      <c r="N562" s="812">
        <v>1</v>
      </c>
      <c r="O562" s="812">
        <v>121.25</v>
      </c>
      <c r="P562" s="800">
        <v>0.5</v>
      </c>
      <c r="Q562" s="813">
        <v>121.25</v>
      </c>
    </row>
    <row r="563" spans="1:17" ht="14.4" customHeight="1" x14ac:dyDescent="0.3">
      <c r="A563" s="794" t="s">
        <v>591</v>
      </c>
      <c r="B563" s="795" t="s">
        <v>4280</v>
      </c>
      <c r="C563" s="795" t="s">
        <v>3612</v>
      </c>
      <c r="D563" s="795" t="s">
        <v>3688</v>
      </c>
      <c r="E563" s="795" t="s">
        <v>3634</v>
      </c>
      <c r="F563" s="812">
        <v>3</v>
      </c>
      <c r="G563" s="812">
        <v>270.48</v>
      </c>
      <c r="H563" s="812"/>
      <c r="I563" s="812">
        <v>90.160000000000011</v>
      </c>
      <c r="J563" s="812"/>
      <c r="K563" s="812"/>
      <c r="L563" s="812"/>
      <c r="M563" s="812"/>
      <c r="N563" s="812"/>
      <c r="O563" s="812"/>
      <c r="P563" s="800"/>
      <c r="Q563" s="813"/>
    </row>
    <row r="564" spans="1:17" ht="14.4" customHeight="1" x14ac:dyDescent="0.3">
      <c r="A564" s="794" t="s">
        <v>591</v>
      </c>
      <c r="B564" s="795" t="s">
        <v>4280</v>
      </c>
      <c r="C564" s="795" t="s">
        <v>3612</v>
      </c>
      <c r="D564" s="795" t="s">
        <v>3689</v>
      </c>
      <c r="E564" s="795" t="s">
        <v>3690</v>
      </c>
      <c r="F564" s="812"/>
      <c r="G564" s="812"/>
      <c r="H564" s="812"/>
      <c r="I564" s="812"/>
      <c r="J564" s="812">
        <v>1</v>
      </c>
      <c r="K564" s="812">
        <v>4452.0600000000004</v>
      </c>
      <c r="L564" s="812">
        <v>1</v>
      </c>
      <c r="M564" s="812">
        <v>4452.0600000000004</v>
      </c>
      <c r="N564" s="812"/>
      <c r="O564" s="812"/>
      <c r="P564" s="800"/>
      <c r="Q564" s="813"/>
    </row>
    <row r="565" spans="1:17" ht="14.4" customHeight="1" x14ac:dyDescent="0.3">
      <c r="A565" s="794" t="s">
        <v>591</v>
      </c>
      <c r="B565" s="795" t="s">
        <v>4280</v>
      </c>
      <c r="C565" s="795" t="s">
        <v>3612</v>
      </c>
      <c r="D565" s="795" t="s">
        <v>3693</v>
      </c>
      <c r="E565" s="795" t="s">
        <v>3694</v>
      </c>
      <c r="F565" s="812"/>
      <c r="G565" s="812"/>
      <c r="H565" s="812"/>
      <c r="I565" s="812"/>
      <c r="J565" s="812">
        <v>1</v>
      </c>
      <c r="K565" s="812">
        <v>4990</v>
      </c>
      <c r="L565" s="812">
        <v>1</v>
      </c>
      <c r="M565" s="812">
        <v>4990</v>
      </c>
      <c r="N565" s="812"/>
      <c r="O565" s="812"/>
      <c r="P565" s="800"/>
      <c r="Q565" s="813"/>
    </row>
    <row r="566" spans="1:17" ht="14.4" customHeight="1" x14ac:dyDescent="0.3">
      <c r="A566" s="794" t="s">
        <v>591</v>
      </c>
      <c r="B566" s="795" t="s">
        <v>4280</v>
      </c>
      <c r="C566" s="795" t="s">
        <v>3612</v>
      </c>
      <c r="D566" s="795" t="s">
        <v>3699</v>
      </c>
      <c r="E566" s="795" t="s">
        <v>3700</v>
      </c>
      <c r="F566" s="812"/>
      <c r="G566" s="812"/>
      <c r="H566" s="812"/>
      <c r="I566" s="812"/>
      <c r="J566" s="812">
        <v>1</v>
      </c>
      <c r="K566" s="812">
        <v>2834.45</v>
      </c>
      <c r="L566" s="812">
        <v>1</v>
      </c>
      <c r="M566" s="812">
        <v>2834.45</v>
      </c>
      <c r="N566" s="812"/>
      <c r="O566" s="812"/>
      <c r="P566" s="800"/>
      <c r="Q566" s="813"/>
    </row>
    <row r="567" spans="1:17" ht="14.4" customHeight="1" x14ac:dyDescent="0.3">
      <c r="A567" s="794" t="s">
        <v>591</v>
      </c>
      <c r="B567" s="795" t="s">
        <v>4280</v>
      </c>
      <c r="C567" s="795" t="s">
        <v>3612</v>
      </c>
      <c r="D567" s="795" t="s">
        <v>3702</v>
      </c>
      <c r="E567" s="795" t="s">
        <v>3703</v>
      </c>
      <c r="F567" s="812">
        <v>1</v>
      </c>
      <c r="G567" s="812">
        <v>1247.78</v>
      </c>
      <c r="H567" s="812"/>
      <c r="I567" s="812">
        <v>1247.78</v>
      </c>
      <c r="J567" s="812"/>
      <c r="K567" s="812"/>
      <c r="L567" s="812"/>
      <c r="M567" s="812"/>
      <c r="N567" s="812"/>
      <c r="O567" s="812"/>
      <c r="P567" s="800"/>
      <c r="Q567" s="813"/>
    </row>
    <row r="568" spans="1:17" ht="14.4" customHeight="1" x14ac:dyDescent="0.3">
      <c r="A568" s="794" t="s">
        <v>591</v>
      </c>
      <c r="B568" s="795" t="s">
        <v>4280</v>
      </c>
      <c r="C568" s="795" t="s">
        <v>3612</v>
      </c>
      <c r="D568" s="795" t="s">
        <v>3704</v>
      </c>
      <c r="E568" s="795" t="s">
        <v>3703</v>
      </c>
      <c r="F568" s="812">
        <v>6</v>
      </c>
      <c r="G568" s="812">
        <v>8531.34</v>
      </c>
      <c r="H568" s="812"/>
      <c r="I568" s="812">
        <v>1421.89</v>
      </c>
      <c r="J568" s="812"/>
      <c r="K568" s="812"/>
      <c r="L568" s="812"/>
      <c r="M568" s="812"/>
      <c r="N568" s="812">
        <v>3</v>
      </c>
      <c r="O568" s="812">
        <v>4265.67</v>
      </c>
      <c r="P568" s="800"/>
      <c r="Q568" s="813">
        <v>1421.89</v>
      </c>
    </row>
    <row r="569" spans="1:17" ht="14.4" customHeight="1" x14ac:dyDescent="0.3">
      <c r="A569" s="794" t="s">
        <v>591</v>
      </c>
      <c r="B569" s="795" t="s">
        <v>4280</v>
      </c>
      <c r="C569" s="795" t="s">
        <v>3612</v>
      </c>
      <c r="D569" s="795" t="s">
        <v>3705</v>
      </c>
      <c r="E569" s="795" t="s">
        <v>3703</v>
      </c>
      <c r="F569" s="812">
        <v>4</v>
      </c>
      <c r="G569" s="812">
        <v>6624.44</v>
      </c>
      <c r="H569" s="812"/>
      <c r="I569" s="812">
        <v>1656.11</v>
      </c>
      <c r="J569" s="812"/>
      <c r="K569" s="812"/>
      <c r="L569" s="812"/>
      <c r="M569" s="812"/>
      <c r="N569" s="812">
        <v>1</v>
      </c>
      <c r="O569" s="812">
        <v>1656.11</v>
      </c>
      <c r="P569" s="800"/>
      <c r="Q569" s="813">
        <v>1656.11</v>
      </c>
    </row>
    <row r="570" spans="1:17" ht="14.4" customHeight="1" x14ac:dyDescent="0.3">
      <c r="A570" s="794" t="s">
        <v>591</v>
      </c>
      <c r="B570" s="795" t="s">
        <v>4280</v>
      </c>
      <c r="C570" s="795" t="s">
        <v>3612</v>
      </c>
      <c r="D570" s="795" t="s">
        <v>4294</v>
      </c>
      <c r="E570" s="795" t="s">
        <v>3703</v>
      </c>
      <c r="F570" s="812">
        <v>4</v>
      </c>
      <c r="G570" s="812">
        <v>7117.76</v>
      </c>
      <c r="H570" s="812"/>
      <c r="I570" s="812">
        <v>1779.44</v>
      </c>
      <c r="J570" s="812"/>
      <c r="K570" s="812"/>
      <c r="L570" s="812"/>
      <c r="M570" s="812"/>
      <c r="N570" s="812">
        <v>5</v>
      </c>
      <c r="O570" s="812">
        <v>8897.2000000000007</v>
      </c>
      <c r="P570" s="800"/>
      <c r="Q570" s="813">
        <v>1779.44</v>
      </c>
    </row>
    <row r="571" spans="1:17" ht="14.4" customHeight="1" x14ac:dyDescent="0.3">
      <c r="A571" s="794" t="s">
        <v>591</v>
      </c>
      <c r="B571" s="795" t="s">
        <v>4280</v>
      </c>
      <c r="C571" s="795" t="s">
        <v>3612</v>
      </c>
      <c r="D571" s="795" t="s">
        <v>3706</v>
      </c>
      <c r="E571" s="795" t="s">
        <v>3707</v>
      </c>
      <c r="F571" s="812"/>
      <c r="G571" s="812"/>
      <c r="H571" s="812"/>
      <c r="I571" s="812"/>
      <c r="J571" s="812">
        <v>6</v>
      </c>
      <c r="K571" s="812">
        <v>8518.92</v>
      </c>
      <c r="L571" s="812">
        <v>1</v>
      </c>
      <c r="M571" s="812">
        <v>1419.82</v>
      </c>
      <c r="N571" s="812">
        <v>3</v>
      </c>
      <c r="O571" s="812">
        <v>4259.46</v>
      </c>
      <c r="P571" s="800">
        <v>0.5</v>
      </c>
      <c r="Q571" s="813">
        <v>1419.82</v>
      </c>
    </row>
    <row r="572" spans="1:17" ht="14.4" customHeight="1" x14ac:dyDescent="0.3">
      <c r="A572" s="794" t="s">
        <v>591</v>
      </c>
      <c r="B572" s="795" t="s">
        <v>4280</v>
      </c>
      <c r="C572" s="795" t="s">
        <v>3612</v>
      </c>
      <c r="D572" s="795" t="s">
        <v>3708</v>
      </c>
      <c r="E572" s="795" t="s">
        <v>3707</v>
      </c>
      <c r="F572" s="812"/>
      <c r="G572" s="812"/>
      <c r="H572" s="812"/>
      <c r="I572" s="812"/>
      <c r="J572" s="812">
        <v>22</v>
      </c>
      <c r="K572" s="812">
        <v>34040.380000000005</v>
      </c>
      <c r="L572" s="812">
        <v>1</v>
      </c>
      <c r="M572" s="812">
        <v>1547.2900000000002</v>
      </c>
      <c r="N572" s="812">
        <v>7</v>
      </c>
      <c r="O572" s="812">
        <v>10831.029999999999</v>
      </c>
      <c r="P572" s="800">
        <v>0.31818181818181812</v>
      </c>
      <c r="Q572" s="813">
        <v>1547.2899999999997</v>
      </c>
    </row>
    <row r="573" spans="1:17" ht="14.4" customHeight="1" x14ac:dyDescent="0.3">
      <c r="A573" s="794" t="s">
        <v>591</v>
      </c>
      <c r="B573" s="795" t="s">
        <v>4280</v>
      </c>
      <c r="C573" s="795" t="s">
        <v>3612</v>
      </c>
      <c r="D573" s="795" t="s">
        <v>3709</v>
      </c>
      <c r="E573" s="795" t="s">
        <v>3707</v>
      </c>
      <c r="F573" s="812"/>
      <c r="G573" s="812"/>
      <c r="H573" s="812"/>
      <c r="I573" s="812"/>
      <c r="J573" s="812">
        <v>4</v>
      </c>
      <c r="K573" s="812">
        <v>6578.84</v>
      </c>
      <c r="L573" s="812">
        <v>1</v>
      </c>
      <c r="M573" s="812">
        <v>1644.71</v>
      </c>
      <c r="N573" s="812"/>
      <c r="O573" s="812"/>
      <c r="P573" s="800"/>
      <c r="Q573" s="813"/>
    </row>
    <row r="574" spans="1:17" ht="14.4" customHeight="1" x14ac:dyDescent="0.3">
      <c r="A574" s="794" t="s">
        <v>591</v>
      </c>
      <c r="B574" s="795" t="s">
        <v>4280</v>
      </c>
      <c r="C574" s="795" t="s">
        <v>3612</v>
      </c>
      <c r="D574" s="795" t="s">
        <v>4295</v>
      </c>
      <c r="E574" s="795" t="s">
        <v>4296</v>
      </c>
      <c r="F574" s="812"/>
      <c r="G574" s="812"/>
      <c r="H574" s="812"/>
      <c r="I574" s="812"/>
      <c r="J574" s="812">
        <v>4</v>
      </c>
      <c r="K574" s="812">
        <v>8912.7199999999993</v>
      </c>
      <c r="L574" s="812">
        <v>1</v>
      </c>
      <c r="M574" s="812">
        <v>2228.1799999999998</v>
      </c>
      <c r="N574" s="812"/>
      <c r="O574" s="812"/>
      <c r="P574" s="800"/>
      <c r="Q574" s="813"/>
    </row>
    <row r="575" spans="1:17" ht="14.4" customHeight="1" x14ac:dyDescent="0.3">
      <c r="A575" s="794" t="s">
        <v>591</v>
      </c>
      <c r="B575" s="795" t="s">
        <v>4280</v>
      </c>
      <c r="C575" s="795" t="s">
        <v>3612</v>
      </c>
      <c r="D575" s="795" t="s">
        <v>3710</v>
      </c>
      <c r="E575" s="795" t="s">
        <v>3711</v>
      </c>
      <c r="F575" s="812">
        <v>8</v>
      </c>
      <c r="G575" s="812">
        <v>6314.32</v>
      </c>
      <c r="H575" s="812">
        <v>0.38095238095238093</v>
      </c>
      <c r="I575" s="812">
        <v>789.29</v>
      </c>
      <c r="J575" s="812">
        <v>21</v>
      </c>
      <c r="K575" s="812">
        <v>16575.09</v>
      </c>
      <c r="L575" s="812">
        <v>1</v>
      </c>
      <c r="M575" s="812">
        <v>789.29</v>
      </c>
      <c r="N575" s="812">
        <v>12</v>
      </c>
      <c r="O575" s="812">
        <v>9471.48</v>
      </c>
      <c r="P575" s="800">
        <v>0.5714285714285714</v>
      </c>
      <c r="Q575" s="813">
        <v>789.29</v>
      </c>
    </row>
    <row r="576" spans="1:17" ht="14.4" customHeight="1" x14ac:dyDescent="0.3">
      <c r="A576" s="794" t="s">
        <v>591</v>
      </c>
      <c r="B576" s="795" t="s">
        <v>4280</v>
      </c>
      <c r="C576" s="795" t="s">
        <v>3612</v>
      </c>
      <c r="D576" s="795" t="s">
        <v>3716</v>
      </c>
      <c r="E576" s="795" t="s">
        <v>3707</v>
      </c>
      <c r="F576" s="812"/>
      <c r="G576" s="812"/>
      <c r="H576" s="812"/>
      <c r="I576" s="812"/>
      <c r="J576" s="812">
        <v>3</v>
      </c>
      <c r="K576" s="812">
        <v>3824.19</v>
      </c>
      <c r="L576" s="812">
        <v>1</v>
      </c>
      <c r="M576" s="812">
        <v>1274.73</v>
      </c>
      <c r="N576" s="812">
        <v>1</v>
      </c>
      <c r="O576" s="812">
        <v>1274.73</v>
      </c>
      <c r="P576" s="800">
        <v>0.33333333333333331</v>
      </c>
      <c r="Q576" s="813">
        <v>1274.73</v>
      </c>
    </row>
    <row r="577" spans="1:17" ht="14.4" customHeight="1" x14ac:dyDescent="0.3">
      <c r="A577" s="794" t="s">
        <v>591</v>
      </c>
      <c r="B577" s="795" t="s">
        <v>4280</v>
      </c>
      <c r="C577" s="795" t="s">
        <v>3612</v>
      </c>
      <c r="D577" s="795" t="s">
        <v>3717</v>
      </c>
      <c r="E577" s="795" t="s">
        <v>3718</v>
      </c>
      <c r="F577" s="812"/>
      <c r="G577" s="812"/>
      <c r="H577" s="812"/>
      <c r="I577" s="812"/>
      <c r="J577" s="812">
        <v>2</v>
      </c>
      <c r="K577" s="812">
        <v>25281.06</v>
      </c>
      <c r="L577" s="812">
        <v>1</v>
      </c>
      <c r="M577" s="812">
        <v>12640.53</v>
      </c>
      <c r="N577" s="812">
        <v>1</v>
      </c>
      <c r="O577" s="812">
        <v>12640.53</v>
      </c>
      <c r="P577" s="800">
        <v>0.5</v>
      </c>
      <c r="Q577" s="813">
        <v>12640.53</v>
      </c>
    </row>
    <row r="578" spans="1:17" ht="14.4" customHeight="1" x14ac:dyDescent="0.3">
      <c r="A578" s="794" t="s">
        <v>591</v>
      </c>
      <c r="B578" s="795" t="s">
        <v>4280</v>
      </c>
      <c r="C578" s="795" t="s">
        <v>3612</v>
      </c>
      <c r="D578" s="795" t="s">
        <v>3721</v>
      </c>
      <c r="E578" s="795" t="s">
        <v>3720</v>
      </c>
      <c r="F578" s="812">
        <v>1</v>
      </c>
      <c r="G578" s="812">
        <v>13282.04</v>
      </c>
      <c r="H578" s="812"/>
      <c r="I578" s="812">
        <v>13282.04</v>
      </c>
      <c r="J578" s="812"/>
      <c r="K578" s="812"/>
      <c r="L578" s="812"/>
      <c r="M578" s="812"/>
      <c r="N578" s="812"/>
      <c r="O578" s="812"/>
      <c r="P578" s="800"/>
      <c r="Q578" s="813"/>
    </row>
    <row r="579" spans="1:17" ht="14.4" customHeight="1" x14ac:dyDescent="0.3">
      <c r="A579" s="794" t="s">
        <v>591</v>
      </c>
      <c r="B579" s="795" t="s">
        <v>4280</v>
      </c>
      <c r="C579" s="795" t="s">
        <v>3612</v>
      </c>
      <c r="D579" s="795" t="s">
        <v>4297</v>
      </c>
      <c r="E579" s="795" t="s">
        <v>4298</v>
      </c>
      <c r="F579" s="812"/>
      <c r="G579" s="812"/>
      <c r="H579" s="812"/>
      <c r="I579" s="812"/>
      <c r="J579" s="812">
        <v>6</v>
      </c>
      <c r="K579" s="812">
        <v>7632</v>
      </c>
      <c r="L579" s="812">
        <v>1</v>
      </c>
      <c r="M579" s="812">
        <v>1272</v>
      </c>
      <c r="N579" s="812">
        <v>4</v>
      </c>
      <c r="O579" s="812">
        <v>5088</v>
      </c>
      <c r="P579" s="800">
        <v>0.66666666666666663</v>
      </c>
      <c r="Q579" s="813">
        <v>1272</v>
      </c>
    </row>
    <row r="580" spans="1:17" ht="14.4" customHeight="1" x14ac:dyDescent="0.3">
      <c r="A580" s="794" t="s">
        <v>591</v>
      </c>
      <c r="B580" s="795" t="s">
        <v>4280</v>
      </c>
      <c r="C580" s="795" t="s">
        <v>3612</v>
      </c>
      <c r="D580" s="795" t="s">
        <v>3722</v>
      </c>
      <c r="E580" s="795" t="s">
        <v>3723</v>
      </c>
      <c r="F580" s="812">
        <v>1</v>
      </c>
      <c r="G580" s="812">
        <v>10628.95</v>
      </c>
      <c r="H580" s="812"/>
      <c r="I580" s="812">
        <v>10628.95</v>
      </c>
      <c r="J580" s="812"/>
      <c r="K580" s="812"/>
      <c r="L580" s="812"/>
      <c r="M580" s="812"/>
      <c r="N580" s="812">
        <v>1</v>
      </c>
      <c r="O580" s="812">
        <v>10628.95</v>
      </c>
      <c r="P580" s="800"/>
      <c r="Q580" s="813">
        <v>10628.95</v>
      </c>
    </row>
    <row r="581" spans="1:17" ht="14.4" customHeight="1" x14ac:dyDescent="0.3">
      <c r="A581" s="794" t="s">
        <v>591</v>
      </c>
      <c r="B581" s="795" t="s">
        <v>4280</v>
      </c>
      <c r="C581" s="795" t="s">
        <v>3612</v>
      </c>
      <c r="D581" s="795" t="s">
        <v>3724</v>
      </c>
      <c r="E581" s="795" t="s">
        <v>3725</v>
      </c>
      <c r="F581" s="812"/>
      <c r="G581" s="812"/>
      <c r="H581" s="812"/>
      <c r="I581" s="812"/>
      <c r="J581" s="812">
        <v>1</v>
      </c>
      <c r="K581" s="812">
        <v>37159</v>
      </c>
      <c r="L581" s="812">
        <v>1</v>
      </c>
      <c r="M581" s="812">
        <v>37159</v>
      </c>
      <c r="N581" s="812"/>
      <c r="O581" s="812"/>
      <c r="P581" s="800"/>
      <c r="Q581" s="813"/>
    </row>
    <row r="582" spans="1:17" ht="14.4" customHeight="1" x14ac:dyDescent="0.3">
      <c r="A582" s="794" t="s">
        <v>591</v>
      </c>
      <c r="B582" s="795" t="s">
        <v>4280</v>
      </c>
      <c r="C582" s="795" t="s">
        <v>3612</v>
      </c>
      <c r="D582" s="795" t="s">
        <v>3726</v>
      </c>
      <c r="E582" s="795" t="s">
        <v>3727</v>
      </c>
      <c r="F582" s="812"/>
      <c r="G582" s="812"/>
      <c r="H582" s="812"/>
      <c r="I582" s="812"/>
      <c r="J582" s="812">
        <v>1</v>
      </c>
      <c r="K582" s="812">
        <v>9986</v>
      </c>
      <c r="L582" s="812">
        <v>1</v>
      </c>
      <c r="M582" s="812">
        <v>9986</v>
      </c>
      <c r="N582" s="812"/>
      <c r="O582" s="812"/>
      <c r="P582" s="800"/>
      <c r="Q582" s="813"/>
    </row>
    <row r="583" spans="1:17" ht="14.4" customHeight="1" x14ac:dyDescent="0.3">
      <c r="A583" s="794" t="s">
        <v>591</v>
      </c>
      <c r="B583" s="795" t="s">
        <v>4280</v>
      </c>
      <c r="C583" s="795" t="s">
        <v>3612</v>
      </c>
      <c r="D583" s="795" t="s">
        <v>3728</v>
      </c>
      <c r="E583" s="795" t="s">
        <v>3729</v>
      </c>
      <c r="F583" s="812"/>
      <c r="G583" s="812"/>
      <c r="H583" s="812"/>
      <c r="I583" s="812"/>
      <c r="J583" s="812">
        <v>1</v>
      </c>
      <c r="K583" s="812">
        <v>2347</v>
      </c>
      <c r="L583" s="812">
        <v>1</v>
      </c>
      <c r="M583" s="812">
        <v>2347</v>
      </c>
      <c r="N583" s="812"/>
      <c r="O583" s="812"/>
      <c r="P583" s="800"/>
      <c r="Q583" s="813"/>
    </row>
    <row r="584" spans="1:17" ht="14.4" customHeight="1" x14ac:dyDescent="0.3">
      <c r="A584" s="794" t="s">
        <v>591</v>
      </c>
      <c r="B584" s="795" t="s">
        <v>4280</v>
      </c>
      <c r="C584" s="795" t="s">
        <v>3612</v>
      </c>
      <c r="D584" s="795" t="s">
        <v>3732</v>
      </c>
      <c r="E584" s="795" t="s">
        <v>3733</v>
      </c>
      <c r="F584" s="812"/>
      <c r="G584" s="812"/>
      <c r="H584" s="812"/>
      <c r="I584" s="812"/>
      <c r="J584" s="812">
        <v>1</v>
      </c>
      <c r="K584" s="812">
        <v>1095.23</v>
      </c>
      <c r="L584" s="812">
        <v>1</v>
      </c>
      <c r="M584" s="812">
        <v>1095.23</v>
      </c>
      <c r="N584" s="812"/>
      <c r="O584" s="812"/>
      <c r="P584" s="800"/>
      <c r="Q584" s="813"/>
    </row>
    <row r="585" spans="1:17" ht="14.4" customHeight="1" x14ac:dyDescent="0.3">
      <c r="A585" s="794" t="s">
        <v>591</v>
      </c>
      <c r="B585" s="795" t="s">
        <v>4280</v>
      </c>
      <c r="C585" s="795" t="s">
        <v>3612</v>
      </c>
      <c r="D585" s="795" t="s">
        <v>3734</v>
      </c>
      <c r="E585" s="795" t="s">
        <v>3735</v>
      </c>
      <c r="F585" s="812"/>
      <c r="G585" s="812"/>
      <c r="H585" s="812"/>
      <c r="I585" s="812"/>
      <c r="J585" s="812">
        <v>1</v>
      </c>
      <c r="K585" s="812">
        <v>11674</v>
      </c>
      <c r="L585" s="812">
        <v>1</v>
      </c>
      <c r="M585" s="812">
        <v>11674</v>
      </c>
      <c r="N585" s="812"/>
      <c r="O585" s="812"/>
      <c r="P585" s="800"/>
      <c r="Q585" s="813"/>
    </row>
    <row r="586" spans="1:17" ht="14.4" customHeight="1" x14ac:dyDescent="0.3">
      <c r="A586" s="794" t="s">
        <v>591</v>
      </c>
      <c r="B586" s="795" t="s">
        <v>4280</v>
      </c>
      <c r="C586" s="795" t="s">
        <v>3612</v>
      </c>
      <c r="D586" s="795" t="s">
        <v>3736</v>
      </c>
      <c r="E586" s="795" t="s">
        <v>3737</v>
      </c>
      <c r="F586" s="812"/>
      <c r="G586" s="812"/>
      <c r="H586" s="812"/>
      <c r="I586" s="812"/>
      <c r="J586" s="812">
        <v>4</v>
      </c>
      <c r="K586" s="812">
        <v>3610.68</v>
      </c>
      <c r="L586" s="812">
        <v>1</v>
      </c>
      <c r="M586" s="812">
        <v>902.67</v>
      </c>
      <c r="N586" s="812"/>
      <c r="O586" s="812"/>
      <c r="P586" s="800"/>
      <c r="Q586" s="813"/>
    </row>
    <row r="587" spans="1:17" ht="14.4" customHeight="1" x14ac:dyDescent="0.3">
      <c r="A587" s="794" t="s">
        <v>591</v>
      </c>
      <c r="B587" s="795" t="s">
        <v>4280</v>
      </c>
      <c r="C587" s="795" t="s">
        <v>3612</v>
      </c>
      <c r="D587" s="795" t="s">
        <v>3738</v>
      </c>
      <c r="E587" s="795" t="s">
        <v>3737</v>
      </c>
      <c r="F587" s="812">
        <v>6</v>
      </c>
      <c r="G587" s="812">
        <v>6176.52</v>
      </c>
      <c r="H587" s="812">
        <v>3</v>
      </c>
      <c r="I587" s="812">
        <v>1029.42</v>
      </c>
      <c r="J587" s="812">
        <v>2</v>
      </c>
      <c r="K587" s="812">
        <v>2058.84</v>
      </c>
      <c r="L587" s="812">
        <v>1</v>
      </c>
      <c r="M587" s="812">
        <v>1029.42</v>
      </c>
      <c r="N587" s="812">
        <v>4</v>
      </c>
      <c r="O587" s="812">
        <v>4117.68</v>
      </c>
      <c r="P587" s="800">
        <v>2</v>
      </c>
      <c r="Q587" s="813">
        <v>1029.42</v>
      </c>
    </row>
    <row r="588" spans="1:17" ht="14.4" customHeight="1" x14ac:dyDescent="0.3">
      <c r="A588" s="794" t="s">
        <v>591</v>
      </c>
      <c r="B588" s="795" t="s">
        <v>4280</v>
      </c>
      <c r="C588" s="795" t="s">
        <v>3612</v>
      </c>
      <c r="D588" s="795" t="s">
        <v>3739</v>
      </c>
      <c r="E588" s="795" t="s">
        <v>3740</v>
      </c>
      <c r="F588" s="812"/>
      <c r="G588" s="812"/>
      <c r="H588" s="812"/>
      <c r="I588" s="812"/>
      <c r="J588" s="812">
        <v>3</v>
      </c>
      <c r="K588" s="812">
        <v>3111.57</v>
      </c>
      <c r="L588" s="812">
        <v>1</v>
      </c>
      <c r="M588" s="812">
        <v>1037.19</v>
      </c>
      <c r="N588" s="812"/>
      <c r="O588" s="812"/>
      <c r="P588" s="800"/>
      <c r="Q588" s="813"/>
    </row>
    <row r="589" spans="1:17" ht="14.4" customHeight="1" x14ac:dyDescent="0.3">
      <c r="A589" s="794" t="s">
        <v>591</v>
      </c>
      <c r="B589" s="795" t="s">
        <v>4280</v>
      </c>
      <c r="C589" s="795" t="s">
        <v>3612</v>
      </c>
      <c r="D589" s="795" t="s">
        <v>3749</v>
      </c>
      <c r="E589" s="795" t="s">
        <v>3748</v>
      </c>
      <c r="F589" s="812"/>
      <c r="G589" s="812"/>
      <c r="H589" s="812"/>
      <c r="I589" s="812"/>
      <c r="J589" s="812"/>
      <c r="K589" s="812"/>
      <c r="L589" s="812"/>
      <c r="M589" s="812"/>
      <c r="N589" s="812">
        <v>1</v>
      </c>
      <c r="O589" s="812">
        <v>637.36</v>
      </c>
      <c r="P589" s="800"/>
      <c r="Q589" s="813">
        <v>637.36</v>
      </c>
    </row>
    <row r="590" spans="1:17" ht="14.4" customHeight="1" x14ac:dyDescent="0.3">
      <c r="A590" s="794" t="s">
        <v>591</v>
      </c>
      <c r="B590" s="795" t="s">
        <v>4280</v>
      </c>
      <c r="C590" s="795" t="s">
        <v>3612</v>
      </c>
      <c r="D590" s="795" t="s">
        <v>4299</v>
      </c>
      <c r="E590" s="795" t="s">
        <v>3755</v>
      </c>
      <c r="F590" s="812"/>
      <c r="G590" s="812"/>
      <c r="H590" s="812"/>
      <c r="I590" s="812"/>
      <c r="J590" s="812">
        <v>2</v>
      </c>
      <c r="K590" s="812">
        <v>970.04</v>
      </c>
      <c r="L590" s="812">
        <v>1</v>
      </c>
      <c r="M590" s="812">
        <v>485.02</v>
      </c>
      <c r="N590" s="812">
        <v>2</v>
      </c>
      <c r="O590" s="812">
        <v>970.04</v>
      </c>
      <c r="P590" s="800">
        <v>1</v>
      </c>
      <c r="Q590" s="813">
        <v>485.02</v>
      </c>
    </row>
    <row r="591" spans="1:17" ht="14.4" customHeight="1" x14ac:dyDescent="0.3">
      <c r="A591" s="794" t="s">
        <v>591</v>
      </c>
      <c r="B591" s="795" t="s">
        <v>4280</v>
      </c>
      <c r="C591" s="795" t="s">
        <v>3612</v>
      </c>
      <c r="D591" s="795" t="s">
        <v>3754</v>
      </c>
      <c r="E591" s="795" t="s">
        <v>3755</v>
      </c>
      <c r="F591" s="812"/>
      <c r="G591" s="812"/>
      <c r="H591" s="812"/>
      <c r="I591" s="812"/>
      <c r="J591" s="812">
        <v>7</v>
      </c>
      <c r="K591" s="812">
        <v>2531.83</v>
      </c>
      <c r="L591" s="812">
        <v>1</v>
      </c>
      <c r="M591" s="812">
        <v>361.69</v>
      </c>
      <c r="N591" s="812">
        <v>4</v>
      </c>
      <c r="O591" s="812">
        <v>1446.76</v>
      </c>
      <c r="P591" s="800">
        <v>0.5714285714285714</v>
      </c>
      <c r="Q591" s="813">
        <v>361.69</v>
      </c>
    </row>
    <row r="592" spans="1:17" ht="14.4" customHeight="1" x14ac:dyDescent="0.3">
      <c r="A592" s="794" t="s">
        <v>591</v>
      </c>
      <c r="B592" s="795" t="s">
        <v>4280</v>
      </c>
      <c r="C592" s="795" t="s">
        <v>3612</v>
      </c>
      <c r="D592" s="795" t="s">
        <v>4300</v>
      </c>
      <c r="E592" s="795" t="s">
        <v>4301</v>
      </c>
      <c r="F592" s="812">
        <v>2</v>
      </c>
      <c r="G592" s="812">
        <v>10819.2</v>
      </c>
      <c r="H592" s="812">
        <v>0.66666666666666663</v>
      </c>
      <c r="I592" s="812">
        <v>5409.6</v>
      </c>
      <c r="J592" s="812">
        <v>3</v>
      </c>
      <c r="K592" s="812">
        <v>16228.800000000001</v>
      </c>
      <c r="L592" s="812">
        <v>1</v>
      </c>
      <c r="M592" s="812">
        <v>5409.6</v>
      </c>
      <c r="N592" s="812"/>
      <c r="O592" s="812"/>
      <c r="P592" s="800"/>
      <c r="Q592" s="813"/>
    </row>
    <row r="593" spans="1:17" ht="14.4" customHeight="1" x14ac:dyDescent="0.3">
      <c r="A593" s="794" t="s">
        <v>591</v>
      </c>
      <c r="B593" s="795" t="s">
        <v>4280</v>
      </c>
      <c r="C593" s="795" t="s">
        <v>3612</v>
      </c>
      <c r="D593" s="795" t="s">
        <v>3769</v>
      </c>
      <c r="E593" s="795" t="s">
        <v>3770</v>
      </c>
      <c r="F593" s="812"/>
      <c r="G593" s="812"/>
      <c r="H593" s="812"/>
      <c r="I593" s="812"/>
      <c r="J593" s="812"/>
      <c r="K593" s="812"/>
      <c r="L593" s="812"/>
      <c r="M593" s="812"/>
      <c r="N593" s="812">
        <v>1</v>
      </c>
      <c r="O593" s="812">
        <v>852.31</v>
      </c>
      <c r="P593" s="800"/>
      <c r="Q593" s="813">
        <v>852.31</v>
      </c>
    </row>
    <row r="594" spans="1:17" ht="14.4" customHeight="1" x14ac:dyDescent="0.3">
      <c r="A594" s="794" t="s">
        <v>591</v>
      </c>
      <c r="B594" s="795" t="s">
        <v>4280</v>
      </c>
      <c r="C594" s="795" t="s">
        <v>3612</v>
      </c>
      <c r="D594" s="795" t="s">
        <v>3771</v>
      </c>
      <c r="E594" s="795" t="s">
        <v>3772</v>
      </c>
      <c r="F594" s="812">
        <v>1</v>
      </c>
      <c r="G594" s="812">
        <v>4735.3500000000004</v>
      </c>
      <c r="H594" s="812">
        <v>1</v>
      </c>
      <c r="I594" s="812">
        <v>4735.3500000000004</v>
      </c>
      <c r="J594" s="812">
        <v>1</v>
      </c>
      <c r="K594" s="812">
        <v>4735.3500000000004</v>
      </c>
      <c r="L594" s="812">
        <v>1</v>
      </c>
      <c r="M594" s="812">
        <v>4735.3500000000004</v>
      </c>
      <c r="N594" s="812">
        <v>2</v>
      </c>
      <c r="O594" s="812">
        <v>9470.7000000000007</v>
      </c>
      <c r="P594" s="800">
        <v>2</v>
      </c>
      <c r="Q594" s="813">
        <v>4735.3500000000004</v>
      </c>
    </row>
    <row r="595" spans="1:17" ht="14.4" customHeight="1" x14ac:dyDescent="0.3">
      <c r="A595" s="794" t="s">
        <v>591</v>
      </c>
      <c r="B595" s="795" t="s">
        <v>4280</v>
      </c>
      <c r="C595" s="795" t="s">
        <v>3612</v>
      </c>
      <c r="D595" s="795" t="s">
        <v>3773</v>
      </c>
      <c r="E595" s="795" t="s">
        <v>3774</v>
      </c>
      <c r="F595" s="812">
        <v>1</v>
      </c>
      <c r="G595" s="812">
        <v>7993.16</v>
      </c>
      <c r="H595" s="812">
        <v>1</v>
      </c>
      <c r="I595" s="812">
        <v>7993.16</v>
      </c>
      <c r="J595" s="812">
        <v>1</v>
      </c>
      <c r="K595" s="812">
        <v>7993.16</v>
      </c>
      <c r="L595" s="812">
        <v>1</v>
      </c>
      <c r="M595" s="812">
        <v>7993.16</v>
      </c>
      <c r="N595" s="812">
        <v>2</v>
      </c>
      <c r="O595" s="812">
        <v>15986.32</v>
      </c>
      <c r="P595" s="800">
        <v>2</v>
      </c>
      <c r="Q595" s="813">
        <v>7993.16</v>
      </c>
    </row>
    <row r="596" spans="1:17" ht="14.4" customHeight="1" x14ac:dyDescent="0.3">
      <c r="A596" s="794" t="s">
        <v>591</v>
      </c>
      <c r="B596" s="795" t="s">
        <v>4280</v>
      </c>
      <c r="C596" s="795" t="s">
        <v>3612</v>
      </c>
      <c r="D596" s="795" t="s">
        <v>3775</v>
      </c>
      <c r="E596" s="795" t="s">
        <v>3776</v>
      </c>
      <c r="F596" s="812">
        <v>1</v>
      </c>
      <c r="G596" s="812">
        <v>2866.27</v>
      </c>
      <c r="H596" s="812">
        <v>1</v>
      </c>
      <c r="I596" s="812">
        <v>2866.27</v>
      </c>
      <c r="J596" s="812">
        <v>1</v>
      </c>
      <c r="K596" s="812">
        <v>2866.27</v>
      </c>
      <c r="L596" s="812">
        <v>1</v>
      </c>
      <c r="M596" s="812">
        <v>2866.27</v>
      </c>
      <c r="N596" s="812">
        <v>3</v>
      </c>
      <c r="O596" s="812">
        <v>8598.81</v>
      </c>
      <c r="P596" s="800">
        <v>3</v>
      </c>
      <c r="Q596" s="813">
        <v>2866.27</v>
      </c>
    </row>
    <row r="597" spans="1:17" ht="14.4" customHeight="1" x14ac:dyDescent="0.3">
      <c r="A597" s="794" t="s">
        <v>591</v>
      </c>
      <c r="B597" s="795" t="s">
        <v>4280</v>
      </c>
      <c r="C597" s="795" t="s">
        <v>3612</v>
      </c>
      <c r="D597" s="795" t="s">
        <v>3777</v>
      </c>
      <c r="E597" s="795" t="s">
        <v>3778</v>
      </c>
      <c r="F597" s="812">
        <v>1</v>
      </c>
      <c r="G597" s="812">
        <v>252.02</v>
      </c>
      <c r="H597" s="812"/>
      <c r="I597" s="812">
        <v>252.02</v>
      </c>
      <c r="J597" s="812"/>
      <c r="K597" s="812"/>
      <c r="L597" s="812"/>
      <c r="M597" s="812"/>
      <c r="N597" s="812">
        <v>0.5</v>
      </c>
      <c r="O597" s="812">
        <v>126.02</v>
      </c>
      <c r="P597" s="800"/>
      <c r="Q597" s="813">
        <v>252.04</v>
      </c>
    </row>
    <row r="598" spans="1:17" ht="14.4" customHeight="1" x14ac:dyDescent="0.3">
      <c r="A598" s="794" t="s">
        <v>591</v>
      </c>
      <c r="B598" s="795" t="s">
        <v>4280</v>
      </c>
      <c r="C598" s="795" t="s">
        <v>3612</v>
      </c>
      <c r="D598" s="795" t="s">
        <v>3783</v>
      </c>
      <c r="E598" s="795" t="s">
        <v>3778</v>
      </c>
      <c r="F598" s="812">
        <v>4</v>
      </c>
      <c r="G598" s="812">
        <v>2188.8000000000002</v>
      </c>
      <c r="H598" s="812"/>
      <c r="I598" s="812">
        <v>547.20000000000005</v>
      </c>
      <c r="J598" s="812"/>
      <c r="K598" s="812"/>
      <c r="L598" s="812"/>
      <c r="M598" s="812"/>
      <c r="N598" s="812"/>
      <c r="O598" s="812"/>
      <c r="P598" s="800"/>
      <c r="Q598" s="813"/>
    </row>
    <row r="599" spans="1:17" ht="14.4" customHeight="1" x14ac:dyDescent="0.3">
      <c r="A599" s="794" t="s">
        <v>591</v>
      </c>
      <c r="B599" s="795" t="s">
        <v>4280</v>
      </c>
      <c r="C599" s="795" t="s">
        <v>3612</v>
      </c>
      <c r="D599" s="795" t="s">
        <v>3784</v>
      </c>
      <c r="E599" s="795" t="s">
        <v>3778</v>
      </c>
      <c r="F599" s="812">
        <v>6</v>
      </c>
      <c r="G599" s="812">
        <v>11093.22</v>
      </c>
      <c r="H599" s="812"/>
      <c r="I599" s="812">
        <v>1848.87</v>
      </c>
      <c r="J599" s="812"/>
      <c r="K599" s="812"/>
      <c r="L599" s="812"/>
      <c r="M599" s="812"/>
      <c r="N599" s="812">
        <v>5</v>
      </c>
      <c r="O599" s="812">
        <v>9244.35</v>
      </c>
      <c r="P599" s="800"/>
      <c r="Q599" s="813">
        <v>1848.8700000000001</v>
      </c>
    </row>
    <row r="600" spans="1:17" ht="14.4" customHeight="1" x14ac:dyDescent="0.3">
      <c r="A600" s="794" t="s">
        <v>591</v>
      </c>
      <c r="B600" s="795" t="s">
        <v>4280</v>
      </c>
      <c r="C600" s="795" t="s">
        <v>3612</v>
      </c>
      <c r="D600" s="795" t="s">
        <v>3785</v>
      </c>
      <c r="E600" s="795" t="s">
        <v>3786</v>
      </c>
      <c r="F600" s="812">
        <v>3</v>
      </c>
      <c r="G600" s="812">
        <v>7150.92</v>
      </c>
      <c r="H600" s="812">
        <v>1</v>
      </c>
      <c r="I600" s="812">
        <v>2383.64</v>
      </c>
      <c r="J600" s="812">
        <v>3</v>
      </c>
      <c r="K600" s="812">
        <v>7150.92</v>
      </c>
      <c r="L600" s="812">
        <v>1</v>
      </c>
      <c r="M600" s="812">
        <v>2383.64</v>
      </c>
      <c r="N600" s="812"/>
      <c r="O600" s="812"/>
      <c r="P600" s="800"/>
      <c r="Q600" s="813"/>
    </row>
    <row r="601" spans="1:17" ht="14.4" customHeight="1" x14ac:dyDescent="0.3">
      <c r="A601" s="794" t="s">
        <v>591</v>
      </c>
      <c r="B601" s="795" t="s">
        <v>4280</v>
      </c>
      <c r="C601" s="795" t="s">
        <v>3612</v>
      </c>
      <c r="D601" s="795" t="s">
        <v>3787</v>
      </c>
      <c r="E601" s="795" t="s">
        <v>3788</v>
      </c>
      <c r="F601" s="812">
        <v>13</v>
      </c>
      <c r="G601" s="812">
        <v>23981.489999999998</v>
      </c>
      <c r="H601" s="812">
        <v>0.79268219319353717</v>
      </c>
      <c r="I601" s="812">
        <v>1844.7299999999998</v>
      </c>
      <c r="J601" s="812">
        <v>20</v>
      </c>
      <c r="K601" s="812">
        <v>30253.600000000002</v>
      </c>
      <c r="L601" s="812">
        <v>1</v>
      </c>
      <c r="M601" s="812">
        <v>1512.68</v>
      </c>
      <c r="N601" s="812">
        <v>4</v>
      </c>
      <c r="O601" s="812">
        <v>6050.72</v>
      </c>
      <c r="P601" s="800">
        <v>0.19999999999999998</v>
      </c>
      <c r="Q601" s="813">
        <v>1512.68</v>
      </c>
    </row>
    <row r="602" spans="1:17" ht="14.4" customHeight="1" x14ac:dyDescent="0.3">
      <c r="A602" s="794" t="s">
        <v>591</v>
      </c>
      <c r="B602" s="795" t="s">
        <v>4280</v>
      </c>
      <c r="C602" s="795" t="s">
        <v>3612</v>
      </c>
      <c r="D602" s="795" t="s">
        <v>3789</v>
      </c>
      <c r="E602" s="795" t="s">
        <v>3790</v>
      </c>
      <c r="F602" s="812">
        <v>4</v>
      </c>
      <c r="G602" s="812">
        <v>91374.12</v>
      </c>
      <c r="H602" s="812">
        <v>0.66666666666666663</v>
      </c>
      <c r="I602" s="812">
        <v>22843.53</v>
      </c>
      <c r="J602" s="812">
        <v>6</v>
      </c>
      <c r="K602" s="812">
        <v>137061.18</v>
      </c>
      <c r="L602" s="812">
        <v>1</v>
      </c>
      <c r="M602" s="812">
        <v>22843.53</v>
      </c>
      <c r="N602" s="812"/>
      <c r="O602" s="812"/>
      <c r="P602" s="800"/>
      <c r="Q602" s="813"/>
    </row>
    <row r="603" spans="1:17" ht="14.4" customHeight="1" x14ac:dyDescent="0.3">
      <c r="A603" s="794" t="s">
        <v>591</v>
      </c>
      <c r="B603" s="795" t="s">
        <v>4280</v>
      </c>
      <c r="C603" s="795" t="s">
        <v>3612</v>
      </c>
      <c r="D603" s="795" t="s">
        <v>3791</v>
      </c>
      <c r="E603" s="795" t="s">
        <v>3792</v>
      </c>
      <c r="F603" s="812">
        <v>7</v>
      </c>
      <c r="G603" s="812">
        <v>64608.95</v>
      </c>
      <c r="H603" s="812">
        <v>1.2681162407092932</v>
      </c>
      <c r="I603" s="812">
        <v>9229.85</v>
      </c>
      <c r="J603" s="812">
        <v>6</v>
      </c>
      <c r="K603" s="812">
        <v>50948.759999999995</v>
      </c>
      <c r="L603" s="812">
        <v>1</v>
      </c>
      <c r="M603" s="812">
        <v>8491.4599999999991</v>
      </c>
      <c r="N603" s="812">
        <v>4</v>
      </c>
      <c r="O603" s="812">
        <v>33965.839999999997</v>
      </c>
      <c r="P603" s="800">
        <v>0.66666666666666663</v>
      </c>
      <c r="Q603" s="813">
        <v>8491.4599999999991</v>
      </c>
    </row>
    <row r="604" spans="1:17" ht="14.4" customHeight="1" x14ac:dyDescent="0.3">
      <c r="A604" s="794" t="s">
        <v>591</v>
      </c>
      <c r="B604" s="795" t="s">
        <v>4280</v>
      </c>
      <c r="C604" s="795" t="s">
        <v>3612</v>
      </c>
      <c r="D604" s="795" t="s">
        <v>3793</v>
      </c>
      <c r="E604" s="795" t="s">
        <v>3794</v>
      </c>
      <c r="F604" s="812">
        <v>32</v>
      </c>
      <c r="G604" s="812">
        <v>95975.679999999993</v>
      </c>
      <c r="H604" s="812">
        <v>0.94117647058823517</v>
      </c>
      <c r="I604" s="812">
        <v>2999.24</v>
      </c>
      <c r="J604" s="812">
        <v>34</v>
      </c>
      <c r="K604" s="812">
        <v>101974.16</v>
      </c>
      <c r="L604" s="812">
        <v>1</v>
      </c>
      <c r="M604" s="812">
        <v>2999.2400000000002</v>
      </c>
      <c r="N604" s="812">
        <v>12</v>
      </c>
      <c r="O604" s="812">
        <v>35990.879999999997</v>
      </c>
      <c r="P604" s="800">
        <v>0.3529411764705882</v>
      </c>
      <c r="Q604" s="813">
        <v>2999.24</v>
      </c>
    </row>
    <row r="605" spans="1:17" ht="14.4" customHeight="1" x14ac:dyDescent="0.3">
      <c r="A605" s="794" t="s">
        <v>591</v>
      </c>
      <c r="B605" s="795" t="s">
        <v>4280</v>
      </c>
      <c r="C605" s="795" t="s">
        <v>3612</v>
      </c>
      <c r="D605" s="795" t="s">
        <v>3795</v>
      </c>
      <c r="E605" s="795" t="s">
        <v>3796</v>
      </c>
      <c r="F605" s="812"/>
      <c r="G605" s="812"/>
      <c r="H605" s="812"/>
      <c r="I605" s="812"/>
      <c r="J605" s="812"/>
      <c r="K605" s="812"/>
      <c r="L605" s="812"/>
      <c r="M605" s="812"/>
      <c r="N605" s="812">
        <v>1</v>
      </c>
      <c r="O605" s="812">
        <v>1233.27</v>
      </c>
      <c r="P605" s="800"/>
      <c r="Q605" s="813">
        <v>1233.27</v>
      </c>
    </row>
    <row r="606" spans="1:17" ht="14.4" customHeight="1" x14ac:dyDescent="0.3">
      <c r="A606" s="794" t="s">
        <v>591</v>
      </c>
      <c r="B606" s="795" t="s">
        <v>4280</v>
      </c>
      <c r="C606" s="795" t="s">
        <v>3612</v>
      </c>
      <c r="D606" s="795" t="s">
        <v>3797</v>
      </c>
      <c r="E606" s="795" t="s">
        <v>3798</v>
      </c>
      <c r="F606" s="812"/>
      <c r="G606" s="812"/>
      <c r="H606" s="812"/>
      <c r="I606" s="812"/>
      <c r="J606" s="812"/>
      <c r="K606" s="812"/>
      <c r="L606" s="812"/>
      <c r="M606" s="812"/>
      <c r="N606" s="812">
        <v>1</v>
      </c>
      <c r="O606" s="812">
        <v>5774.62</v>
      </c>
      <c r="P606" s="800"/>
      <c r="Q606" s="813">
        <v>5774.62</v>
      </c>
    </row>
    <row r="607" spans="1:17" ht="14.4" customHeight="1" x14ac:dyDescent="0.3">
      <c r="A607" s="794" t="s">
        <v>591</v>
      </c>
      <c r="B607" s="795" t="s">
        <v>4280</v>
      </c>
      <c r="C607" s="795" t="s">
        <v>3612</v>
      </c>
      <c r="D607" s="795" t="s">
        <v>4302</v>
      </c>
      <c r="E607" s="795" t="s">
        <v>3800</v>
      </c>
      <c r="F607" s="812"/>
      <c r="G607" s="812"/>
      <c r="H607" s="812"/>
      <c r="I607" s="812"/>
      <c r="J607" s="812"/>
      <c r="K607" s="812"/>
      <c r="L607" s="812"/>
      <c r="M607" s="812"/>
      <c r="N607" s="812">
        <v>1</v>
      </c>
      <c r="O607" s="812">
        <v>8704.42</v>
      </c>
      <c r="P607" s="800"/>
      <c r="Q607" s="813">
        <v>8704.42</v>
      </c>
    </row>
    <row r="608" spans="1:17" ht="14.4" customHeight="1" x14ac:dyDescent="0.3">
      <c r="A608" s="794" t="s">
        <v>591</v>
      </c>
      <c r="B608" s="795" t="s">
        <v>4280</v>
      </c>
      <c r="C608" s="795" t="s">
        <v>3612</v>
      </c>
      <c r="D608" s="795" t="s">
        <v>3801</v>
      </c>
      <c r="E608" s="795" t="s">
        <v>3802</v>
      </c>
      <c r="F608" s="812"/>
      <c r="G608" s="812"/>
      <c r="H608" s="812"/>
      <c r="I608" s="812"/>
      <c r="J608" s="812"/>
      <c r="K608" s="812"/>
      <c r="L608" s="812"/>
      <c r="M608" s="812"/>
      <c r="N608" s="812">
        <v>1</v>
      </c>
      <c r="O608" s="812">
        <v>1664.4</v>
      </c>
      <c r="P608" s="800"/>
      <c r="Q608" s="813">
        <v>1664.4</v>
      </c>
    </row>
    <row r="609" spans="1:17" ht="14.4" customHeight="1" x14ac:dyDescent="0.3">
      <c r="A609" s="794" t="s">
        <v>591</v>
      </c>
      <c r="B609" s="795" t="s">
        <v>4280</v>
      </c>
      <c r="C609" s="795" t="s">
        <v>3612</v>
      </c>
      <c r="D609" s="795" t="s">
        <v>3809</v>
      </c>
      <c r="E609" s="795" t="s">
        <v>3810</v>
      </c>
      <c r="F609" s="812">
        <v>1</v>
      </c>
      <c r="G609" s="812">
        <v>10779.22</v>
      </c>
      <c r="H609" s="812">
        <v>0.5</v>
      </c>
      <c r="I609" s="812">
        <v>10779.22</v>
      </c>
      <c r="J609" s="812">
        <v>2</v>
      </c>
      <c r="K609" s="812">
        <v>21558.44</v>
      </c>
      <c r="L609" s="812">
        <v>1</v>
      </c>
      <c r="M609" s="812">
        <v>10779.22</v>
      </c>
      <c r="N609" s="812">
        <v>2</v>
      </c>
      <c r="O609" s="812">
        <v>21558.44</v>
      </c>
      <c r="P609" s="800">
        <v>1</v>
      </c>
      <c r="Q609" s="813">
        <v>10779.22</v>
      </c>
    </row>
    <row r="610" spans="1:17" ht="14.4" customHeight="1" x14ac:dyDescent="0.3">
      <c r="A610" s="794" t="s">
        <v>591</v>
      </c>
      <c r="B610" s="795" t="s">
        <v>4280</v>
      </c>
      <c r="C610" s="795" t="s">
        <v>3612</v>
      </c>
      <c r="D610" s="795" t="s">
        <v>3811</v>
      </c>
      <c r="E610" s="795" t="s">
        <v>3812</v>
      </c>
      <c r="F610" s="812"/>
      <c r="G610" s="812"/>
      <c r="H610" s="812"/>
      <c r="I610" s="812"/>
      <c r="J610" s="812">
        <v>1</v>
      </c>
      <c r="K610" s="812">
        <v>9112.75</v>
      </c>
      <c r="L610" s="812">
        <v>1</v>
      </c>
      <c r="M610" s="812">
        <v>9112.75</v>
      </c>
      <c r="N610" s="812"/>
      <c r="O610" s="812"/>
      <c r="P610" s="800"/>
      <c r="Q610" s="813"/>
    </row>
    <row r="611" spans="1:17" ht="14.4" customHeight="1" x14ac:dyDescent="0.3">
      <c r="A611" s="794" t="s">
        <v>591</v>
      </c>
      <c r="B611" s="795" t="s">
        <v>4280</v>
      </c>
      <c r="C611" s="795" t="s">
        <v>3612</v>
      </c>
      <c r="D611" s="795" t="s">
        <v>3813</v>
      </c>
      <c r="E611" s="795" t="s">
        <v>3814</v>
      </c>
      <c r="F611" s="812">
        <v>3</v>
      </c>
      <c r="G611" s="812">
        <v>3674.94</v>
      </c>
      <c r="H611" s="812">
        <v>0.375</v>
      </c>
      <c r="I611" s="812">
        <v>1224.98</v>
      </c>
      <c r="J611" s="812">
        <v>8</v>
      </c>
      <c r="K611" s="812">
        <v>9799.84</v>
      </c>
      <c r="L611" s="812">
        <v>1</v>
      </c>
      <c r="M611" s="812">
        <v>1224.98</v>
      </c>
      <c r="N611" s="812">
        <v>4</v>
      </c>
      <c r="O611" s="812">
        <v>4899.92</v>
      </c>
      <c r="P611" s="800">
        <v>0.5</v>
      </c>
      <c r="Q611" s="813">
        <v>1224.98</v>
      </c>
    </row>
    <row r="612" spans="1:17" ht="14.4" customHeight="1" x14ac:dyDescent="0.3">
      <c r="A612" s="794" t="s">
        <v>591</v>
      </c>
      <c r="B612" s="795" t="s">
        <v>4280</v>
      </c>
      <c r="C612" s="795" t="s">
        <v>3612</v>
      </c>
      <c r="D612" s="795" t="s">
        <v>3815</v>
      </c>
      <c r="E612" s="795" t="s">
        <v>3814</v>
      </c>
      <c r="F612" s="812">
        <v>2</v>
      </c>
      <c r="G612" s="812">
        <v>3803.46</v>
      </c>
      <c r="H612" s="812">
        <v>0.2857142857142857</v>
      </c>
      <c r="I612" s="812">
        <v>1901.73</v>
      </c>
      <c r="J612" s="812">
        <v>7</v>
      </c>
      <c r="K612" s="812">
        <v>13312.11</v>
      </c>
      <c r="L612" s="812">
        <v>1</v>
      </c>
      <c r="M612" s="812">
        <v>1901.73</v>
      </c>
      <c r="N612" s="812">
        <v>6</v>
      </c>
      <c r="O612" s="812">
        <v>11410.38</v>
      </c>
      <c r="P612" s="800">
        <v>0.8571428571428571</v>
      </c>
      <c r="Q612" s="813">
        <v>1901.7299999999998</v>
      </c>
    </row>
    <row r="613" spans="1:17" ht="14.4" customHeight="1" x14ac:dyDescent="0.3">
      <c r="A613" s="794" t="s">
        <v>591</v>
      </c>
      <c r="B613" s="795" t="s">
        <v>4280</v>
      </c>
      <c r="C613" s="795" t="s">
        <v>3612</v>
      </c>
      <c r="D613" s="795" t="s">
        <v>4303</v>
      </c>
      <c r="E613" s="795" t="s">
        <v>4304</v>
      </c>
      <c r="F613" s="812"/>
      <c r="G613" s="812"/>
      <c r="H613" s="812"/>
      <c r="I613" s="812"/>
      <c r="J613" s="812">
        <v>2</v>
      </c>
      <c r="K613" s="812">
        <v>5594.3</v>
      </c>
      <c r="L613" s="812">
        <v>1</v>
      </c>
      <c r="M613" s="812">
        <v>2797.15</v>
      </c>
      <c r="N613" s="812"/>
      <c r="O613" s="812"/>
      <c r="P613" s="800"/>
      <c r="Q613" s="813"/>
    </row>
    <row r="614" spans="1:17" ht="14.4" customHeight="1" x14ac:dyDescent="0.3">
      <c r="A614" s="794" t="s">
        <v>591</v>
      </c>
      <c r="B614" s="795" t="s">
        <v>4280</v>
      </c>
      <c r="C614" s="795" t="s">
        <v>3612</v>
      </c>
      <c r="D614" s="795" t="s">
        <v>4305</v>
      </c>
      <c r="E614" s="795" t="s">
        <v>4306</v>
      </c>
      <c r="F614" s="812">
        <v>1</v>
      </c>
      <c r="G614" s="812">
        <v>3278.02</v>
      </c>
      <c r="H614" s="812"/>
      <c r="I614" s="812">
        <v>3278.02</v>
      </c>
      <c r="J614" s="812"/>
      <c r="K614" s="812"/>
      <c r="L614" s="812"/>
      <c r="M614" s="812"/>
      <c r="N614" s="812"/>
      <c r="O614" s="812"/>
      <c r="P614" s="800"/>
      <c r="Q614" s="813"/>
    </row>
    <row r="615" spans="1:17" ht="14.4" customHeight="1" x14ac:dyDescent="0.3">
      <c r="A615" s="794" t="s">
        <v>591</v>
      </c>
      <c r="B615" s="795" t="s">
        <v>4280</v>
      </c>
      <c r="C615" s="795" t="s">
        <v>3612</v>
      </c>
      <c r="D615" s="795" t="s">
        <v>4307</v>
      </c>
      <c r="E615" s="795" t="s">
        <v>4308</v>
      </c>
      <c r="F615" s="812">
        <v>1</v>
      </c>
      <c r="G615" s="812">
        <v>6968.51</v>
      </c>
      <c r="H615" s="812">
        <v>0.25</v>
      </c>
      <c r="I615" s="812">
        <v>6968.51</v>
      </c>
      <c r="J615" s="812">
        <v>4</v>
      </c>
      <c r="K615" s="812">
        <v>27874.04</v>
      </c>
      <c r="L615" s="812">
        <v>1</v>
      </c>
      <c r="M615" s="812">
        <v>6968.51</v>
      </c>
      <c r="N615" s="812"/>
      <c r="O615" s="812"/>
      <c r="P615" s="800"/>
      <c r="Q615" s="813"/>
    </row>
    <row r="616" spans="1:17" ht="14.4" customHeight="1" x14ac:dyDescent="0.3">
      <c r="A616" s="794" t="s">
        <v>591</v>
      </c>
      <c r="B616" s="795" t="s">
        <v>4280</v>
      </c>
      <c r="C616" s="795" t="s">
        <v>3612</v>
      </c>
      <c r="D616" s="795" t="s">
        <v>4309</v>
      </c>
      <c r="E616" s="795" t="s">
        <v>4308</v>
      </c>
      <c r="F616" s="812"/>
      <c r="G616" s="812"/>
      <c r="H616" s="812"/>
      <c r="I616" s="812"/>
      <c r="J616" s="812">
        <v>1</v>
      </c>
      <c r="K616" s="812">
        <v>8342.73</v>
      </c>
      <c r="L616" s="812">
        <v>1</v>
      </c>
      <c r="M616" s="812">
        <v>8342.73</v>
      </c>
      <c r="N616" s="812"/>
      <c r="O616" s="812"/>
      <c r="P616" s="800"/>
      <c r="Q616" s="813"/>
    </row>
    <row r="617" spans="1:17" ht="14.4" customHeight="1" x14ac:dyDescent="0.3">
      <c r="A617" s="794" t="s">
        <v>591</v>
      </c>
      <c r="B617" s="795" t="s">
        <v>4280</v>
      </c>
      <c r="C617" s="795" t="s">
        <v>3612</v>
      </c>
      <c r="D617" s="795" t="s">
        <v>3829</v>
      </c>
      <c r="E617" s="795" t="s">
        <v>3830</v>
      </c>
      <c r="F617" s="812"/>
      <c r="G617" s="812"/>
      <c r="H617" s="812"/>
      <c r="I617" s="812"/>
      <c r="J617" s="812">
        <v>2</v>
      </c>
      <c r="K617" s="812">
        <v>19473.28</v>
      </c>
      <c r="L617" s="812">
        <v>1</v>
      </c>
      <c r="M617" s="812">
        <v>9736.64</v>
      </c>
      <c r="N617" s="812">
        <v>1</v>
      </c>
      <c r="O617" s="812">
        <v>9736.64</v>
      </c>
      <c r="P617" s="800">
        <v>0.5</v>
      </c>
      <c r="Q617" s="813">
        <v>9736.64</v>
      </c>
    </row>
    <row r="618" spans="1:17" ht="14.4" customHeight="1" x14ac:dyDescent="0.3">
      <c r="A618" s="794" t="s">
        <v>591</v>
      </c>
      <c r="B618" s="795" t="s">
        <v>4280</v>
      </c>
      <c r="C618" s="795" t="s">
        <v>3612</v>
      </c>
      <c r="D618" s="795" t="s">
        <v>3835</v>
      </c>
      <c r="E618" s="795" t="s">
        <v>3836</v>
      </c>
      <c r="F618" s="812"/>
      <c r="G618" s="812"/>
      <c r="H618" s="812"/>
      <c r="I618" s="812"/>
      <c r="J618" s="812">
        <v>2</v>
      </c>
      <c r="K618" s="812">
        <v>2381.56</v>
      </c>
      <c r="L618" s="812">
        <v>1</v>
      </c>
      <c r="M618" s="812">
        <v>1190.78</v>
      </c>
      <c r="N618" s="812">
        <v>5</v>
      </c>
      <c r="O618" s="812">
        <v>5953.9</v>
      </c>
      <c r="P618" s="800">
        <v>2.5</v>
      </c>
      <c r="Q618" s="813">
        <v>1190.78</v>
      </c>
    </row>
    <row r="619" spans="1:17" ht="14.4" customHeight="1" x14ac:dyDescent="0.3">
      <c r="A619" s="794" t="s">
        <v>591</v>
      </c>
      <c r="B619" s="795" t="s">
        <v>4280</v>
      </c>
      <c r="C619" s="795" t="s">
        <v>3612</v>
      </c>
      <c r="D619" s="795" t="s">
        <v>3837</v>
      </c>
      <c r="E619" s="795" t="s">
        <v>3836</v>
      </c>
      <c r="F619" s="812"/>
      <c r="G619" s="812"/>
      <c r="H619" s="812"/>
      <c r="I619" s="812"/>
      <c r="J619" s="812">
        <v>5</v>
      </c>
      <c r="K619" s="812">
        <v>6130.1</v>
      </c>
      <c r="L619" s="812">
        <v>1</v>
      </c>
      <c r="M619" s="812">
        <v>1226.02</v>
      </c>
      <c r="N619" s="812"/>
      <c r="O619" s="812"/>
      <c r="P619" s="800"/>
      <c r="Q619" s="813"/>
    </row>
    <row r="620" spans="1:17" ht="14.4" customHeight="1" x14ac:dyDescent="0.3">
      <c r="A620" s="794" t="s">
        <v>591</v>
      </c>
      <c r="B620" s="795" t="s">
        <v>4280</v>
      </c>
      <c r="C620" s="795" t="s">
        <v>3612</v>
      </c>
      <c r="D620" s="795" t="s">
        <v>4310</v>
      </c>
      <c r="E620" s="795" t="s">
        <v>3836</v>
      </c>
      <c r="F620" s="812"/>
      <c r="G620" s="812"/>
      <c r="H620" s="812"/>
      <c r="I620" s="812"/>
      <c r="J620" s="812">
        <v>1</v>
      </c>
      <c r="K620" s="812">
        <v>1257.1099999999999</v>
      </c>
      <c r="L620" s="812">
        <v>1</v>
      </c>
      <c r="M620" s="812">
        <v>1257.1099999999999</v>
      </c>
      <c r="N620" s="812"/>
      <c r="O620" s="812"/>
      <c r="P620" s="800"/>
      <c r="Q620" s="813"/>
    </row>
    <row r="621" spans="1:17" ht="14.4" customHeight="1" x14ac:dyDescent="0.3">
      <c r="A621" s="794" t="s">
        <v>591</v>
      </c>
      <c r="B621" s="795" t="s">
        <v>4280</v>
      </c>
      <c r="C621" s="795" t="s">
        <v>3612</v>
      </c>
      <c r="D621" s="795" t="s">
        <v>3848</v>
      </c>
      <c r="E621" s="795" t="s">
        <v>3849</v>
      </c>
      <c r="F621" s="812"/>
      <c r="G621" s="812"/>
      <c r="H621" s="812"/>
      <c r="I621" s="812"/>
      <c r="J621" s="812">
        <v>2</v>
      </c>
      <c r="K621" s="812">
        <v>23142</v>
      </c>
      <c r="L621" s="812">
        <v>1</v>
      </c>
      <c r="M621" s="812">
        <v>11571</v>
      </c>
      <c r="N621" s="812">
        <v>1</v>
      </c>
      <c r="O621" s="812">
        <v>11571</v>
      </c>
      <c r="P621" s="800">
        <v>0.5</v>
      </c>
      <c r="Q621" s="813">
        <v>11571</v>
      </c>
    </row>
    <row r="622" spans="1:17" ht="14.4" customHeight="1" x14ac:dyDescent="0.3">
      <c r="A622" s="794" t="s">
        <v>591</v>
      </c>
      <c r="B622" s="795" t="s">
        <v>4280</v>
      </c>
      <c r="C622" s="795" t="s">
        <v>3612</v>
      </c>
      <c r="D622" s="795" t="s">
        <v>3850</v>
      </c>
      <c r="E622" s="795" t="s">
        <v>3707</v>
      </c>
      <c r="F622" s="812"/>
      <c r="G622" s="812"/>
      <c r="H622" s="812"/>
      <c r="I622" s="812"/>
      <c r="J622" s="812">
        <v>7</v>
      </c>
      <c r="K622" s="812">
        <v>9517.9700000000012</v>
      </c>
      <c r="L622" s="812">
        <v>1</v>
      </c>
      <c r="M622" s="812">
        <v>1359.7100000000003</v>
      </c>
      <c r="N622" s="812">
        <v>5</v>
      </c>
      <c r="O622" s="812">
        <v>6798.55</v>
      </c>
      <c r="P622" s="800">
        <v>0.71428571428571419</v>
      </c>
      <c r="Q622" s="813">
        <v>1359.71</v>
      </c>
    </row>
    <row r="623" spans="1:17" ht="14.4" customHeight="1" x14ac:dyDescent="0.3">
      <c r="A623" s="794" t="s">
        <v>591</v>
      </c>
      <c r="B623" s="795" t="s">
        <v>4280</v>
      </c>
      <c r="C623" s="795" t="s">
        <v>3612</v>
      </c>
      <c r="D623" s="795" t="s">
        <v>3851</v>
      </c>
      <c r="E623" s="795" t="s">
        <v>3852</v>
      </c>
      <c r="F623" s="812"/>
      <c r="G623" s="812"/>
      <c r="H623" s="812"/>
      <c r="I623" s="812"/>
      <c r="J623" s="812">
        <v>3</v>
      </c>
      <c r="K623" s="812">
        <v>4271.88</v>
      </c>
      <c r="L623" s="812">
        <v>1</v>
      </c>
      <c r="M623" s="812">
        <v>1423.96</v>
      </c>
      <c r="N623" s="812"/>
      <c r="O623" s="812"/>
      <c r="P623" s="800"/>
      <c r="Q623" s="813"/>
    </row>
    <row r="624" spans="1:17" ht="14.4" customHeight="1" x14ac:dyDescent="0.3">
      <c r="A624" s="794" t="s">
        <v>591</v>
      </c>
      <c r="B624" s="795" t="s">
        <v>4280</v>
      </c>
      <c r="C624" s="795" t="s">
        <v>3612</v>
      </c>
      <c r="D624" s="795" t="s">
        <v>3853</v>
      </c>
      <c r="E624" s="795" t="s">
        <v>3854</v>
      </c>
      <c r="F624" s="812"/>
      <c r="G624" s="812"/>
      <c r="H624" s="812"/>
      <c r="I624" s="812"/>
      <c r="J624" s="812">
        <v>1</v>
      </c>
      <c r="K624" s="812">
        <v>218.67</v>
      </c>
      <c r="L624" s="812">
        <v>1</v>
      </c>
      <c r="M624" s="812">
        <v>218.67</v>
      </c>
      <c r="N624" s="812"/>
      <c r="O624" s="812"/>
      <c r="P624" s="800"/>
      <c r="Q624" s="813"/>
    </row>
    <row r="625" spans="1:17" ht="14.4" customHeight="1" x14ac:dyDescent="0.3">
      <c r="A625" s="794" t="s">
        <v>591</v>
      </c>
      <c r="B625" s="795" t="s">
        <v>4280</v>
      </c>
      <c r="C625" s="795" t="s">
        <v>3612</v>
      </c>
      <c r="D625" s="795" t="s">
        <v>3857</v>
      </c>
      <c r="E625" s="795" t="s">
        <v>3858</v>
      </c>
      <c r="F625" s="812"/>
      <c r="G625" s="812"/>
      <c r="H625" s="812"/>
      <c r="I625" s="812"/>
      <c r="J625" s="812">
        <v>1</v>
      </c>
      <c r="K625" s="812">
        <v>1764.93</v>
      </c>
      <c r="L625" s="812">
        <v>1</v>
      </c>
      <c r="M625" s="812">
        <v>1764.93</v>
      </c>
      <c r="N625" s="812"/>
      <c r="O625" s="812"/>
      <c r="P625" s="800"/>
      <c r="Q625" s="813"/>
    </row>
    <row r="626" spans="1:17" ht="14.4" customHeight="1" x14ac:dyDescent="0.3">
      <c r="A626" s="794" t="s">
        <v>591</v>
      </c>
      <c r="B626" s="795" t="s">
        <v>4280</v>
      </c>
      <c r="C626" s="795" t="s">
        <v>3612</v>
      </c>
      <c r="D626" s="795" t="s">
        <v>3859</v>
      </c>
      <c r="E626" s="795" t="s">
        <v>3858</v>
      </c>
      <c r="F626" s="812"/>
      <c r="G626" s="812"/>
      <c r="H626" s="812"/>
      <c r="I626" s="812"/>
      <c r="J626" s="812">
        <v>2</v>
      </c>
      <c r="K626" s="812">
        <v>3566.96</v>
      </c>
      <c r="L626" s="812">
        <v>1</v>
      </c>
      <c r="M626" s="812">
        <v>1783.48</v>
      </c>
      <c r="N626" s="812">
        <v>1</v>
      </c>
      <c r="O626" s="812">
        <v>1783.48</v>
      </c>
      <c r="P626" s="800">
        <v>0.5</v>
      </c>
      <c r="Q626" s="813">
        <v>1783.48</v>
      </c>
    </row>
    <row r="627" spans="1:17" ht="14.4" customHeight="1" x14ac:dyDescent="0.3">
      <c r="A627" s="794" t="s">
        <v>591</v>
      </c>
      <c r="B627" s="795" t="s">
        <v>4280</v>
      </c>
      <c r="C627" s="795" t="s">
        <v>3612</v>
      </c>
      <c r="D627" s="795" t="s">
        <v>3863</v>
      </c>
      <c r="E627" s="795" t="s">
        <v>3864</v>
      </c>
      <c r="F627" s="812">
        <v>4</v>
      </c>
      <c r="G627" s="812">
        <v>45352</v>
      </c>
      <c r="H627" s="812">
        <v>0.5714285714285714</v>
      </c>
      <c r="I627" s="812">
        <v>11338</v>
      </c>
      <c r="J627" s="812">
        <v>7</v>
      </c>
      <c r="K627" s="812">
        <v>79366</v>
      </c>
      <c r="L627" s="812">
        <v>1</v>
      </c>
      <c r="M627" s="812">
        <v>11338</v>
      </c>
      <c r="N627" s="812">
        <v>2</v>
      </c>
      <c r="O627" s="812">
        <v>22676</v>
      </c>
      <c r="P627" s="800">
        <v>0.2857142857142857</v>
      </c>
      <c r="Q627" s="813">
        <v>11338</v>
      </c>
    </row>
    <row r="628" spans="1:17" ht="14.4" customHeight="1" x14ac:dyDescent="0.3">
      <c r="A628" s="794" t="s">
        <v>591</v>
      </c>
      <c r="B628" s="795" t="s">
        <v>4280</v>
      </c>
      <c r="C628" s="795" t="s">
        <v>3612</v>
      </c>
      <c r="D628" s="795" t="s">
        <v>4311</v>
      </c>
      <c r="E628" s="795" t="s">
        <v>4312</v>
      </c>
      <c r="F628" s="812">
        <v>2</v>
      </c>
      <c r="G628" s="812">
        <v>5414</v>
      </c>
      <c r="H628" s="812">
        <v>0.66666666666666663</v>
      </c>
      <c r="I628" s="812">
        <v>2707</v>
      </c>
      <c r="J628" s="812">
        <v>3</v>
      </c>
      <c r="K628" s="812">
        <v>8121</v>
      </c>
      <c r="L628" s="812">
        <v>1</v>
      </c>
      <c r="M628" s="812">
        <v>2707</v>
      </c>
      <c r="N628" s="812"/>
      <c r="O628" s="812"/>
      <c r="P628" s="800"/>
      <c r="Q628" s="813"/>
    </row>
    <row r="629" spans="1:17" ht="14.4" customHeight="1" x14ac:dyDescent="0.3">
      <c r="A629" s="794" t="s">
        <v>591</v>
      </c>
      <c r="B629" s="795" t="s">
        <v>4280</v>
      </c>
      <c r="C629" s="795" t="s">
        <v>3612</v>
      </c>
      <c r="D629" s="795" t="s">
        <v>3865</v>
      </c>
      <c r="E629" s="795" t="s">
        <v>3866</v>
      </c>
      <c r="F629" s="812">
        <v>4</v>
      </c>
      <c r="G629" s="812">
        <v>18432</v>
      </c>
      <c r="H629" s="812">
        <v>0.44444444444444442</v>
      </c>
      <c r="I629" s="812">
        <v>4608</v>
      </c>
      <c r="J629" s="812">
        <v>9</v>
      </c>
      <c r="K629" s="812">
        <v>41472</v>
      </c>
      <c r="L629" s="812">
        <v>1</v>
      </c>
      <c r="M629" s="812">
        <v>4608</v>
      </c>
      <c r="N629" s="812">
        <v>2</v>
      </c>
      <c r="O629" s="812">
        <v>9216</v>
      </c>
      <c r="P629" s="800">
        <v>0.22222222222222221</v>
      </c>
      <c r="Q629" s="813">
        <v>4608</v>
      </c>
    </row>
    <row r="630" spans="1:17" ht="14.4" customHeight="1" x14ac:dyDescent="0.3">
      <c r="A630" s="794" t="s">
        <v>591</v>
      </c>
      <c r="B630" s="795" t="s">
        <v>4280</v>
      </c>
      <c r="C630" s="795" t="s">
        <v>3612</v>
      </c>
      <c r="D630" s="795" t="s">
        <v>3867</v>
      </c>
      <c r="E630" s="795" t="s">
        <v>3868</v>
      </c>
      <c r="F630" s="812">
        <v>1</v>
      </c>
      <c r="G630" s="812">
        <v>2707</v>
      </c>
      <c r="H630" s="812">
        <v>0.125</v>
      </c>
      <c r="I630" s="812">
        <v>2707</v>
      </c>
      <c r="J630" s="812">
        <v>8</v>
      </c>
      <c r="K630" s="812">
        <v>21656</v>
      </c>
      <c r="L630" s="812">
        <v>1</v>
      </c>
      <c r="M630" s="812">
        <v>2707</v>
      </c>
      <c r="N630" s="812">
        <v>2</v>
      </c>
      <c r="O630" s="812">
        <v>5414</v>
      </c>
      <c r="P630" s="800">
        <v>0.25</v>
      </c>
      <c r="Q630" s="813">
        <v>2707</v>
      </c>
    </row>
    <row r="631" spans="1:17" ht="14.4" customHeight="1" x14ac:dyDescent="0.3">
      <c r="A631" s="794" t="s">
        <v>591</v>
      </c>
      <c r="B631" s="795" t="s">
        <v>4280</v>
      </c>
      <c r="C631" s="795" t="s">
        <v>3612</v>
      </c>
      <c r="D631" s="795" t="s">
        <v>3869</v>
      </c>
      <c r="E631" s="795" t="s">
        <v>3733</v>
      </c>
      <c r="F631" s="812">
        <v>2</v>
      </c>
      <c r="G631" s="812">
        <v>2773.3</v>
      </c>
      <c r="H631" s="812"/>
      <c r="I631" s="812">
        <v>1386.65</v>
      </c>
      <c r="J631" s="812"/>
      <c r="K631" s="812"/>
      <c r="L631" s="812"/>
      <c r="M631" s="812"/>
      <c r="N631" s="812">
        <v>1</v>
      </c>
      <c r="O631" s="812">
        <v>1386.65</v>
      </c>
      <c r="P631" s="800"/>
      <c r="Q631" s="813">
        <v>1386.65</v>
      </c>
    </row>
    <row r="632" spans="1:17" ht="14.4" customHeight="1" x14ac:dyDescent="0.3">
      <c r="A632" s="794" t="s">
        <v>591</v>
      </c>
      <c r="B632" s="795" t="s">
        <v>4280</v>
      </c>
      <c r="C632" s="795" t="s">
        <v>3612</v>
      </c>
      <c r="D632" s="795" t="s">
        <v>3870</v>
      </c>
      <c r="E632" s="795" t="s">
        <v>3871</v>
      </c>
      <c r="F632" s="812">
        <v>2</v>
      </c>
      <c r="G632" s="812">
        <v>18279.38</v>
      </c>
      <c r="H632" s="812">
        <v>2</v>
      </c>
      <c r="I632" s="812">
        <v>9139.69</v>
      </c>
      <c r="J632" s="812">
        <v>1</v>
      </c>
      <c r="K632" s="812">
        <v>9139.69</v>
      </c>
      <c r="L632" s="812">
        <v>1</v>
      </c>
      <c r="M632" s="812">
        <v>9139.69</v>
      </c>
      <c r="N632" s="812">
        <v>1</v>
      </c>
      <c r="O632" s="812">
        <v>9139.69</v>
      </c>
      <c r="P632" s="800">
        <v>1</v>
      </c>
      <c r="Q632" s="813">
        <v>9139.69</v>
      </c>
    </row>
    <row r="633" spans="1:17" ht="14.4" customHeight="1" x14ac:dyDescent="0.3">
      <c r="A633" s="794" t="s">
        <v>591</v>
      </c>
      <c r="B633" s="795" t="s">
        <v>4280</v>
      </c>
      <c r="C633" s="795" t="s">
        <v>3612</v>
      </c>
      <c r="D633" s="795" t="s">
        <v>3872</v>
      </c>
      <c r="E633" s="795" t="s">
        <v>3873</v>
      </c>
      <c r="F633" s="812">
        <v>2</v>
      </c>
      <c r="G633" s="812">
        <v>4259.46</v>
      </c>
      <c r="H633" s="812"/>
      <c r="I633" s="812">
        <v>2129.73</v>
      </c>
      <c r="J633" s="812"/>
      <c r="K633" s="812"/>
      <c r="L633" s="812"/>
      <c r="M633" s="812"/>
      <c r="N633" s="812"/>
      <c r="O633" s="812"/>
      <c r="P633" s="800"/>
      <c r="Q633" s="813"/>
    </row>
    <row r="634" spans="1:17" ht="14.4" customHeight="1" x14ac:dyDescent="0.3">
      <c r="A634" s="794" t="s">
        <v>591</v>
      </c>
      <c r="B634" s="795" t="s">
        <v>4280</v>
      </c>
      <c r="C634" s="795" t="s">
        <v>3612</v>
      </c>
      <c r="D634" s="795" t="s">
        <v>4313</v>
      </c>
      <c r="E634" s="795" t="s">
        <v>3873</v>
      </c>
      <c r="F634" s="812">
        <v>1</v>
      </c>
      <c r="G634" s="812">
        <v>2342.1799999999998</v>
      </c>
      <c r="H634" s="812">
        <v>1</v>
      </c>
      <c r="I634" s="812">
        <v>2342.1799999999998</v>
      </c>
      <c r="J634" s="812">
        <v>1</v>
      </c>
      <c r="K634" s="812">
        <v>2342.1799999999998</v>
      </c>
      <c r="L634" s="812">
        <v>1</v>
      </c>
      <c r="M634" s="812">
        <v>2342.1799999999998</v>
      </c>
      <c r="N634" s="812"/>
      <c r="O634" s="812"/>
      <c r="P634" s="800"/>
      <c r="Q634" s="813"/>
    </row>
    <row r="635" spans="1:17" ht="14.4" customHeight="1" x14ac:dyDescent="0.3">
      <c r="A635" s="794" t="s">
        <v>591</v>
      </c>
      <c r="B635" s="795" t="s">
        <v>4280</v>
      </c>
      <c r="C635" s="795" t="s">
        <v>3612</v>
      </c>
      <c r="D635" s="795" t="s">
        <v>3883</v>
      </c>
      <c r="E635" s="795" t="s">
        <v>3884</v>
      </c>
      <c r="F635" s="812"/>
      <c r="G635" s="812"/>
      <c r="H635" s="812"/>
      <c r="I635" s="812"/>
      <c r="J635" s="812">
        <v>1</v>
      </c>
      <c r="K635" s="812">
        <v>18395</v>
      </c>
      <c r="L635" s="812">
        <v>1</v>
      </c>
      <c r="M635" s="812">
        <v>18395</v>
      </c>
      <c r="N635" s="812"/>
      <c r="O635" s="812"/>
      <c r="P635" s="800"/>
      <c r="Q635" s="813"/>
    </row>
    <row r="636" spans="1:17" ht="14.4" customHeight="1" x14ac:dyDescent="0.3">
      <c r="A636" s="794" t="s">
        <v>591</v>
      </c>
      <c r="B636" s="795" t="s">
        <v>4280</v>
      </c>
      <c r="C636" s="795" t="s">
        <v>3612</v>
      </c>
      <c r="D636" s="795" t="s">
        <v>3904</v>
      </c>
      <c r="E636" s="795" t="s">
        <v>3905</v>
      </c>
      <c r="F636" s="812"/>
      <c r="G636" s="812"/>
      <c r="H636" s="812"/>
      <c r="I636" s="812"/>
      <c r="J636" s="812">
        <v>1</v>
      </c>
      <c r="K636" s="812">
        <v>10236.68</v>
      </c>
      <c r="L636" s="812">
        <v>1</v>
      </c>
      <c r="M636" s="812">
        <v>10236.68</v>
      </c>
      <c r="N636" s="812"/>
      <c r="O636" s="812"/>
      <c r="P636" s="800"/>
      <c r="Q636" s="813"/>
    </row>
    <row r="637" spans="1:17" ht="14.4" customHeight="1" x14ac:dyDescent="0.3">
      <c r="A637" s="794" t="s">
        <v>591</v>
      </c>
      <c r="B637" s="795" t="s">
        <v>4280</v>
      </c>
      <c r="C637" s="795" t="s">
        <v>3612</v>
      </c>
      <c r="D637" s="795" t="s">
        <v>3920</v>
      </c>
      <c r="E637" s="795" t="s">
        <v>3921</v>
      </c>
      <c r="F637" s="812"/>
      <c r="G637" s="812"/>
      <c r="H637" s="812"/>
      <c r="I637" s="812"/>
      <c r="J637" s="812"/>
      <c r="K637" s="812"/>
      <c r="L637" s="812"/>
      <c r="M637" s="812"/>
      <c r="N637" s="812">
        <v>2</v>
      </c>
      <c r="O637" s="812">
        <v>8974.76</v>
      </c>
      <c r="P637" s="800"/>
      <c r="Q637" s="813">
        <v>4487.38</v>
      </c>
    </row>
    <row r="638" spans="1:17" ht="14.4" customHeight="1" x14ac:dyDescent="0.3">
      <c r="A638" s="794" t="s">
        <v>591</v>
      </c>
      <c r="B638" s="795" t="s">
        <v>4280</v>
      </c>
      <c r="C638" s="795" t="s">
        <v>3612</v>
      </c>
      <c r="D638" s="795" t="s">
        <v>3930</v>
      </c>
      <c r="E638" s="795" t="s">
        <v>3915</v>
      </c>
      <c r="F638" s="812"/>
      <c r="G638" s="812"/>
      <c r="H638" s="812"/>
      <c r="I638" s="812"/>
      <c r="J638" s="812">
        <v>3</v>
      </c>
      <c r="K638" s="812">
        <v>13818.9</v>
      </c>
      <c r="L638" s="812">
        <v>1</v>
      </c>
      <c r="M638" s="812">
        <v>4606.3</v>
      </c>
      <c r="N638" s="812"/>
      <c r="O638" s="812"/>
      <c r="P638" s="800"/>
      <c r="Q638" s="813"/>
    </row>
    <row r="639" spans="1:17" ht="14.4" customHeight="1" x14ac:dyDescent="0.3">
      <c r="A639" s="794" t="s">
        <v>591</v>
      </c>
      <c r="B639" s="795" t="s">
        <v>4280</v>
      </c>
      <c r="C639" s="795" t="s">
        <v>3612</v>
      </c>
      <c r="D639" s="795" t="s">
        <v>3938</v>
      </c>
      <c r="E639" s="795" t="s">
        <v>3939</v>
      </c>
      <c r="F639" s="812"/>
      <c r="G639" s="812"/>
      <c r="H639" s="812"/>
      <c r="I639" s="812"/>
      <c r="J639" s="812"/>
      <c r="K639" s="812"/>
      <c r="L639" s="812"/>
      <c r="M639" s="812"/>
      <c r="N639" s="812">
        <v>1</v>
      </c>
      <c r="O639" s="812">
        <v>699.55</v>
      </c>
      <c r="P639" s="800"/>
      <c r="Q639" s="813">
        <v>699.55</v>
      </c>
    </row>
    <row r="640" spans="1:17" ht="14.4" customHeight="1" x14ac:dyDescent="0.3">
      <c r="A640" s="794" t="s">
        <v>591</v>
      </c>
      <c r="B640" s="795" t="s">
        <v>4280</v>
      </c>
      <c r="C640" s="795" t="s">
        <v>3612</v>
      </c>
      <c r="D640" s="795" t="s">
        <v>4314</v>
      </c>
      <c r="E640" s="795" t="s">
        <v>4315</v>
      </c>
      <c r="F640" s="812"/>
      <c r="G640" s="812"/>
      <c r="H640" s="812"/>
      <c r="I640" s="812"/>
      <c r="J640" s="812">
        <v>1</v>
      </c>
      <c r="K640" s="812">
        <v>10188.49</v>
      </c>
      <c r="L640" s="812">
        <v>1</v>
      </c>
      <c r="M640" s="812">
        <v>10188.49</v>
      </c>
      <c r="N640" s="812"/>
      <c r="O640" s="812"/>
      <c r="P640" s="800"/>
      <c r="Q640" s="813"/>
    </row>
    <row r="641" spans="1:17" ht="14.4" customHeight="1" x14ac:dyDescent="0.3">
      <c r="A641" s="794" t="s">
        <v>591</v>
      </c>
      <c r="B641" s="795" t="s">
        <v>4280</v>
      </c>
      <c r="C641" s="795" t="s">
        <v>3612</v>
      </c>
      <c r="D641" s="795" t="s">
        <v>3945</v>
      </c>
      <c r="E641" s="795" t="s">
        <v>3946</v>
      </c>
      <c r="F641" s="812"/>
      <c r="G641" s="812"/>
      <c r="H641" s="812"/>
      <c r="I641" s="812"/>
      <c r="J641" s="812">
        <v>1</v>
      </c>
      <c r="K641" s="812">
        <v>1872.2</v>
      </c>
      <c r="L641" s="812">
        <v>1</v>
      </c>
      <c r="M641" s="812">
        <v>1872.2</v>
      </c>
      <c r="N641" s="812">
        <v>1</v>
      </c>
      <c r="O641" s="812">
        <v>1872.2</v>
      </c>
      <c r="P641" s="800">
        <v>1</v>
      </c>
      <c r="Q641" s="813">
        <v>1872.2</v>
      </c>
    </row>
    <row r="642" spans="1:17" ht="14.4" customHeight="1" x14ac:dyDescent="0.3">
      <c r="A642" s="794" t="s">
        <v>591</v>
      </c>
      <c r="B642" s="795" t="s">
        <v>4280</v>
      </c>
      <c r="C642" s="795" t="s">
        <v>3612</v>
      </c>
      <c r="D642" s="795" t="s">
        <v>4316</v>
      </c>
      <c r="E642" s="795" t="s">
        <v>4317</v>
      </c>
      <c r="F642" s="812"/>
      <c r="G642" s="812"/>
      <c r="H642" s="812"/>
      <c r="I642" s="812"/>
      <c r="J642" s="812"/>
      <c r="K642" s="812"/>
      <c r="L642" s="812"/>
      <c r="M642" s="812"/>
      <c r="N642" s="812">
        <v>1</v>
      </c>
      <c r="O642" s="812">
        <v>7868.61</v>
      </c>
      <c r="P642" s="800"/>
      <c r="Q642" s="813">
        <v>7868.61</v>
      </c>
    </row>
    <row r="643" spans="1:17" ht="14.4" customHeight="1" x14ac:dyDescent="0.3">
      <c r="A643" s="794" t="s">
        <v>591</v>
      </c>
      <c r="B643" s="795" t="s">
        <v>4280</v>
      </c>
      <c r="C643" s="795" t="s">
        <v>3612</v>
      </c>
      <c r="D643" s="795" t="s">
        <v>3950</v>
      </c>
      <c r="E643" s="795" t="s">
        <v>3951</v>
      </c>
      <c r="F643" s="812">
        <v>4</v>
      </c>
      <c r="G643" s="812">
        <v>3751.64</v>
      </c>
      <c r="H643" s="812">
        <v>1</v>
      </c>
      <c r="I643" s="812">
        <v>937.91</v>
      </c>
      <c r="J643" s="812">
        <v>4</v>
      </c>
      <c r="K643" s="812">
        <v>3751.64</v>
      </c>
      <c r="L643" s="812">
        <v>1</v>
      </c>
      <c r="M643" s="812">
        <v>937.91</v>
      </c>
      <c r="N643" s="812">
        <v>1</v>
      </c>
      <c r="O643" s="812">
        <v>937.91</v>
      </c>
      <c r="P643" s="800">
        <v>0.25</v>
      </c>
      <c r="Q643" s="813">
        <v>937.91</v>
      </c>
    </row>
    <row r="644" spans="1:17" ht="14.4" customHeight="1" x14ac:dyDescent="0.3">
      <c r="A644" s="794" t="s">
        <v>591</v>
      </c>
      <c r="B644" s="795" t="s">
        <v>4280</v>
      </c>
      <c r="C644" s="795" t="s">
        <v>3612</v>
      </c>
      <c r="D644" s="795" t="s">
        <v>4318</v>
      </c>
      <c r="E644" s="795" t="s">
        <v>4319</v>
      </c>
      <c r="F644" s="812"/>
      <c r="G644" s="812"/>
      <c r="H644" s="812"/>
      <c r="I644" s="812"/>
      <c r="J644" s="812">
        <v>1</v>
      </c>
      <c r="K644" s="812">
        <v>226.45</v>
      </c>
      <c r="L644" s="812">
        <v>1</v>
      </c>
      <c r="M644" s="812">
        <v>226.45</v>
      </c>
      <c r="N644" s="812"/>
      <c r="O644" s="812"/>
      <c r="P644" s="800"/>
      <c r="Q644" s="813"/>
    </row>
    <row r="645" spans="1:17" ht="14.4" customHeight="1" x14ac:dyDescent="0.3">
      <c r="A645" s="794" t="s">
        <v>591</v>
      </c>
      <c r="B645" s="795" t="s">
        <v>4280</v>
      </c>
      <c r="C645" s="795" t="s">
        <v>3612</v>
      </c>
      <c r="D645" s="795" t="s">
        <v>4320</v>
      </c>
      <c r="E645" s="795" t="s">
        <v>4321</v>
      </c>
      <c r="F645" s="812">
        <v>3</v>
      </c>
      <c r="G645" s="812">
        <v>16458</v>
      </c>
      <c r="H645" s="812">
        <v>1</v>
      </c>
      <c r="I645" s="812">
        <v>5486</v>
      </c>
      <c r="J645" s="812">
        <v>3</v>
      </c>
      <c r="K645" s="812">
        <v>16458</v>
      </c>
      <c r="L645" s="812">
        <v>1</v>
      </c>
      <c r="M645" s="812">
        <v>5486</v>
      </c>
      <c r="N645" s="812"/>
      <c r="O645" s="812"/>
      <c r="P645" s="800"/>
      <c r="Q645" s="813"/>
    </row>
    <row r="646" spans="1:17" ht="14.4" customHeight="1" x14ac:dyDescent="0.3">
      <c r="A646" s="794" t="s">
        <v>591</v>
      </c>
      <c r="B646" s="795" t="s">
        <v>4280</v>
      </c>
      <c r="C646" s="795" t="s">
        <v>3612</v>
      </c>
      <c r="D646" s="795" t="s">
        <v>3957</v>
      </c>
      <c r="E646" s="795" t="s">
        <v>3620</v>
      </c>
      <c r="F646" s="812">
        <v>1</v>
      </c>
      <c r="G646" s="812">
        <v>466.47</v>
      </c>
      <c r="H646" s="812">
        <v>1</v>
      </c>
      <c r="I646" s="812">
        <v>466.47</v>
      </c>
      <c r="J646" s="812">
        <v>1</v>
      </c>
      <c r="K646" s="812">
        <v>466.47</v>
      </c>
      <c r="L646" s="812">
        <v>1</v>
      </c>
      <c r="M646" s="812">
        <v>466.47</v>
      </c>
      <c r="N646" s="812"/>
      <c r="O646" s="812"/>
      <c r="P646" s="800"/>
      <c r="Q646" s="813"/>
    </row>
    <row r="647" spans="1:17" ht="14.4" customHeight="1" x14ac:dyDescent="0.3">
      <c r="A647" s="794" t="s">
        <v>591</v>
      </c>
      <c r="B647" s="795" t="s">
        <v>4280</v>
      </c>
      <c r="C647" s="795" t="s">
        <v>3612</v>
      </c>
      <c r="D647" s="795" t="s">
        <v>3958</v>
      </c>
      <c r="E647" s="795" t="s">
        <v>3827</v>
      </c>
      <c r="F647" s="812"/>
      <c r="G647" s="812"/>
      <c r="H647" s="812"/>
      <c r="I647" s="812"/>
      <c r="J647" s="812"/>
      <c r="K647" s="812"/>
      <c r="L647" s="812"/>
      <c r="M647" s="812"/>
      <c r="N647" s="812">
        <v>1</v>
      </c>
      <c r="O647" s="812">
        <v>9224.67</v>
      </c>
      <c r="P647" s="800"/>
      <c r="Q647" s="813">
        <v>9224.67</v>
      </c>
    </row>
    <row r="648" spans="1:17" ht="14.4" customHeight="1" x14ac:dyDescent="0.3">
      <c r="A648" s="794" t="s">
        <v>591</v>
      </c>
      <c r="B648" s="795" t="s">
        <v>4280</v>
      </c>
      <c r="C648" s="795" t="s">
        <v>3612</v>
      </c>
      <c r="D648" s="795" t="s">
        <v>4322</v>
      </c>
      <c r="E648" s="795" t="s">
        <v>4323</v>
      </c>
      <c r="F648" s="812"/>
      <c r="G648" s="812"/>
      <c r="H648" s="812"/>
      <c r="I648" s="812"/>
      <c r="J648" s="812">
        <v>1</v>
      </c>
      <c r="K648" s="812">
        <v>1030</v>
      </c>
      <c r="L648" s="812">
        <v>1</v>
      </c>
      <c r="M648" s="812">
        <v>1030</v>
      </c>
      <c r="N648" s="812"/>
      <c r="O648" s="812"/>
      <c r="P648" s="800"/>
      <c r="Q648" s="813"/>
    </row>
    <row r="649" spans="1:17" ht="14.4" customHeight="1" x14ac:dyDescent="0.3">
      <c r="A649" s="794" t="s">
        <v>591</v>
      </c>
      <c r="B649" s="795" t="s">
        <v>4280</v>
      </c>
      <c r="C649" s="795" t="s">
        <v>3612</v>
      </c>
      <c r="D649" s="795" t="s">
        <v>4324</v>
      </c>
      <c r="E649" s="795" t="s">
        <v>4325</v>
      </c>
      <c r="F649" s="812"/>
      <c r="G649" s="812"/>
      <c r="H649" s="812"/>
      <c r="I649" s="812"/>
      <c r="J649" s="812">
        <v>1</v>
      </c>
      <c r="K649" s="812">
        <v>516</v>
      </c>
      <c r="L649" s="812">
        <v>1</v>
      </c>
      <c r="M649" s="812">
        <v>516</v>
      </c>
      <c r="N649" s="812"/>
      <c r="O649" s="812"/>
      <c r="P649" s="800"/>
      <c r="Q649" s="813"/>
    </row>
    <row r="650" spans="1:17" ht="14.4" customHeight="1" x14ac:dyDescent="0.3">
      <c r="A650" s="794" t="s">
        <v>591</v>
      </c>
      <c r="B650" s="795" t="s">
        <v>4280</v>
      </c>
      <c r="C650" s="795" t="s">
        <v>3612</v>
      </c>
      <c r="D650" s="795" t="s">
        <v>4326</v>
      </c>
      <c r="E650" s="795" t="s">
        <v>4327</v>
      </c>
      <c r="F650" s="812"/>
      <c r="G650" s="812"/>
      <c r="H650" s="812"/>
      <c r="I650" s="812"/>
      <c r="J650" s="812">
        <v>1</v>
      </c>
      <c r="K650" s="812">
        <v>412</v>
      </c>
      <c r="L650" s="812">
        <v>1</v>
      </c>
      <c r="M650" s="812">
        <v>412</v>
      </c>
      <c r="N650" s="812"/>
      <c r="O650" s="812"/>
      <c r="P650" s="800"/>
      <c r="Q650" s="813"/>
    </row>
    <row r="651" spans="1:17" ht="14.4" customHeight="1" x14ac:dyDescent="0.3">
      <c r="A651" s="794" t="s">
        <v>591</v>
      </c>
      <c r="B651" s="795" t="s">
        <v>4280</v>
      </c>
      <c r="C651" s="795" t="s">
        <v>3612</v>
      </c>
      <c r="D651" s="795" t="s">
        <v>4328</v>
      </c>
      <c r="E651" s="795" t="s">
        <v>4329</v>
      </c>
      <c r="F651" s="812"/>
      <c r="G651" s="812"/>
      <c r="H651" s="812"/>
      <c r="I651" s="812"/>
      <c r="J651" s="812">
        <v>2</v>
      </c>
      <c r="K651" s="812">
        <v>16908</v>
      </c>
      <c r="L651" s="812">
        <v>1</v>
      </c>
      <c r="M651" s="812">
        <v>8454</v>
      </c>
      <c r="N651" s="812"/>
      <c r="O651" s="812"/>
      <c r="P651" s="800"/>
      <c r="Q651" s="813"/>
    </row>
    <row r="652" spans="1:17" ht="14.4" customHeight="1" x14ac:dyDescent="0.3">
      <c r="A652" s="794" t="s">
        <v>591</v>
      </c>
      <c r="B652" s="795" t="s">
        <v>4280</v>
      </c>
      <c r="C652" s="795" t="s">
        <v>3612</v>
      </c>
      <c r="D652" s="795" t="s">
        <v>3962</v>
      </c>
      <c r="E652" s="795" t="s">
        <v>3963</v>
      </c>
      <c r="F652" s="812">
        <v>2</v>
      </c>
      <c r="G652" s="812">
        <v>2719.42</v>
      </c>
      <c r="H652" s="812"/>
      <c r="I652" s="812">
        <v>1359.71</v>
      </c>
      <c r="J652" s="812"/>
      <c r="K652" s="812"/>
      <c r="L652" s="812"/>
      <c r="M652" s="812"/>
      <c r="N652" s="812">
        <v>7</v>
      </c>
      <c r="O652" s="812">
        <v>9517.9700000000012</v>
      </c>
      <c r="P652" s="800"/>
      <c r="Q652" s="813">
        <v>1359.7100000000003</v>
      </c>
    </row>
    <row r="653" spans="1:17" ht="14.4" customHeight="1" x14ac:dyDescent="0.3">
      <c r="A653" s="794" t="s">
        <v>591</v>
      </c>
      <c r="B653" s="795" t="s">
        <v>4280</v>
      </c>
      <c r="C653" s="795" t="s">
        <v>3612</v>
      </c>
      <c r="D653" s="795" t="s">
        <v>3965</v>
      </c>
      <c r="E653" s="795" t="s">
        <v>3966</v>
      </c>
      <c r="F653" s="812"/>
      <c r="G653" s="812"/>
      <c r="H653" s="812"/>
      <c r="I653" s="812"/>
      <c r="J653" s="812">
        <v>2</v>
      </c>
      <c r="K653" s="812">
        <v>37014</v>
      </c>
      <c r="L653" s="812">
        <v>1</v>
      </c>
      <c r="M653" s="812">
        <v>18507</v>
      </c>
      <c r="N653" s="812"/>
      <c r="O653" s="812"/>
      <c r="P653" s="800"/>
      <c r="Q653" s="813"/>
    </row>
    <row r="654" spans="1:17" ht="14.4" customHeight="1" x14ac:dyDescent="0.3">
      <c r="A654" s="794" t="s">
        <v>591</v>
      </c>
      <c r="B654" s="795" t="s">
        <v>4280</v>
      </c>
      <c r="C654" s="795" t="s">
        <v>3612</v>
      </c>
      <c r="D654" s="795" t="s">
        <v>4330</v>
      </c>
      <c r="E654" s="795" t="s">
        <v>4331</v>
      </c>
      <c r="F654" s="812"/>
      <c r="G654" s="812"/>
      <c r="H654" s="812"/>
      <c r="I654" s="812"/>
      <c r="J654" s="812"/>
      <c r="K654" s="812"/>
      <c r="L654" s="812"/>
      <c r="M654" s="812"/>
      <c r="N654" s="812">
        <v>4</v>
      </c>
      <c r="O654" s="812">
        <v>5148.6400000000003</v>
      </c>
      <c r="P654" s="800"/>
      <c r="Q654" s="813">
        <v>1287.1600000000001</v>
      </c>
    </row>
    <row r="655" spans="1:17" ht="14.4" customHeight="1" x14ac:dyDescent="0.3">
      <c r="A655" s="794" t="s">
        <v>591</v>
      </c>
      <c r="B655" s="795" t="s">
        <v>4280</v>
      </c>
      <c r="C655" s="795" t="s">
        <v>3612</v>
      </c>
      <c r="D655" s="795" t="s">
        <v>3973</v>
      </c>
      <c r="E655" s="795" t="s">
        <v>3974</v>
      </c>
      <c r="F655" s="812">
        <v>5</v>
      </c>
      <c r="G655" s="812">
        <v>5378.75</v>
      </c>
      <c r="H655" s="812"/>
      <c r="I655" s="812">
        <v>1075.75</v>
      </c>
      <c r="J655" s="812"/>
      <c r="K655" s="812"/>
      <c r="L655" s="812"/>
      <c r="M655" s="812"/>
      <c r="N655" s="812">
        <v>4</v>
      </c>
      <c r="O655" s="812">
        <v>4303</v>
      </c>
      <c r="P655" s="800"/>
      <c r="Q655" s="813">
        <v>1075.75</v>
      </c>
    </row>
    <row r="656" spans="1:17" ht="14.4" customHeight="1" x14ac:dyDescent="0.3">
      <c r="A656" s="794" t="s">
        <v>591</v>
      </c>
      <c r="B656" s="795" t="s">
        <v>4280</v>
      </c>
      <c r="C656" s="795" t="s">
        <v>3612</v>
      </c>
      <c r="D656" s="795" t="s">
        <v>3975</v>
      </c>
      <c r="E656" s="795" t="s">
        <v>3976</v>
      </c>
      <c r="F656" s="812"/>
      <c r="G656" s="812"/>
      <c r="H656" s="812"/>
      <c r="I656" s="812"/>
      <c r="J656" s="812"/>
      <c r="K656" s="812"/>
      <c r="L656" s="812"/>
      <c r="M656" s="812"/>
      <c r="N656" s="812">
        <v>3</v>
      </c>
      <c r="O656" s="812">
        <v>4850.1899999999996</v>
      </c>
      <c r="P656" s="800"/>
      <c r="Q656" s="813">
        <v>1616.7299999999998</v>
      </c>
    </row>
    <row r="657" spans="1:17" ht="14.4" customHeight="1" x14ac:dyDescent="0.3">
      <c r="A657" s="794" t="s">
        <v>591</v>
      </c>
      <c r="B657" s="795" t="s">
        <v>4280</v>
      </c>
      <c r="C657" s="795" t="s">
        <v>3612</v>
      </c>
      <c r="D657" s="795" t="s">
        <v>3979</v>
      </c>
      <c r="E657" s="795" t="s">
        <v>3980</v>
      </c>
      <c r="F657" s="812"/>
      <c r="G657" s="812"/>
      <c r="H657" s="812"/>
      <c r="I657" s="812"/>
      <c r="J657" s="812">
        <v>1</v>
      </c>
      <c r="K657" s="812">
        <v>10707.71</v>
      </c>
      <c r="L657" s="812">
        <v>1</v>
      </c>
      <c r="M657" s="812">
        <v>10707.71</v>
      </c>
      <c r="N657" s="812"/>
      <c r="O657" s="812"/>
      <c r="P657" s="800"/>
      <c r="Q657" s="813"/>
    </row>
    <row r="658" spans="1:17" ht="14.4" customHeight="1" x14ac:dyDescent="0.3">
      <c r="A658" s="794" t="s">
        <v>591</v>
      </c>
      <c r="B658" s="795" t="s">
        <v>4280</v>
      </c>
      <c r="C658" s="795" t="s">
        <v>3612</v>
      </c>
      <c r="D658" s="795" t="s">
        <v>4332</v>
      </c>
      <c r="E658" s="795" t="s">
        <v>4333</v>
      </c>
      <c r="F658" s="812"/>
      <c r="G658" s="812"/>
      <c r="H658" s="812"/>
      <c r="I658" s="812"/>
      <c r="J658" s="812"/>
      <c r="K658" s="812"/>
      <c r="L658" s="812"/>
      <c r="M658" s="812"/>
      <c r="N658" s="812">
        <v>3</v>
      </c>
      <c r="O658" s="812">
        <v>3830.4</v>
      </c>
      <c r="P658" s="800"/>
      <c r="Q658" s="813">
        <v>1276.8</v>
      </c>
    </row>
    <row r="659" spans="1:17" ht="14.4" customHeight="1" x14ac:dyDescent="0.3">
      <c r="A659" s="794" t="s">
        <v>591</v>
      </c>
      <c r="B659" s="795" t="s">
        <v>4280</v>
      </c>
      <c r="C659" s="795" t="s">
        <v>3612</v>
      </c>
      <c r="D659" s="795" t="s">
        <v>3982</v>
      </c>
      <c r="E659" s="795" t="s">
        <v>3983</v>
      </c>
      <c r="F659" s="812">
        <v>4</v>
      </c>
      <c r="G659" s="812">
        <v>355.6</v>
      </c>
      <c r="H659" s="812">
        <v>0.44444444444444453</v>
      </c>
      <c r="I659" s="812">
        <v>88.9</v>
      </c>
      <c r="J659" s="812">
        <v>9</v>
      </c>
      <c r="K659" s="812">
        <v>800.09999999999991</v>
      </c>
      <c r="L659" s="812">
        <v>1</v>
      </c>
      <c r="M659" s="812">
        <v>88.899999999999991</v>
      </c>
      <c r="N659" s="812">
        <v>6</v>
      </c>
      <c r="O659" s="812">
        <v>533.4</v>
      </c>
      <c r="P659" s="800">
        <v>0.66666666666666674</v>
      </c>
      <c r="Q659" s="813">
        <v>88.899999999999991</v>
      </c>
    </row>
    <row r="660" spans="1:17" ht="14.4" customHeight="1" x14ac:dyDescent="0.3">
      <c r="A660" s="794" t="s">
        <v>591</v>
      </c>
      <c r="B660" s="795" t="s">
        <v>4280</v>
      </c>
      <c r="C660" s="795" t="s">
        <v>3612</v>
      </c>
      <c r="D660" s="795" t="s">
        <v>4334</v>
      </c>
      <c r="E660" s="795" t="s">
        <v>4335</v>
      </c>
      <c r="F660" s="812">
        <v>1</v>
      </c>
      <c r="G660" s="812">
        <v>2999</v>
      </c>
      <c r="H660" s="812"/>
      <c r="I660" s="812">
        <v>2999</v>
      </c>
      <c r="J660" s="812"/>
      <c r="K660" s="812"/>
      <c r="L660" s="812"/>
      <c r="M660" s="812"/>
      <c r="N660" s="812"/>
      <c r="O660" s="812"/>
      <c r="P660" s="800"/>
      <c r="Q660" s="813"/>
    </row>
    <row r="661" spans="1:17" ht="14.4" customHeight="1" x14ac:dyDescent="0.3">
      <c r="A661" s="794" t="s">
        <v>591</v>
      </c>
      <c r="B661" s="795" t="s">
        <v>4280</v>
      </c>
      <c r="C661" s="795" t="s">
        <v>3612</v>
      </c>
      <c r="D661" s="795" t="s">
        <v>4336</v>
      </c>
      <c r="E661" s="795" t="s">
        <v>4337</v>
      </c>
      <c r="F661" s="812"/>
      <c r="G661" s="812"/>
      <c r="H661" s="812"/>
      <c r="I661" s="812"/>
      <c r="J661" s="812">
        <v>1</v>
      </c>
      <c r="K661" s="812">
        <v>8493</v>
      </c>
      <c r="L661" s="812">
        <v>1</v>
      </c>
      <c r="M661" s="812">
        <v>8493</v>
      </c>
      <c r="N661" s="812">
        <v>1</v>
      </c>
      <c r="O661" s="812">
        <v>8493</v>
      </c>
      <c r="P661" s="800">
        <v>1</v>
      </c>
      <c r="Q661" s="813">
        <v>8493</v>
      </c>
    </row>
    <row r="662" spans="1:17" ht="14.4" customHeight="1" x14ac:dyDescent="0.3">
      <c r="A662" s="794" t="s">
        <v>591</v>
      </c>
      <c r="B662" s="795" t="s">
        <v>4280</v>
      </c>
      <c r="C662" s="795" t="s">
        <v>3612</v>
      </c>
      <c r="D662" s="795" t="s">
        <v>4001</v>
      </c>
      <c r="E662" s="795" t="s">
        <v>4002</v>
      </c>
      <c r="F662" s="812"/>
      <c r="G662" s="812"/>
      <c r="H662" s="812"/>
      <c r="I662" s="812"/>
      <c r="J662" s="812"/>
      <c r="K662" s="812"/>
      <c r="L662" s="812"/>
      <c r="M662" s="812"/>
      <c r="N662" s="812">
        <v>0.3</v>
      </c>
      <c r="O662" s="812">
        <v>20.100000000000001</v>
      </c>
      <c r="P662" s="800"/>
      <c r="Q662" s="813">
        <v>67.000000000000014</v>
      </c>
    </row>
    <row r="663" spans="1:17" ht="14.4" customHeight="1" x14ac:dyDescent="0.3">
      <c r="A663" s="794" t="s">
        <v>591</v>
      </c>
      <c r="B663" s="795" t="s">
        <v>4280</v>
      </c>
      <c r="C663" s="795" t="s">
        <v>3612</v>
      </c>
      <c r="D663" s="795" t="s">
        <v>4338</v>
      </c>
      <c r="E663" s="795" t="s">
        <v>4339</v>
      </c>
      <c r="F663" s="812"/>
      <c r="G663" s="812"/>
      <c r="H663" s="812"/>
      <c r="I663" s="812"/>
      <c r="J663" s="812">
        <v>3</v>
      </c>
      <c r="K663" s="812">
        <v>10304.459999999999</v>
      </c>
      <c r="L663" s="812">
        <v>1</v>
      </c>
      <c r="M663" s="812">
        <v>3434.8199999999997</v>
      </c>
      <c r="N663" s="812">
        <v>6</v>
      </c>
      <c r="O663" s="812">
        <v>20608.919999999998</v>
      </c>
      <c r="P663" s="800">
        <v>2</v>
      </c>
      <c r="Q663" s="813">
        <v>3434.8199999999997</v>
      </c>
    </row>
    <row r="664" spans="1:17" ht="14.4" customHeight="1" x14ac:dyDescent="0.3">
      <c r="A664" s="794" t="s">
        <v>591</v>
      </c>
      <c r="B664" s="795" t="s">
        <v>4280</v>
      </c>
      <c r="C664" s="795" t="s">
        <v>3612</v>
      </c>
      <c r="D664" s="795" t="s">
        <v>4340</v>
      </c>
      <c r="E664" s="795" t="s">
        <v>4296</v>
      </c>
      <c r="F664" s="812"/>
      <c r="G664" s="812"/>
      <c r="H664" s="812"/>
      <c r="I664" s="812"/>
      <c r="J664" s="812">
        <v>3</v>
      </c>
      <c r="K664" s="812">
        <v>5204.6099999999997</v>
      </c>
      <c r="L664" s="812">
        <v>1</v>
      </c>
      <c r="M664" s="812">
        <v>1734.87</v>
      </c>
      <c r="N664" s="812"/>
      <c r="O664" s="812"/>
      <c r="P664" s="800"/>
      <c r="Q664" s="813"/>
    </row>
    <row r="665" spans="1:17" ht="14.4" customHeight="1" x14ac:dyDescent="0.3">
      <c r="A665" s="794" t="s">
        <v>591</v>
      </c>
      <c r="B665" s="795" t="s">
        <v>4280</v>
      </c>
      <c r="C665" s="795" t="s">
        <v>3612</v>
      </c>
      <c r="D665" s="795" t="s">
        <v>4341</v>
      </c>
      <c r="E665" s="795" t="s">
        <v>4342</v>
      </c>
      <c r="F665" s="812"/>
      <c r="G665" s="812"/>
      <c r="H665" s="812"/>
      <c r="I665" s="812"/>
      <c r="J665" s="812">
        <v>1</v>
      </c>
      <c r="K665" s="812">
        <v>15808.48</v>
      </c>
      <c r="L665" s="812">
        <v>1</v>
      </c>
      <c r="M665" s="812">
        <v>15808.48</v>
      </c>
      <c r="N665" s="812">
        <v>2</v>
      </c>
      <c r="O665" s="812">
        <v>31616.959999999999</v>
      </c>
      <c r="P665" s="800">
        <v>2</v>
      </c>
      <c r="Q665" s="813">
        <v>15808.48</v>
      </c>
    </row>
    <row r="666" spans="1:17" ht="14.4" customHeight="1" x14ac:dyDescent="0.3">
      <c r="A666" s="794" t="s">
        <v>591</v>
      </c>
      <c r="B666" s="795" t="s">
        <v>4280</v>
      </c>
      <c r="C666" s="795" t="s">
        <v>3612</v>
      </c>
      <c r="D666" s="795" t="s">
        <v>4007</v>
      </c>
      <c r="E666" s="795" t="s">
        <v>3656</v>
      </c>
      <c r="F666" s="812"/>
      <c r="G666" s="812"/>
      <c r="H666" s="812"/>
      <c r="I666" s="812"/>
      <c r="J666" s="812">
        <v>2</v>
      </c>
      <c r="K666" s="812">
        <v>24524.5</v>
      </c>
      <c r="L666" s="812">
        <v>1</v>
      </c>
      <c r="M666" s="812">
        <v>12262.25</v>
      </c>
      <c r="N666" s="812"/>
      <c r="O666" s="812"/>
      <c r="P666" s="800"/>
      <c r="Q666" s="813"/>
    </row>
    <row r="667" spans="1:17" ht="14.4" customHeight="1" x14ac:dyDescent="0.3">
      <c r="A667" s="794" t="s">
        <v>591</v>
      </c>
      <c r="B667" s="795" t="s">
        <v>4280</v>
      </c>
      <c r="C667" s="795" t="s">
        <v>3612</v>
      </c>
      <c r="D667" s="795" t="s">
        <v>4343</v>
      </c>
      <c r="E667" s="795" t="s">
        <v>4344</v>
      </c>
      <c r="F667" s="812"/>
      <c r="G667" s="812"/>
      <c r="H667" s="812"/>
      <c r="I667" s="812"/>
      <c r="J667" s="812"/>
      <c r="K667" s="812"/>
      <c r="L667" s="812"/>
      <c r="M667" s="812"/>
      <c r="N667" s="812">
        <v>1</v>
      </c>
      <c r="O667" s="812">
        <v>1287.7</v>
      </c>
      <c r="P667" s="800"/>
      <c r="Q667" s="813">
        <v>1287.7</v>
      </c>
    </row>
    <row r="668" spans="1:17" ht="14.4" customHeight="1" x14ac:dyDescent="0.3">
      <c r="A668" s="794" t="s">
        <v>591</v>
      </c>
      <c r="B668" s="795" t="s">
        <v>4280</v>
      </c>
      <c r="C668" s="795" t="s">
        <v>3612</v>
      </c>
      <c r="D668" s="795" t="s">
        <v>4345</v>
      </c>
      <c r="E668" s="795" t="s">
        <v>4346</v>
      </c>
      <c r="F668" s="812"/>
      <c r="G668" s="812"/>
      <c r="H668" s="812"/>
      <c r="I668" s="812"/>
      <c r="J668" s="812"/>
      <c r="K668" s="812"/>
      <c r="L668" s="812"/>
      <c r="M668" s="812"/>
      <c r="N668" s="812">
        <v>3</v>
      </c>
      <c r="O668" s="812">
        <v>4614.8099999999995</v>
      </c>
      <c r="P668" s="800"/>
      <c r="Q668" s="813">
        <v>1538.2699999999998</v>
      </c>
    </row>
    <row r="669" spans="1:17" ht="14.4" customHeight="1" x14ac:dyDescent="0.3">
      <c r="A669" s="794" t="s">
        <v>591</v>
      </c>
      <c r="B669" s="795" t="s">
        <v>4280</v>
      </c>
      <c r="C669" s="795" t="s">
        <v>3374</v>
      </c>
      <c r="D669" s="795" t="s">
        <v>4347</v>
      </c>
      <c r="E669" s="795" t="s">
        <v>4348</v>
      </c>
      <c r="F669" s="812">
        <v>142</v>
      </c>
      <c r="G669" s="812">
        <v>1689374</v>
      </c>
      <c r="H669" s="812">
        <v>1.0923076923076922</v>
      </c>
      <c r="I669" s="812">
        <v>11897</v>
      </c>
      <c r="J669" s="812">
        <v>130</v>
      </c>
      <c r="K669" s="812">
        <v>1546610</v>
      </c>
      <c r="L669" s="812">
        <v>1</v>
      </c>
      <c r="M669" s="812">
        <v>11897</v>
      </c>
      <c r="N669" s="812">
        <v>107</v>
      </c>
      <c r="O669" s="812">
        <v>1272979</v>
      </c>
      <c r="P669" s="800">
        <v>0.82307692307692304</v>
      </c>
      <c r="Q669" s="813">
        <v>11897</v>
      </c>
    </row>
    <row r="670" spans="1:17" ht="14.4" customHeight="1" x14ac:dyDescent="0.3">
      <c r="A670" s="794" t="s">
        <v>591</v>
      </c>
      <c r="B670" s="795" t="s">
        <v>4280</v>
      </c>
      <c r="C670" s="795" t="s">
        <v>3374</v>
      </c>
      <c r="D670" s="795" t="s">
        <v>4136</v>
      </c>
      <c r="E670" s="795" t="s">
        <v>4137</v>
      </c>
      <c r="F670" s="812">
        <v>0</v>
      </c>
      <c r="G670" s="812">
        <v>0</v>
      </c>
      <c r="H670" s="812"/>
      <c r="I670" s="812"/>
      <c r="J670" s="812">
        <v>0</v>
      </c>
      <c r="K670" s="812">
        <v>0</v>
      </c>
      <c r="L670" s="812"/>
      <c r="M670" s="812"/>
      <c r="N670" s="812">
        <v>0</v>
      </c>
      <c r="O670" s="812">
        <v>0</v>
      </c>
      <c r="P670" s="800"/>
      <c r="Q670" s="813"/>
    </row>
    <row r="671" spans="1:17" ht="14.4" customHeight="1" x14ac:dyDescent="0.3">
      <c r="A671" s="794" t="s">
        <v>591</v>
      </c>
      <c r="B671" s="795" t="s">
        <v>4280</v>
      </c>
      <c r="C671" s="795" t="s">
        <v>3374</v>
      </c>
      <c r="D671" s="795" t="s">
        <v>4138</v>
      </c>
      <c r="E671" s="795" t="s">
        <v>4139</v>
      </c>
      <c r="F671" s="812">
        <v>10</v>
      </c>
      <c r="G671" s="812">
        <v>0</v>
      </c>
      <c r="H671" s="812"/>
      <c r="I671" s="812">
        <v>0</v>
      </c>
      <c r="J671" s="812">
        <v>13</v>
      </c>
      <c r="K671" s="812">
        <v>0</v>
      </c>
      <c r="L671" s="812"/>
      <c r="M671" s="812">
        <v>0</v>
      </c>
      <c r="N671" s="812">
        <v>16</v>
      </c>
      <c r="O671" s="812">
        <v>0</v>
      </c>
      <c r="P671" s="800"/>
      <c r="Q671" s="813">
        <v>0</v>
      </c>
    </row>
    <row r="672" spans="1:17" ht="14.4" customHeight="1" x14ac:dyDescent="0.3">
      <c r="A672" s="794" t="s">
        <v>591</v>
      </c>
      <c r="B672" s="795" t="s">
        <v>4280</v>
      </c>
      <c r="C672" s="795" t="s">
        <v>3374</v>
      </c>
      <c r="D672" s="795" t="s">
        <v>4140</v>
      </c>
      <c r="E672" s="795" t="s">
        <v>4141</v>
      </c>
      <c r="F672" s="812">
        <v>20</v>
      </c>
      <c r="G672" s="812">
        <v>0</v>
      </c>
      <c r="H672" s="812"/>
      <c r="I672" s="812">
        <v>0</v>
      </c>
      <c r="J672" s="812">
        <v>26</v>
      </c>
      <c r="K672" s="812">
        <v>0</v>
      </c>
      <c r="L672" s="812"/>
      <c r="M672" s="812">
        <v>0</v>
      </c>
      <c r="N672" s="812">
        <v>19</v>
      </c>
      <c r="O672" s="812">
        <v>0</v>
      </c>
      <c r="P672" s="800"/>
      <c r="Q672" s="813">
        <v>0</v>
      </c>
    </row>
    <row r="673" spans="1:17" ht="14.4" customHeight="1" x14ac:dyDescent="0.3">
      <c r="A673" s="794" t="s">
        <v>591</v>
      </c>
      <c r="B673" s="795" t="s">
        <v>4280</v>
      </c>
      <c r="C673" s="795" t="s">
        <v>3374</v>
      </c>
      <c r="D673" s="795" t="s">
        <v>4349</v>
      </c>
      <c r="E673" s="795" t="s">
        <v>4350</v>
      </c>
      <c r="F673" s="812">
        <v>5</v>
      </c>
      <c r="G673" s="812">
        <v>27380</v>
      </c>
      <c r="H673" s="812">
        <v>0.26315789473684209</v>
      </c>
      <c r="I673" s="812">
        <v>5476</v>
      </c>
      <c r="J673" s="812">
        <v>19</v>
      </c>
      <c r="K673" s="812">
        <v>104044</v>
      </c>
      <c r="L673" s="812">
        <v>1</v>
      </c>
      <c r="M673" s="812">
        <v>5476</v>
      </c>
      <c r="N673" s="812">
        <v>14</v>
      </c>
      <c r="O673" s="812">
        <v>76664</v>
      </c>
      <c r="P673" s="800">
        <v>0.73684210526315785</v>
      </c>
      <c r="Q673" s="813">
        <v>5476</v>
      </c>
    </row>
    <row r="674" spans="1:17" ht="14.4" customHeight="1" x14ac:dyDescent="0.3">
      <c r="A674" s="794" t="s">
        <v>591</v>
      </c>
      <c r="B674" s="795" t="s">
        <v>4280</v>
      </c>
      <c r="C674" s="795" t="s">
        <v>3374</v>
      </c>
      <c r="D674" s="795" t="s">
        <v>4351</v>
      </c>
      <c r="E674" s="795" t="s">
        <v>4352</v>
      </c>
      <c r="F674" s="812">
        <v>76</v>
      </c>
      <c r="G674" s="812">
        <v>507376</v>
      </c>
      <c r="H674" s="812">
        <v>1.4615384615384615</v>
      </c>
      <c r="I674" s="812">
        <v>6676</v>
      </c>
      <c r="J674" s="812">
        <v>52</v>
      </c>
      <c r="K674" s="812">
        <v>347152</v>
      </c>
      <c r="L674" s="812">
        <v>1</v>
      </c>
      <c r="M674" s="812">
        <v>6676</v>
      </c>
      <c r="N674" s="812">
        <v>54</v>
      </c>
      <c r="O674" s="812">
        <v>360504</v>
      </c>
      <c r="P674" s="800">
        <v>1.0384615384615385</v>
      </c>
      <c r="Q674" s="813">
        <v>6676</v>
      </c>
    </row>
    <row r="675" spans="1:17" ht="14.4" customHeight="1" x14ac:dyDescent="0.3">
      <c r="A675" s="794" t="s">
        <v>591</v>
      </c>
      <c r="B675" s="795" t="s">
        <v>4280</v>
      </c>
      <c r="C675" s="795" t="s">
        <v>3374</v>
      </c>
      <c r="D675" s="795" t="s">
        <v>3435</v>
      </c>
      <c r="E675" s="795" t="s">
        <v>3436</v>
      </c>
      <c r="F675" s="812">
        <v>44</v>
      </c>
      <c r="G675" s="812">
        <v>10340</v>
      </c>
      <c r="H675" s="812">
        <v>0.82390438247011955</v>
      </c>
      <c r="I675" s="812">
        <v>235</v>
      </c>
      <c r="J675" s="812">
        <v>50</v>
      </c>
      <c r="K675" s="812">
        <v>12550</v>
      </c>
      <c r="L675" s="812">
        <v>1</v>
      </c>
      <c r="M675" s="812">
        <v>251</v>
      </c>
      <c r="N675" s="812">
        <v>37</v>
      </c>
      <c r="O675" s="812">
        <v>9287</v>
      </c>
      <c r="P675" s="800">
        <v>0.74</v>
      </c>
      <c r="Q675" s="813">
        <v>251</v>
      </c>
    </row>
    <row r="676" spans="1:17" ht="14.4" customHeight="1" x14ac:dyDescent="0.3">
      <c r="A676" s="794" t="s">
        <v>591</v>
      </c>
      <c r="B676" s="795" t="s">
        <v>4280</v>
      </c>
      <c r="C676" s="795" t="s">
        <v>3374</v>
      </c>
      <c r="D676" s="795" t="s">
        <v>4156</v>
      </c>
      <c r="E676" s="795" t="s">
        <v>4157</v>
      </c>
      <c r="F676" s="812">
        <v>38</v>
      </c>
      <c r="G676" s="812">
        <v>13258</v>
      </c>
      <c r="H676" s="812">
        <v>1.7875151678576244</v>
      </c>
      <c r="I676" s="812">
        <v>348.89473684210526</v>
      </c>
      <c r="J676" s="812">
        <v>20</v>
      </c>
      <c r="K676" s="812">
        <v>7417</v>
      </c>
      <c r="L676" s="812">
        <v>1</v>
      </c>
      <c r="M676" s="812">
        <v>370.85</v>
      </c>
      <c r="N676" s="812">
        <v>18</v>
      </c>
      <c r="O676" s="812">
        <v>6713</v>
      </c>
      <c r="P676" s="800">
        <v>0.90508291762167992</v>
      </c>
      <c r="Q676" s="813">
        <v>372.94444444444446</v>
      </c>
    </row>
    <row r="677" spans="1:17" ht="14.4" customHeight="1" x14ac:dyDescent="0.3">
      <c r="A677" s="794" t="s">
        <v>591</v>
      </c>
      <c r="B677" s="795" t="s">
        <v>4280</v>
      </c>
      <c r="C677" s="795" t="s">
        <v>3374</v>
      </c>
      <c r="D677" s="795" t="s">
        <v>4199</v>
      </c>
      <c r="E677" s="795" t="s">
        <v>4200</v>
      </c>
      <c r="F677" s="812">
        <v>7</v>
      </c>
      <c r="G677" s="812">
        <v>0</v>
      </c>
      <c r="H677" s="812"/>
      <c r="I677" s="812">
        <v>0</v>
      </c>
      <c r="J677" s="812">
        <v>3</v>
      </c>
      <c r="K677" s="812">
        <v>0</v>
      </c>
      <c r="L677" s="812"/>
      <c r="M677" s="812">
        <v>0</v>
      </c>
      <c r="N677" s="812"/>
      <c r="O677" s="812"/>
      <c r="P677" s="800"/>
      <c r="Q677" s="813"/>
    </row>
    <row r="678" spans="1:17" ht="14.4" customHeight="1" x14ac:dyDescent="0.3">
      <c r="A678" s="794" t="s">
        <v>591</v>
      </c>
      <c r="B678" s="795" t="s">
        <v>4353</v>
      </c>
      <c r="C678" s="795" t="s">
        <v>3374</v>
      </c>
      <c r="D678" s="795" t="s">
        <v>4354</v>
      </c>
      <c r="E678" s="795" t="s">
        <v>4355</v>
      </c>
      <c r="F678" s="812"/>
      <c r="G678" s="812"/>
      <c r="H678" s="812"/>
      <c r="I678" s="812"/>
      <c r="J678" s="812">
        <v>1</v>
      </c>
      <c r="K678" s="812">
        <v>3633</v>
      </c>
      <c r="L678" s="812">
        <v>1</v>
      </c>
      <c r="M678" s="812">
        <v>3633</v>
      </c>
      <c r="N678" s="812"/>
      <c r="O678" s="812"/>
      <c r="P678" s="800"/>
      <c r="Q678" s="813"/>
    </row>
    <row r="679" spans="1:17" ht="14.4" customHeight="1" x14ac:dyDescent="0.3">
      <c r="A679" s="794" t="s">
        <v>591</v>
      </c>
      <c r="B679" s="795" t="s">
        <v>4353</v>
      </c>
      <c r="C679" s="795" t="s">
        <v>3374</v>
      </c>
      <c r="D679" s="795" t="s">
        <v>4158</v>
      </c>
      <c r="E679" s="795" t="s">
        <v>4159</v>
      </c>
      <c r="F679" s="812"/>
      <c r="G679" s="812"/>
      <c r="H679" s="812"/>
      <c r="I679" s="812"/>
      <c r="J679" s="812">
        <v>1</v>
      </c>
      <c r="K679" s="812">
        <v>865</v>
      </c>
      <c r="L679" s="812">
        <v>1</v>
      </c>
      <c r="M679" s="812">
        <v>865</v>
      </c>
      <c r="N679" s="812"/>
      <c r="O679" s="812"/>
      <c r="P679" s="800"/>
      <c r="Q679" s="813"/>
    </row>
    <row r="680" spans="1:17" ht="14.4" customHeight="1" x14ac:dyDescent="0.3">
      <c r="A680" s="794" t="s">
        <v>591</v>
      </c>
      <c r="B680" s="795" t="s">
        <v>4353</v>
      </c>
      <c r="C680" s="795" t="s">
        <v>3374</v>
      </c>
      <c r="D680" s="795" t="s">
        <v>4356</v>
      </c>
      <c r="E680" s="795" t="s">
        <v>4357</v>
      </c>
      <c r="F680" s="812"/>
      <c r="G680" s="812"/>
      <c r="H680" s="812"/>
      <c r="I680" s="812"/>
      <c r="J680" s="812">
        <v>1</v>
      </c>
      <c r="K680" s="812">
        <v>1547</v>
      </c>
      <c r="L680" s="812">
        <v>1</v>
      </c>
      <c r="M680" s="812">
        <v>1547</v>
      </c>
      <c r="N680" s="812"/>
      <c r="O680" s="812"/>
      <c r="P680" s="800"/>
      <c r="Q680" s="813"/>
    </row>
    <row r="681" spans="1:17" ht="14.4" customHeight="1" x14ac:dyDescent="0.3">
      <c r="A681" s="794" t="s">
        <v>591</v>
      </c>
      <c r="B681" s="795" t="s">
        <v>4353</v>
      </c>
      <c r="C681" s="795" t="s">
        <v>3374</v>
      </c>
      <c r="D681" s="795" t="s">
        <v>3524</v>
      </c>
      <c r="E681" s="795" t="s">
        <v>3525</v>
      </c>
      <c r="F681" s="812"/>
      <c r="G681" s="812"/>
      <c r="H681" s="812"/>
      <c r="I681" s="812"/>
      <c r="J681" s="812">
        <v>2</v>
      </c>
      <c r="K681" s="812">
        <v>728</v>
      </c>
      <c r="L681" s="812">
        <v>1</v>
      </c>
      <c r="M681" s="812">
        <v>364</v>
      </c>
      <c r="N681" s="812"/>
      <c r="O681" s="812"/>
      <c r="P681" s="800"/>
      <c r="Q681" s="813"/>
    </row>
    <row r="682" spans="1:17" ht="14.4" customHeight="1" x14ac:dyDescent="0.3">
      <c r="A682" s="794" t="s">
        <v>591</v>
      </c>
      <c r="B682" s="795" t="s">
        <v>4353</v>
      </c>
      <c r="C682" s="795" t="s">
        <v>3374</v>
      </c>
      <c r="D682" s="795" t="s">
        <v>4358</v>
      </c>
      <c r="E682" s="795" t="s">
        <v>4359</v>
      </c>
      <c r="F682" s="812"/>
      <c r="G682" s="812"/>
      <c r="H682" s="812"/>
      <c r="I682" s="812"/>
      <c r="J682" s="812">
        <v>1</v>
      </c>
      <c r="K682" s="812">
        <v>1734</v>
      </c>
      <c r="L682" s="812">
        <v>1</v>
      </c>
      <c r="M682" s="812">
        <v>1734</v>
      </c>
      <c r="N682" s="812"/>
      <c r="O682" s="812"/>
      <c r="P682" s="800"/>
      <c r="Q682" s="813"/>
    </row>
    <row r="683" spans="1:17" ht="14.4" customHeight="1" x14ac:dyDescent="0.3">
      <c r="A683" s="794" t="s">
        <v>591</v>
      </c>
      <c r="B683" s="795" t="s">
        <v>4353</v>
      </c>
      <c r="C683" s="795" t="s">
        <v>3374</v>
      </c>
      <c r="D683" s="795" t="s">
        <v>4203</v>
      </c>
      <c r="E683" s="795" t="s">
        <v>4204</v>
      </c>
      <c r="F683" s="812"/>
      <c r="G683" s="812"/>
      <c r="H683" s="812"/>
      <c r="I683" s="812"/>
      <c r="J683" s="812">
        <v>1</v>
      </c>
      <c r="K683" s="812">
        <v>710</v>
      </c>
      <c r="L683" s="812">
        <v>1</v>
      </c>
      <c r="M683" s="812">
        <v>710</v>
      </c>
      <c r="N683" s="812"/>
      <c r="O683" s="812"/>
      <c r="P683" s="800"/>
      <c r="Q683" s="813"/>
    </row>
    <row r="684" spans="1:17" ht="14.4" customHeight="1" x14ac:dyDescent="0.3">
      <c r="A684" s="794" t="s">
        <v>591</v>
      </c>
      <c r="B684" s="795" t="s">
        <v>4353</v>
      </c>
      <c r="C684" s="795" t="s">
        <v>3374</v>
      </c>
      <c r="D684" s="795" t="s">
        <v>4360</v>
      </c>
      <c r="E684" s="795" t="s">
        <v>4361</v>
      </c>
      <c r="F684" s="812"/>
      <c r="G684" s="812"/>
      <c r="H684" s="812"/>
      <c r="I684" s="812"/>
      <c r="J684" s="812">
        <v>1</v>
      </c>
      <c r="K684" s="812">
        <v>16633</v>
      </c>
      <c r="L684" s="812">
        <v>1</v>
      </c>
      <c r="M684" s="812">
        <v>16633</v>
      </c>
      <c r="N684" s="812"/>
      <c r="O684" s="812"/>
      <c r="P684" s="800"/>
      <c r="Q684" s="813"/>
    </row>
    <row r="685" spans="1:17" ht="14.4" customHeight="1" x14ac:dyDescent="0.3">
      <c r="A685" s="794" t="s">
        <v>591</v>
      </c>
      <c r="B685" s="795" t="s">
        <v>4353</v>
      </c>
      <c r="C685" s="795" t="s">
        <v>3374</v>
      </c>
      <c r="D685" s="795" t="s">
        <v>4223</v>
      </c>
      <c r="E685" s="795" t="s">
        <v>4224</v>
      </c>
      <c r="F685" s="812"/>
      <c r="G685" s="812"/>
      <c r="H685" s="812"/>
      <c r="I685" s="812"/>
      <c r="J685" s="812">
        <v>1</v>
      </c>
      <c r="K685" s="812">
        <v>1839</v>
      </c>
      <c r="L685" s="812">
        <v>1</v>
      </c>
      <c r="M685" s="812">
        <v>1839</v>
      </c>
      <c r="N685" s="812"/>
      <c r="O685" s="812"/>
      <c r="P685" s="800"/>
      <c r="Q685" s="813"/>
    </row>
    <row r="686" spans="1:17" ht="14.4" customHeight="1" x14ac:dyDescent="0.3">
      <c r="A686" s="794" t="s">
        <v>591</v>
      </c>
      <c r="B686" s="795" t="s">
        <v>4362</v>
      </c>
      <c r="C686" s="795" t="s">
        <v>3374</v>
      </c>
      <c r="D686" s="795" t="s">
        <v>4363</v>
      </c>
      <c r="E686" s="795" t="s">
        <v>4364</v>
      </c>
      <c r="F686" s="812">
        <v>2</v>
      </c>
      <c r="G686" s="812">
        <v>688</v>
      </c>
      <c r="H686" s="812"/>
      <c r="I686" s="812">
        <v>344</v>
      </c>
      <c r="J686" s="812"/>
      <c r="K686" s="812"/>
      <c r="L686" s="812"/>
      <c r="M686" s="812"/>
      <c r="N686" s="812"/>
      <c r="O686" s="812"/>
      <c r="P686" s="800"/>
      <c r="Q686" s="813"/>
    </row>
    <row r="687" spans="1:17" ht="14.4" customHeight="1" x14ac:dyDescent="0.3">
      <c r="A687" s="794" t="s">
        <v>591</v>
      </c>
      <c r="B687" s="795" t="s">
        <v>4362</v>
      </c>
      <c r="C687" s="795" t="s">
        <v>3374</v>
      </c>
      <c r="D687" s="795" t="s">
        <v>4365</v>
      </c>
      <c r="E687" s="795" t="s">
        <v>4366</v>
      </c>
      <c r="F687" s="812">
        <v>1</v>
      </c>
      <c r="G687" s="812">
        <v>5315</v>
      </c>
      <c r="H687" s="812"/>
      <c r="I687" s="812">
        <v>5315</v>
      </c>
      <c r="J687" s="812"/>
      <c r="K687" s="812"/>
      <c r="L687" s="812"/>
      <c r="M687" s="812"/>
      <c r="N687" s="812"/>
      <c r="O687" s="812"/>
      <c r="P687" s="800"/>
      <c r="Q687" s="813"/>
    </row>
    <row r="688" spans="1:17" ht="14.4" customHeight="1" x14ac:dyDescent="0.3">
      <c r="A688" s="794" t="s">
        <v>591</v>
      </c>
      <c r="B688" s="795" t="s">
        <v>4362</v>
      </c>
      <c r="C688" s="795" t="s">
        <v>3374</v>
      </c>
      <c r="D688" s="795" t="s">
        <v>4367</v>
      </c>
      <c r="E688" s="795" t="s">
        <v>4368</v>
      </c>
      <c r="F688" s="812">
        <v>1</v>
      </c>
      <c r="G688" s="812">
        <v>2452</v>
      </c>
      <c r="H688" s="812"/>
      <c r="I688" s="812">
        <v>2452</v>
      </c>
      <c r="J688" s="812"/>
      <c r="K688" s="812"/>
      <c r="L688" s="812"/>
      <c r="M688" s="812"/>
      <c r="N688" s="812"/>
      <c r="O688" s="812"/>
      <c r="P688" s="800"/>
      <c r="Q688" s="813"/>
    </row>
    <row r="689" spans="1:17" ht="14.4" customHeight="1" x14ac:dyDescent="0.3">
      <c r="A689" s="794" t="s">
        <v>591</v>
      </c>
      <c r="B689" s="795" t="s">
        <v>4362</v>
      </c>
      <c r="C689" s="795" t="s">
        <v>3374</v>
      </c>
      <c r="D689" s="795" t="s">
        <v>4369</v>
      </c>
      <c r="E689" s="795" t="s">
        <v>4370</v>
      </c>
      <c r="F689" s="812">
        <v>2</v>
      </c>
      <c r="G689" s="812">
        <v>2332</v>
      </c>
      <c r="H689" s="812"/>
      <c r="I689" s="812">
        <v>1166</v>
      </c>
      <c r="J689" s="812"/>
      <c r="K689" s="812"/>
      <c r="L689" s="812"/>
      <c r="M689" s="812"/>
      <c r="N689" s="812"/>
      <c r="O689" s="812"/>
      <c r="P689" s="800"/>
      <c r="Q689" s="813"/>
    </row>
    <row r="690" spans="1:17" ht="14.4" customHeight="1" x14ac:dyDescent="0.3">
      <c r="A690" s="794" t="s">
        <v>591</v>
      </c>
      <c r="B690" s="795" t="s">
        <v>4362</v>
      </c>
      <c r="C690" s="795" t="s">
        <v>3374</v>
      </c>
      <c r="D690" s="795" t="s">
        <v>4371</v>
      </c>
      <c r="E690" s="795" t="s">
        <v>4372</v>
      </c>
      <c r="F690" s="812">
        <v>1</v>
      </c>
      <c r="G690" s="812">
        <v>819</v>
      </c>
      <c r="H690" s="812"/>
      <c r="I690" s="812">
        <v>819</v>
      </c>
      <c r="J690" s="812"/>
      <c r="K690" s="812"/>
      <c r="L690" s="812"/>
      <c r="M690" s="812"/>
      <c r="N690" s="812"/>
      <c r="O690" s="812"/>
      <c r="P690" s="800"/>
      <c r="Q690" s="813"/>
    </row>
    <row r="691" spans="1:17" ht="14.4" customHeight="1" x14ac:dyDescent="0.3">
      <c r="A691" s="794" t="s">
        <v>591</v>
      </c>
      <c r="B691" s="795" t="s">
        <v>4362</v>
      </c>
      <c r="C691" s="795" t="s">
        <v>3374</v>
      </c>
      <c r="D691" s="795" t="s">
        <v>4373</v>
      </c>
      <c r="E691" s="795" t="s">
        <v>4374</v>
      </c>
      <c r="F691" s="812">
        <v>3</v>
      </c>
      <c r="G691" s="812">
        <v>7962</v>
      </c>
      <c r="H691" s="812"/>
      <c r="I691" s="812">
        <v>2654</v>
      </c>
      <c r="J691" s="812"/>
      <c r="K691" s="812"/>
      <c r="L691" s="812"/>
      <c r="M691" s="812"/>
      <c r="N691" s="812"/>
      <c r="O691" s="812"/>
      <c r="P691" s="800"/>
      <c r="Q691" s="813"/>
    </row>
    <row r="692" spans="1:17" ht="14.4" customHeight="1" x14ac:dyDescent="0.3">
      <c r="A692" s="794" t="s">
        <v>591</v>
      </c>
      <c r="B692" s="795" t="s">
        <v>4362</v>
      </c>
      <c r="C692" s="795" t="s">
        <v>3374</v>
      </c>
      <c r="D692" s="795" t="s">
        <v>4375</v>
      </c>
      <c r="E692" s="795" t="s">
        <v>4376</v>
      </c>
      <c r="F692" s="812">
        <v>5</v>
      </c>
      <c r="G692" s="812">
        <v>12260</v>
      </c>
      <c r="H692" s="812"/>
      <c r="I692" s="812">
        <v>2452</v>
      </c>
      <c r="J692" s="812"/>
      <c r="K692" s="812"/>
      <c r="L692" s="812"/>
      <c r="M692" s="812"/>
      <c r="N692" s="812"/>
      <c r="O692" s="812"/>
      <c r="P692" s="800"/>
      <c r="Q692" s="813"/>
    </row>
    <row r="693" spans="1:17" ht="14.4" customHeight="1" x14ac:dyDescent="0.3">
      <c r="A693" s="794" t="s">
        <v>591</v>
      </c>
      <c r="B693" s="795" t="s">
        <v>4362</v>
      </c>
      <c r="C693" s="795" t="s">
        <v>3374</v>
      </c>
      <c r="D693" s="795" t="s">
        <v>4377</v>
      </c>
      <c r="E693" s="795" t="s">
        <v>4378</v>
      </c>
      <c r="F693" s="812">
        <v>1</v>
      </c>
      <c r="G693" s="812">
        <v>1475</v>
      </c>
      <c r="H693" s="812"/>
      <c r="I693" s="812">
        <v>1475</v>
      </c>
      <c r="J693" s="812"/>
      <c r="K693" s="812"/>
      <c r="L693" s="812"/>
      <c r="M693" s="812"/>
      <c r="N693" s="812"/>
      <c r="O693" s="812"/>
      <c r="P693" s="800"/>
      <c r="Q693" s="813"/>
    </row>
    <row r="694" spans="1:17" ht="14.4" customHeight="1" x14ac:dyDescent="0.3">
      <c r="A694" s="794" t="s">
        <v>591</v>
      </c>
      <c r="B694" s="795" t="s">
        <v>4362</v>
      </c>
      <c r="C694" s="795" t="s">
        <v>3374</v>
      </c>
      <c r="D694" s="795" t="s">
        <v>4379</v>
      </c>
      <c r="E694" s="795" t="s">
        <v>4380</v>
      </c>
      <c r="F694" s="812">
        <v>1</v>
      </c>
      <c r="G694" s="812">
        <v>3163</v>
      </c>
      <c r="H694" s="812"/>
      <c r="I694" s="812">
        <v>3163</v>
      </c>
      <c r="J694" s="812"/>
      <c r="K694" s="812"/>
      <c r="L694" s="812"/>
      <c r="M694" s="812"/>
      <c r="N694" s="812"/>
      <c r="O694" s="812"/>
      <c r="P694" s="800"/>
      <c r="Q694" s="813"/>
    </row>
    <row r="695" spans="1:17" ht="14.4" customHeight="1" x14ac:dyDescent="0.3">
      <c r="A695" s="794" t="s">
        <v>4381</v>
      </c>
      <c r="B695" s="795" t="s">
        <v>3364</v>
      </c>
      <c r="C695" s="795" t="s">
        <v>3374</v>
      </c>
      <c r="D695" s="795" t="s">
        <v>3397</v>
      </c>
      <c r="E695" s="795" t="s">
        <v>3398</v>
      </c>
      <c r="F695" s="812"/>
      <c r="G695" s="812"/>
      <c r="H695" s="812"/>
      <c r="I695" s="812"/>
      <c r="J695" s="812"/>
      <c r="K695" s="812"/>
      <c r="L695" s="812"/>
      <c r="M695" s="812"/>
      <c r="N695" s="812">
        <v>2</v>
      </c>
      <c r="O695" s="812">
        <v>252</v>
      </c>
      <c r="P695" s="800"/>
      <c r="Q695" s="813">
        <v>126</v>
      </c>
    </row>
    <row r="696" spans="1:17" ht="14.4" customHeight="1" x14ac:dyDescent="0.3">
      <c r="A696" s="794" t="s">
        <v>4382</v>
      </c>
      <c r="B696" s="795" t="s">
        <v>3364</v>
      </c>
      <c r="C696" s="795" t="s">
        <v>3374</v>
      </c>
      <c r="D696" s="795" t="s">
        <v>3397</v>
      </c>
      <c r="E696" s="795" t="s">
        <v>3398</v>
      </c>
      <c r="F696" s="812">
        <v>1</v>
      </c>
      <c r="G696" s="812">
        <v>118</v>
      </c>
      <c r="H696" s="812"/>
      <c r="I696" s="812">
        <v>118</v>
      </c>
      <c r="J696" s="812"/>
      <c r="K696" s="812"/>
      <c r="L696" s="812"/>
      <c r="M696" s="812"/>
      <c r="N696" s="812">
        <v>2</v>
      </c>
      <c r="O696" s="812">
        <v>252</v>
      </c>
      <c r="P696" s="800"/>
      <c r="Q696" s="813">
        <v>126</v>
      </c>
    </row>
    <row r="697" spans="1:17" ht="14.4" customHeight="1" x14ac:dyDescent="0.3">
      <c r="A697" s="794" t="s">
        <v>4382</v>
      </c>
      <c r="B697" s="795" t="s">
        <v>3364</v>
      </c>
      <c r="C697" s="795" t="s">
        <v>3374</v>
      </c>
      <c r="D697" s="795" t="s">
        <v>3507</v>
      </c>
      <c r="E697" s="795" t="s">
        <v>3508</v>
      </c>
      <c r="F697" s="812"/>
      <c r="G697" s="812"/>
      <c r="H697" s="812"/>
      <c r="I697" s="812"/>
      <c r="J697" s="812"/>
      <c r="K697" s="812"/>
      <c r="L697" s="812"/>
      <c r="M697" s="812"/>
      <c r="N697" s="812">
        <v>1</v>
      </c>
      <c r="O697" s="812">
        <v>120</v>
      </c>
      <c r="P697" s="800"/>
      <c r="Q697" s="813">
        <v>120</v>
      </c>
    </row>
    <row r="698" spans="1:17" ht="14.4" customHeight="1" thickBot="1" x14ac:dyDescent="0.35">
      <c r="A698" s="802" t="s">
        <v>4383</v>
      </c>
      <c r="B698" s="803" t="s">
        <v>3364</v>
      </c>
      <c r="C698" s="803" t="s">
        <v>3374</v>
      </c>
      <c r="D698" s="803" t="s">
        <v>3397</v>
      </c>
      <c r="E698" s="803" t="s">
        <v>3398</v>
      </c>
      <c r="F698" s="814"/>
      <c r="G698" s="814"/>
      <c r="H698" s="814"/>
      <c r="I698" s="814"/>
      <c r="J698" s="814">
        <v>3</v>
      </c>
      <c r="K698" s="814">
        <v>378</v>
      </c>
      <c r="L698" s="814">
        <v>1</v>
      </c>
      <c r="M698" s="814">
        <v>126</v>
      </c>
      <c r="N698" s="814">
        <v>1</v>
      </c>
      <c r="O698" s="814">
        <v>126</v>
      </c>
      <c r="P698" s="808">
        <v>0.33333333333333331</v>
      </c>
      <c r="Q698" s="815">
        <v>126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27" t="s">
        <v>135</v>
      </c>
      <c r="B1" s="627"/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627"/>
    </row>
    <row r="2" spans="1:17" ht="14.4" customHeight="1" thickBot="1" x14ac:dyDescent="0.35">
      <c r="A2" s="374" t="s">
        <v>353</v>
      </c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</row>
    <row r="3" spans="1:17" ht="14.4" customHeight="1" thickBot="1" x14ac:dyDescent="0.35">
      <c r="A3" s="617" t="s">
        <v>70</v>
      </c>
      <c r="B3" s="594" t="s">
        <v>71</v>
      </c>
      <c r="C3" s="595"/>
      <c r="D3" s="595"/>
      <c r="E3" s="596"/>
      <c r="F3" s="597"/>
      <c r="G3" s="594" t="s">
        <v>280</v>
      </c>
      <c r="H3" s="595"/>
      <c r="I3" s="595"/>
      <c r="J3" s="596"/>
      <c r="K3" s="597"/>
      <c r="L3" s="121"/>
      <c r="M3" s="122"/>
      <c r="N3" s="121"/>
      <c r="O3" s="123"/>
    </row>
    <row r="4" spans="1:17" ht="14.4" customHeight="1" thickBot="1" x14ac:dyDescent="0.35">
      <c r="A4" s="618"/>
      <c r="B4" s="124">
        <v>2015</v>
      </c>
      <c r="C4" s="125">
        <v>2016</v>
      </c>
      <c r="D4" s="125">
        <v>2017</v>
      </c>
      <c r="E4" s="483" t="s">
        <v>332</v>
      </c>
      <c r="F4" s="484" t="s">
        <v>2</v>
      </c>
      <c r="G4" s="124">
        <v>2015</v>
      </c>
      <c r="H4" s="125">
        <v>2016</v>
      </c>
      <c r="I4" s="125">
        <v>2017</v>
      </c>
      <c r="J4" s="125" t="s">
        <v>332</v>
      </c>
      <c r="K4" s="126" t="s">
        <v>2</v>
      </c>
      <c r="L4" s="121"/>
      <c r="M4" s="121"/>
      <c r="N4" s="127" t="s">
        <v>72</v>
      </c>
      <c r="O4" s="128" t="s">
        <v>73</v>
      </c>
      <c r="P4" s="127" t="s">
        <v>343</v>
      </c>
      <c r="Q4" s="128" t="s">
        <v>344</v>
      </c>
    </row>
    <row r="5" spans="1:17" ht="14.4" hidden="1" customHeight="1" outlineLevel="1" x14ac:dyDescent="0.3">
      <c r="A5" s="508" t="s">
        <v>168</v>
      </c>
      <c r="B5" s="119">
        <v>108.42400000000001</v>
      </c>
      <c r="C5" s="114">
        <v>121.697</v>
      </c>
      <c r="D5" s="114">
        <v>106.599</v>
      </c>
      <c r="E5" s="489">
        <f>IF(OR(D5=0,B5=0),"",D5/B5)</f>
        <v>0.98316793329890062</v>
      </c>
      <c r="F5" s="129">
        <f>IF(OR(D5=0,C5=0),"",D5/C5)</f>
        <v>0.8759377798959711</v>
      </c>
      <c r="G5" s="130">
        <v>117</v>
      </c>
      <c r="H5" s="114">
        <v>103</v>
      </c>
      <c r="I5" s="114">
        <v>104</v>
      </c>
      <c r="J5" s="489">
        <f>IF(OR(I5=0,G5=0),"",I5/G5)</f>
        <v>0.88888888888888884</v>
      </c>
      <c r="K5" s="131">
        <f>IF(OR(I5=0,H5=0),"",I5/H5)</f>
        <v>1.0097087378640777</v>
      </c>
      <c r="L5" s="121"/>
      <c r="M5" s="121"/>
      <c r="N5" s="7">
        <f>D5-C5</f>
        <v>-15.097999999999999</v>
      </c>
      <c r="O5" s="8">
        <f>I5-H5</f>
        <v>1</v>
      </c>
      <c r="P5" s="7">
        <f>D5-B5</f>
        <v>-1.8250000000000028</v>
      </c>
      <c r="Q5" s="8">
        <f>I5-G5</f>
        <v>-13</v>
      </c>
    </row>
    <row r="6" spans="1:17" ht="14.4" hidden="1" customHeight="1" outlineLevel="1" x14ac:dyDescent="0.3">
      <c r="A6" s="509" t="s">
        <v>169</v>
      </c>
      <c r="B6" s="120">
        <v>66.347999999999999</v>
      </c>
      <c r="C6" s="113">
        <v>53.296999999999997</v>
      </c>
      <c r="D6" s="113">
        <v>50.156999999999996</v>
      </c>
      <c r="E6" s="489">
        <f t="shared" ref="E6:E12" si="0">IF(OR(D6=0,B6=0),"",D6/B6)</f>
        <v>0.75596852957135097</v>
      </c>
      <c r="F6" s="129">
        <f t="shared" ref="F6:F12" si="1">IF(OR(D6=0,C6=0),"",D6/C6)</f>
        <v>0.94108486406364333</v>
      </c>
      <c r="G6" s="133">
        <v>48</v>
      </c>
      <c r="H6" s="113">
        <v>44</v>
      </c>
      <c r="I6" s="113">
        <v>59</v>
      </c>
      <c r="J6" s="490">
        <f t="shared" ref="J6:J12" si="2">IF(OR(I6=0,G6=0),"",I6/G6)</f>
        <v>1.2291666666666667</v>
      </c>
      <c r="K6" s="134">
        <f t="shared" ref="K6:K12" si="3">IF(OR(I6=0,H6=0),"",I6/H6)</f>
        <v>1.3409090909090908</v>
      </c>
      <c r="L6" s="121"/>
      <c r="M6" s="121"/>
      <c r="N6" s="5">
        <f t="shared" ref="N6:N13" si="4">D6-C6</f>
        <v>-3.1400000000000006</v>
      </c>
      <c r="O6" s="6">
        <f t="shared" ref="O6:O13" si="5">I6-H6</f>
        <v>15</v>
      </c>
      <c r="P6" s="5">
        <f t="shared" ref="P6:P13" si="6">D6-B6</f>
        <v>-16.191000000000003</v>
      </c>
      <c r="Q6" s="6">
        <f t="shared" ref="Q6:Q13" si="7">I6-G6</f>
        <v>11</v>
      </c>
    </row>
    <row r="7" spans="1:17" ht="14.4" hidden="1" customHeight="1" outlineLevel="1" x14ac:dyDescent="0.3">
      <c r="A7" s="509" t="s">
        <v>170</v>
      </c>
      <c r="B7" s="120">
        <v>140.32</v>
      </c>
      <c r="C7" s="113">
        <v>83.623999999999995</v>
      </c>
      <c r="D7" s="113">
        <v>102.91200000000001</v>
      </c>
      <c r="E7" s="489">
        <f t="shared" si="0"/>
        <v>0.73340935005701258</v>
      </c>
      <c r="F7" s="129">
        <f t="shared" si="1"/>
        <v>1.2306514876112122</v>
      </c>
      <c r="G7" s="133">
        <v>121</v>
      </c>
      <c r="H7" s="113">
        <v>95</v>
      </c>
      <c r="I7" s="113">
        <v>108</v>
      </c>
      <c r="J7" s="490">
        <f t="shared" si="2"/>
        <v>0.8925619834710744</v>
      </c>
      <c r="K7" s="134">
        <f t="shared" si="3"/>
        <v>1.1368421052631579</v>
      </c>
      <c r="L7" s="121"/>
      <c r="M7" s="121"/>
      <c r="N7" s="5">
        <f t="shared" si="4"/>
        <v>19.288000000000011</v>
      </c>
      <c r="O7" s="6">
        <f t="shared" si="5"/>
        <v>13</v>
      </c>
      <c r="P7" s="5">
        <f t="shared" si="6"/>
        <v>-37.407999999999987</v>
      </c>
      <c r="Q7" s="6">
        <f t="shared" si="7"/>
        <v>-13</v>
      </c>
    </row>
    <row r="8" spans="1:17" ht="14.4" hidden="1" customHeight="1" outlineLevel="1" x14ac:dyDescent="0.3">
      <c r="A8" s="509" t="s">
        <v>171</v>
      </c>
      <c r="B8" s="120">
        <v>11.27</v>
      </c>
      <c r="C8" s="113">
        <v>9.6790000000000003</v>
      </c>
      <c r="D8" s="113">
        <v>17.497</v>
      </c>
      <c r="E8" s="489">
        <f t="shared" si="0"/>
        <v>1.5525288376220054</v>
      </c>
      <c r="F8" s="129">
        <f t="shared" si="1"/>
        <v>1.8077280710817232</v>
      </c>
      <c r="G8" s="133">
        <v>12</v>
      </c>
      <c r="H8" s="113">
        <v>12</v>
      </c>
      <c r="I8" s="113">
        <v>15</v>
      </c>
      <c r="J8" s="490">
        <f t="shared" si="2"/>
        <v>1.25</v>
      </c>
      <c r="K8" s="134">
        <f t="shared" si="3"/>
        <v>1.25</v>
      </c>
      <c r="L8" s="121"/>
      <c r="M8" s="121"/>
      <c r="N8" s="5">
        <f t="shared" si="4"/>
        <v>7.8179999999999996</v>
      </c>
      <c r="O8" s="6">
        <f t="shared" si="5"/>
        <v>3</v>
      </c>
      <c r="P8" s="5">
        <f t="shared" si="6"/>
        <v>6.2270000000000003</v>
      </c>
      <c r="Q8" s="6">
        <f t="shared" si="7"/>
        <v>3</v>
      </c>
    </row>
    <row r="9" spans="1:17" ht="14.4" hidden="1" customHeight="1" outlineLevel="1" x14ac:dyDescent="0.3">
      <c r="A9" s="509" t="s">
        <v>172</v>
      </c>
      <c r="B9" s="120">
        <v>0</v>
      </c>
      <c r="C9" s="113">
        <v>0</v>
      </c>
      <c r="D9" s="113">
        <v>0.224</v>
      </c>
      <c r="E9" s="489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1</v>
      </c>
      <c r="J9" s="490" t="str">
        <f t="shared" si="2"/>
        <v/>
      </c>
      <c r="K9" s="134" t="str">
        <f t="shared" si="3"/>
        <v/>
      </c>
      <c r="L9" s="121"/>
      <c r="M9" s="121"/>
      <c r="N9" s="5">
        <f t="shared" si="4"/>
        <v>0.224</v>
      </c>
      <c r="O9" s="6">
        <f t="shared" si="5"/>
        <v>1</v>
      </c>
      <c r="P9" s="5">
        <f t="shared" si="6"/>
        <v>0.224</v>
      </c>
      <c r="Q9" s="6">
        <f t="shared" si="7"/>
        <v>1</v>
      </c>
    </row>
    <row r="10" spans="1:17" ht="14.4" hidden="1" customHeight="1" outlineLevel="1" x14ac:dyDescent="0.3">
      <c r="A10" s="509" t="s">
        <v>173</v>
      </c>
      <c r="B10" s="120">
        <v>46.195999999999998</v>
      </c>
      <c r="C10" s="113">
        <v>63.478000000000002</v>
      </c>
      <c r="D10" s="113">
        <v>33.072000000000003</v>
      </c>
      <c r="E10" s="489">
        <f t="shared" si="0"/>
        <v>0.71590613905965894</v>
      </c>
      <c r="F10" s="129">
        <f t="shared" si="1"/>
        <v>0.52099940136740286</v>
      </c>
      <c r="G10" s="133">
        <v>47</v>
      </c>
      <c r="H10" s="113">
        <v>55</v>
      </c>
      <c r="I10" s="113">
        <v>42</v>
      </c>
      <c r="J10" s="490">
        <f t="shared" si="2"/>
        <v>0.8936170212765957</v>
      </c>
      <c r="K10" s="134">
        <f t="shared" si="3"/>
        <v>0.76363636363636367</v>
      </c>
      <c r="L10" s="121"/>
      <c r="M10" s="121"/>
      <c r="N10" s="5">
        <f t="shared" si="4"/>
        <v>-30.405999999999999</v>
      </c>
      <c r="O10" s="6">
        <f t="shared" si="5"/>
        <v>-13</v>
      </c>
      <c r="P10" s="5">
        <f t="shared" si="6"/>
        <v>-13.123999999999995</v>
      </c>
      <c r="Q10" s="6">
        <f t="shared" si="7"/>
        <v>-5</v>
      </c>
    </row>
    <row r="11" spans="1:17" ht="14.4" hidden="1" customHeight="1" outlineLevel="1" x14ac:dyDescent="0.3">
      <c r="A11" s="509" t="s">
        <v>174</v>
      </c>
      <c r="B11" s="120">
        <v>12.295</v>
      </c>
      <c r="C11" s="113">
        <v>15.271000000000001</v>
      </c>
      <c r="D11" s="113">
        <v>13.568</v>
      </c>
      <c r="E11" s="489">
        <f t="shared" si="0"/>
        <v>1.103538023586824</v>
      </c>
      <c r="F11" s="129">
        <f t="shared" si="1"/>
        <v>0.88848143540043212</v>
      </c>
      <c r="G11" s="133">
        <v>10</v>
      </c>
      <c r="H11" s="113">
        <v>16</v>
      </c>
      <c r="I11" s="113">
        <v>14</v>
      </c>
      <c r="J11" s="490">
        <f t="shared" si="2"/>
        <v>1.4</v>
      </c>
      <c r="K11" s="134">
        <f t="shared" si="3"/>
        <v>0.875</v>
      </c>
      <c r="L11" s="121"/>
      <c r="M11" s="121"/>
      <c r="N11" s="5">
        <f t="shared" si="4"/>
        <v>-1.7030000000000012</v>
      </c>
      <c r="O11" s="6">
        <f t="shared" si="5"/>
        <v>-2</v>
      </c>
      <c r="P11" s="5">
        <f t="shared" si="6"/>
        <v>1.2729999999999997</v>
      </c>
      <c r="Q11" s="6">
        <f t="shared" si="7"/>
        <v>4</v>
      </c>
    </row>
    <row r="12" spans="1:17" ht="14.4" hidden="1" customHeight="1" outlineLevel="1" thickBot="1" x14ac:dyDescent="0.35">
      <c r="A12" s="510" t="s">
        <v>209</v>
      </c>
      <c r="B12" s="238">
        <v>2.923</v>
      </c>
      <c r="C12" s="239">
        <v>6.234</v>
      </c>
      <c r="D12" s="239">
        <v>2.806</v>
      </c>
      <c r="E12" s="489">
        <f t="shared" si="0"/>
        <v>0.95997263085870677</v>
      </c>
      <c r="F12" s="129">
        <f t="shared" si="1"/>
        <v>0.45011228745588711</v>
      </c>
      <c r="G12" s="241">
        <v>3</v>
      </c>
      <c r="H12" s="239">
        <v>5</v>
      </c>
      <c r="I12" s="239">
        <v>5</v>
      </c>
      <c r="J12" s="491">
        <f t="shared" si="2"/>
        <v>1.6666666666666667</v>
      </c>
      <c r="K12" s="242">
        <f t="shared" si="3"/>
        <v>1</v>
      </c>
      <c r="L12" s="121"/>
      <c r="M12" s="121"/>
      <c r="N12" s="243">
        <f t="shared" si="4"/>
        <v>-3.4279999999999999</v>
      </c>
      <c r="O12" s="244">
        <f t="shared" si="5"/>
        <v>0</v>
      </c>
      <c r="P12" s="243">
        <f t="shared" si="6"/>
        <v>-0.11699999999999999</v>
      </c>
      <c r="Q12" s="244">
        <f t="shared" si="7"/>
        <v>2</v>
      </c>
    </row>
    <row r="13" spans="1:17" ht="14.4" customHeight="1" collapsed="1" thickBot="1" x14ac:dyDescent="0.35">
      <c r="A13" s="117" t="s">
        <v>3</v>
      </c>
      <c r="B13" s="115">
        <f>SUM(B5:B12)</f>
        <v>387.77600000000001</v>
      </c>
      <c r="C13" s="116">
        <f>SUM(C5:C12)</f>
        <v>353.28</v>
      </c>
      <c r="D13" s="116">
        <f>SUM(D5:D12)</f>
        <v>326.83499999999998</v>
      </c>
      <c r="E13" s="485">
        <f>IF(OR(D13=0,B13=0),0,D13/B13)</f>
        <v>0.84284483825713807</v>
      </c>
      <c r="F13" s="135">
        <f>IF(OR(D13=0,C13=0),0,D13/C13)</f>
        <v>0.92514436141304346</v>
      </c>
      <c r="G13" s="136">
        <f>SUM(G5:G12)</f>
        <v>358</v>
      </c>
      <c r="H13" s="116">
        <f>SUM(H5:H12)</f>
        <v>330</v>
      </c>
      <c r="I13" s="116">
        <f>SUM(I5:I12)</f>
        <v>348</v>
      </c>
      <c r="J13" s="485">
        <f>IF(OR(I13=0,G13=0),0,I13/G13)</f>
        <v>0.97206703910614523</v>
      </c>
      <c r="K13" s="137">
        <f>IF(OR(I13=0,H13=0),0,I13/H13)</f>
        <v>1.0545454545454545</v>
      </c>
      <c r="L13" s="121"/>
      <c r="M13" s="121"/>
      <c r="N13" s="127">
        <f t="shared" si="4"/>
        <v>-26.444999999999993</v>
      </c>
      <c r="O13" s="138">
        <f t="shared" si="5"/>
        <v>18</v>
      </c>
      <c r="P13" s="127">
        <f t="shared" si="6"/>
        <v>-60.941000000000031</v>
      </c>
      <c r="Q13" s="138">
        <f t="shared" si="7"/>
        <v>-10</v>
      </c>
    </row>
    <row r="14" spans="1:17" ht="14.4" customHeight="1" x14ac:dyDescent="0.3">
      <c r="A14" s="139"/>
      <c r="B14" s="619"/>
      <c r="C14" s="619"/>
      <c r="D14" s="619"/>
      <c r="E14" s="620"/>
      <c r="F14" s="619"/>
      <c r="G14" s="619"/>
      <c r="H14" s="619"/>
      <c r="I14" s="619"/>
      <c r="J14" s="620"/>
      <c r="K14" s="619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21" t="s">
        <v>333</v>
      </c>
      <c r="B16" s="623" t="s">
        <v>71</v>
      </c>
      <c r="C16" s="624"/>
      <c r="D16" s="624"/>
      <c r="E16" s="625"/>
      <c r="F16" s="626"/>
      <c r="G16" s="623" t="s">
        <v>280</v>
      </c>
      <c r="H16" s="624"/>
      <c r="I16" s="624"/>
      <c r="J16" s="625"/>
      <c r="K16" s="626"/>
      <c r="L16" s="642" t="s">
        <v>179</v>
      </c>
      <c r="M16" s="643"/>
      <c r="N16" s="155"/>
      <c r="O16" s="155"/>
      <c r="P16" s="155"/>
      <c r="Q16" s="155"/>
    </row>
    <row r="17" spans="1:17" ht="14.4" customHeight="1" thickBot="1" x14ac:dyDescent="0.35">
      <c r="A17" s="622"/>
      <c r="B17" s="140">
        <v>2015</v>
      </c>
      <c r="C17" s="141">
        <v>2016</v>
      </c>
      <c r="D17" s="141">
        <v>2017</v>
      </c>
      <c r="E17" s="141" t="s">
        <v>332</v>
      </c>
      <c r="F17" s="142" t="s">
        <v>2</v>
      </c>
      <c r="G17" s="140">
        <v>2015</v>
      </c>
      <c r="H17" s="141">
        <v>2016</v>
      </c>
      <c r="I17" s="141">
        <v>2017</v>
      </c>
      <c r="J17" s="141" t="s">
        <v>332</v>
      </c>
      <c r="K17" s="142" t="s">
        <v>2</v>
      </c>
      <c r="L17" s="613" t="s">
        <v>180</v>
      </c>
      <c r="M17" s="614"/>
      <c r="N17" s="143" t="s">
        <v>72</v>
      </c>
      <c r="O17" s="144" t="s">
        <v>73</v>
      </c>
      <c r="P17" s="143" t="s">
        <v>343</v>
      </c>
      <c r="Q17" s="144" t="s">
        <v>344</v>
      </c>
    </row>
    <row r="18" spans="1:17" ht="14.4" hidden="1" customHeight="1" outlineLevel="1" x14ac:dyDescent="0.3">
      <c r="A18" s="508" t="s">
        <v>168</v>
      </c>
      <c r="B18" s="119">
        <v>108.42400000000001</v>
      </c>
      <c r="C18" s="114">
        <v>121.697</v>
      </c>
      <c r="D18" s="114">
        <v>106.599</v>
      </c>
      <c r="E18" s="489">
        <f>IF(OR(D18=0,B18=0),"",D18/B18)</f>
        <v>0.98316793329890062</v>
      </c>
      <c r="F18" s="129">
        <f>IF(OR(D18=0,C18=0),"",D18/C18)</f>
        <v>0.8759377798959711</v>
      </c>
      <c r="G18" s="119">
        <v>117</v>
      </c>
      <c r="H18" s="114">
        <v>103</v>
      </c>
      <c r="I18" s="114">
        <v>104</v>
      </c>
      <c r="J18" s="489">
        <f>IF(OR(I18=0,G18=0),"",I18/G18)</f>
        <v>0.88888888888888884</v>
      </c>
      <c r="K18" s="131">
        <f>IF(OR(I18=0,H18=0),"",I18/H18)</f>
        <v>1.0097087378640777</v>
      </c>
      <c r="L18" s="615">
        <v>0.91871999999999998</v>
      </c>
      <c r="M18" s="616"/>
      <c r="N18" s="145">
        <f t="shared" ref="N18:N26" si="8">D18-C18</f>
        <v>-15.097999999999999</v>
      </c>
      <c r="O18" s="146">
        <f t="shared" ref="O18:O26" si="9">I18-H18</f>
        <v>1</v>
      </c>
      <c r="P18" s="145">
        <f t="shared" ref="P18:P26" si="10">D18-B18</f>
        <v>-1.8250000000000028</v>
      </c>
      <c r="Q18" s="146">
        <f t="shared" ref="Q18:Q26" si="11">I18-G18</f>
        <v>-13</v>
      </c>
    </row>
    <row r="19" spans="1:17" ht="14.4" hidden="1" customHeight="1" outlineLevel="1" x14ac:dyDescent="0.3">
      <c r="A19" s="509" t="s">
        <v>169</v>
      </c>
      <c r="B19" s="120">
        <v>66.347999999999999</v>
      </c>
      <c r="C19" s="113">
        <v>53.296999999999997</v>
      </c>
      <c r="D19" s="113">
        <v>50.156999999999996</v>
      </c>
      <c r="E19" s="490">
        <f t="shared" ref="E19:E25" si="12">IF(OR(D19=0,B19=0),"",D19/B19)</f>
        <v>0.75596852957135097</v>
      </c>
      <c r="F19" s="132">
        <f t="shared" ref="F19:F25" si="13">IF(OR(D19=0,C19=0),"",D19/C19)</f>
        <v>0.94108486406364333</v>
      </c>
      <c r="G19" s="120">
        <v>48</v>
      </c>
      <c r="H19" s="113">
        <v>44</v>
      </c>
      <c r="I19" s="113">
        <v>59</v>
      </c>
      <c r="J19" s="490">
        <f t="shared" ref="J19:J25" si="14">IF(OR(I19=0,G19=0),"",I19/G19)</f>
        <v>1.2291666666666667</v>
      </c>
      <c r="K19" s="134">
        <f t="shared" ref="K19:K25" si="15">IF(OR(I19=0,H19=0),"",I19/H19)</f>
        <v>1.3409090909090908</v>
      </c>
      <c r="L19" s="615">
        <v>0.99456</v>
      </c>
      <c r="M19" s="616"/>
      <c r="N19" s="147">
        <f t="shared" si="8"/>
        <v>-3.1400000000000006</v>
      </c>
      <c r="O19" s="148">
        <f t="shared" si="9"/>
        <v>15</v>
      </c>
      <c r="P19" s="147">
        <f t="shared" si="10"/>
        <v>-16.191000000000003</v>
      </c>
      <c r="Q19" s="148">
        <f t="shared" si="11"/>
        <v>11</v>
      </c>
    </row>
    <row r="20" spans="1:17" ht="14.4" hidden="1" customHeight="1" outlineLevel="1" x14ac:dyDescent="0.3">
      <c r="A20" s="509" t="s">
        <v>170</v>
      </c>
      <c r="B20" s="120">
        <v>140.32</v>
      </c>
      <c r="C20" s="113">
        <v>83.623999999999995</v>
      </c>
      <c r="D20" s="113">
        <v>102.91200000000001</v>
      </c>
      <c r="E20" s="490">
        <f t="shared" si="12"/>
        <v>0.73340935005701258</v>
      </c>
      <c r="F20" s="132">
        <f t="shared" si="13"/>
        <v>1.2306514876112122</v>
      </c>
      <c r="G20" s="120">
        <v>121</v>
      </c>
      <c r="H20" s="113">
        <v>95</v>
      </c>
      <c r="I20" s="113">
        <v>108</v>
      </c>
      <c r="J20" s="490">
        <f t="shared" si="14"/>
        <v>0.8925619834710744</v>
      </c>
      <c r="K20" s="134">
        <f t="shared" si="15"/>
        <v>1.1368421052631579</v>
      </c>
      <c r="L20" s="615">
        <v>0.96671999999999991</v>
      </c>
      <c r="M20" s="616"/>
      <c r="N20" s="147">
        <f t="shared" si="8"/>
        <v>19.288000000000011</v>
      </c>
      <c r="O20" s="148">
        <f t="shared" si="9"/>
        <v>13</v>
      </c>
      <c r="P20" s="147">
        <f t="shared" si="10"/>
        <v>-37.407999999999987</v>
      </c>
      <c r="Q20" s="148">
        <f t="shared" si="11"/>
        <v>-13</v>
      </c>
    </row>
    <row r="21" spans="1:17" ht="14.4" hidden="1" customHeight="1" outlineLevel="1" x14ac:dyDescent="0.3">
      <c r="A21" s="509" t="s">
        <v>171</v>
      </c>
      <c r="B21" s="120">
        <v>11.27</v>
      </c>
      <c r="C21" s="113">
        <v>9.6790000000000003</v>
      </c>
      <c r="D21" s="113">
        <v>17.497</v>
      </c>
      <c r="E21" s="490">
        <f t="shared" si="12"/>
        <v>1.5525288376220054</v>
      </c>
      <c r="F21" s="132">
        <f t="shared" si="13"/>
        <v>1.8077280710817232</v>
      </c>
      <c r="G21" s="120">
        <v>12</v>
      </c>
      <c r="H21" s="113">
        <v>12</v>
      </c>
      <c r="I21" s="113">
        <v>15</v>
      </c>
      <c r="J21" s="490">
        <f t="shared" si="14"/>
        <v>1.25</v>
      </c>
      <c r="K21" s="134">
        <f t="shared" si="15"/>
        <v>1.25</v>
      </c>
      <c r="L21" s="615">
        <v>1.11744</v>
      </c>
      <c r="M21" s="616"/>
      <c r="N21" s="147">
        <f t="shared" si="8"/>
        <v>7.8179999999999996</v>
      </c>
      <c r="O21" s="148">
        <f t="shared" si="9"/>
        <v>3</v>
      </c>
      <c r="P21" s="147">
        <f t="shared" si="10"/>
        <v>6.2270000000000003</v>
      </c>
      <c r="Q21" s="148">
        <f t="shared" si="11"/>
        <v>3</v>
      </c>
    </row>
    <row r="22" spans="1:17" ht="14.4" hidden="1" customHeight="1" outlineLevel="1" x14ac:dyDescent="0.3">
      <c r="A22" s="509" t="s">
        <v>172</v>
      </c>
      <c r="B22" s="120">
        <v>0</v>
      </c>
      <c r="C22" s="113">
        <v>0</v>
      </c>
      <c r="D22" s="113">
        <v>0.224</v>
      </c>
      <c r="E22" s="490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1</v>
      </c>
      <c r="J22" s="490" t="str">
        <f t="shared" si="14"/>
        <v/>
      </c>
      <c r="K22" s="134" t="str">
        <f t="shared" si="15"/>
        <v/>
      </c>
      <c r="L22" s="615">
        <v>0.96</v>
      </c>
      <c r="M22" s="616"/>
      <c r="N22" s="147">
        <f t="shared" si="8"/>
        <v>0.224</v>
      </c>
      <c r="O22" s="148">
        <f t="shared" si="9"/>
        <v>1</v>
      </c>
      <c r="P22" s="147">
        <f t="shared" si="10"/>
        <v>0.224</v>
      </c>
      <c r="Q22" s="148">
        <f t="shared" si="11"/>
        <v>1</v>
      </c>
    </row>
    <row r="23" spans="1:17" ht="14.4" hidden="1" customHeight="1" outlineLevel="1" x14ac:dyDescent="0.3">
      <c r="A23" s="509" t="s">
        <v>173</v>
      </c>
      <c r="B23" s="120">
        <v>46.195999999999998</v>
      </c>
      <c r="C23" s="113">
        <v>63.478000000000002</v>
      </c>
      <c r="D23" s="113">
        <v>33.072000000000003</v>
      </c>
      <c r="E23" s="490">
        <f t="shared" si="12"/>
        <v>0.71590613905965894</v>
      </c>
      <c r="F23" s="132">
        <f t="shared" si="13"/>
        <v>0.52099940136740286</v>
      </c>
      <c r="G23" s="120">
        <v>47</v>
      </c>
      <c r="H23" s="113">
        <v>55</v>
      </c>
      <c r="I23" s="113">
        <v>42</v>
      </c>
      <c r="J23" s="490">
        <f t="shared" si="14"/>
        <v>0.8936170212765957</v>
      </c>
      <c r="K23" s="134">
        <f t="shared" si="15"/>
        <v>0.76363636363636367</v>
      </c>
      <c r="L23" s="615">
        <v>0.98495999999999995</v>
      </c>
      <c r="M23" s="616"/>
      <c r="N23" s="147">
        <f t="shared" si="8"/>
        <v>-30.405999999999999</v>
      </c>
      <c r="O23" s="148">
        <f t="shared" si="9"/>
        <v>-13</v>
      </c>
      <c r="P23" s="147">
        <f t="shared" si="10"/>
        <v>-13.123999999999995</v>
      </c>
      <c r="Q23" s="148">
        <f t="shared" si="11"/>
        <v>-5</v>
      </c>
    </row>
    <row r="24" spans="1:17" ht="14.4" hidden="1" customHeight="1" outlineLevel="1" x14ac:dyDescent="0.3">
      <c r="A24" s="509" t="s">
        <v>174</v>
      </c>
      <c r="B24" s="120">
        <v>12.295</v>
      </c>
      <c r="C24" s="113">
        <v>15.271000000000001</v>
      </c>
      <c r="D24" s="113">
        <v>13.568</v>
      </c>
      <c r="E24" s="490">
        <f t="shared" si="12"/>
        <v>1.103538023586824</v>
      </c>
      <c r="F24" s="132">
        <f t="shared" si="13"/>
        <v>0.88848143540043212</v>
      </c>
      <c r="G24" s="120">
        <v>10</v>
      </c>
      <c r="H24" s="113">
        <v>16</v>
      </c>
      <c r="I24" s="113">
        <v>14</v>
      </c>
      <c r="J24" s="490">
        <f t="shared" si="14"/>
        <v>1.4</v>
      </c>
      <c r="K24" s="134">
        <f t="shared" si="15"/>
        <v>0.875</v>
      </c>
      <c r="L24" s="615">
        <v>1.0147199999999998</v>
      </c>
      <c r="M24" s="616"/>
      <c r="N24" s="147">
        <f t="shared" si="8"/>
        <v>-1.7030000000000012</v>
      </c>
      <c r="O24" s="148">
        <f t="shared" si="9"/>
        <v>-2</v>
      </c>
      <c r="P24" s="147">
        <f t="shared" si="10"/>
        <v>1.2729999999999997</v>
      </c>
      <c r="Q24" s="148">
        <f t="shared" si="11"/>
        <v>4</v>
      </c>
    </row>
    <row r="25" spans="1:17" ht="14.4" hidden="1" customHeight="1" outlineLevel="1" thickBot="1" x14ac:dyDescent="0.35">
      <c r="A25" s="510" t="s">
        <v>209</v>
      </c>
      <c r="B25" s="238">
        <v>2.923</v>
      </c>
      <c r="C25" s="239">
        <v>6.234</v>
      </c>
      <c r="D25" s="239">
        <v>2.806</v>
      </c>
      <c r="E25" s="491">
        <f t="shared" si="12"/>
        <v>0.95997263085870677</v>
      </c>
      <c r="F25" s="240">
        <f t="shared" si="13"/>
        <v>0.45011228745588711</v>
      </c>
      <c r="G25" s="238">
        <v>3</v>
      </c>
      <c r="H25" s="239">
        <v>5</v>
      </c>
      <c r="I25" s="239">
        <v>5</v>
      </c>
      <c r="J25" s="491">
        <f t="shared" si="14"/>
        <v>1.6666666666666667</v>
      </c>
      <c r="K25" s="242">
        <f t="shared" si="15"/>
        <v>1</v>
      </c>
      <c r="L25" s="356"/>
      <c r="M25" s="357"/>
      <c r="N25" s="245">
        <f t="shared" si="8"/>
        <v>-3.4279999999999999</v>
      </c>
      <c r="O25" s="246">
        <f t="shared" si="9"/>
        <v>0</v>
      </c>
      <c r="P25" s="245">
        <f t="shared" si="10"/>
        <v>-0.11699999999999999</v>
      </c>
      <c r="Q25" s="246">
        <f t="shared" si="11"/>
        <v>2</v>
      </c>
    </row>
    <row r="26" spans="1:17" ht="14.4" customHeight="1" collapsed="1" thickBot="1" x14ac:dyDescent="0.35">
      <c r="A26" s="513" t="s">
        <v>3</v>
      </c>
      <c r="B26" s="149">
        <f>SUM(B18:B25)</f>
        <v>387.77600000000001</v>
      </c>
      <c r="C26" s="150">
        <f>SUM(C18:C25)</f>
        <v>353.28</v>
      </c>
      <c r="D26" s="150">
        <f>SUM(D18:D25)</f>
        <v>326.83499999999998</v>
      </c>
      <c r="E26" s="486">
        <f>IF(OR(D26=0,B26=0),0,D26/B26)</f>
        <v>0.84284483825713807</v>
      </c>
      <c r="F26" s="151">
        <f>IF(OR(D26=0,C26=0),0,D26/C26)</f>
        <v>0.92514436141304346</v>
      </c>
      <c r="G26" s="149">
        <f>SUM(G18:G25)</f>
        <v>358</v>
      </c>
      <c r="H26" s="150">
        <f>SUM(H18:H25)</f>
        <v>330</v>
      </c>
      <c r="I26" s="150">
        <f>SUM(I18:I25)</f>
        <v>348</v>
      </c>
      <c r="J26" s="486">
        <f>IF(OR(I26=0,G26=0),0,I26/G26)</f>
        <v>0.97206703910614523</v>
      </c>
      <c r="K26" s="152">
        <f>IF(OR(I26=0,H26=0),0,I26/H26)</f>
        <v>1.0545454545454545</v>
      </c>
      <c r="L26" s="121"/>
      <c r="M26" s="121"/>
      <c r="N26" s="143">
        <f t="shared" si="8"/>
        <v>-26.444999999999993</v>
      </c>
      <c r="O26" s="153">
        <f t="shared" si="9"/>
        <v>18</v>
      </c>
      <c r="P26" s="143">
        <f t="shared" si="10"/>
        <v>-60.941000000000031</v>
      </c>
      <c r="Q26" s="153">
        <f t="shared" si="11"/>
        <v>-10</v>
      </c>
    </row>
    <row r="27" spans="1:17" ht="14.4" customHeight="1" x14ac:dyDescent="0.3">
      <c r="A27" s="154"/>
      <c r="B27" s="619" t="s">
        <v>207</v>
      </c>
      <c r="C27" s="628"/>
      <c r="D27" s="628"/>
      <c r="E27" s="629"/>
      <c r="F27" s="628"/>
      <c r="G27" s="619" t="s">
        <v>208</v>
      </c>
      <c r="H27" s="628"/>
      <c r="I27" s="628"/>
      <c r="J27" s="629"/>
      <c r="K27" s="628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36" t="s">
        <v>334</v>
      </c>
      <c r="B29" s="638" t="s">
        <v>71</v>
      </c>
      <c r="C29" s="639"/>
      <c r="D29" s="639"/>
      <c r="E29" s="640"/>
      <c r="F29" s="641"/>
      <c r="G29" s="639" t="s">
        <v>280</v>
      </c>
      <c r="H29" s="639"/>
      <c r="I29" s="639"/>
      <c r="J29" s="640"/>
      <c r="K29" s="641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37"/>
      <c r="B30" s="157">
        <v>2015</v>
      </c>
      <c r="C30" s="158">
        <v>2016</v>
      </c>
      <c r="D30" s="158">
        <v>2017</v>
      </c>
      <c r="E30" s="158" t="s">
        <v>332</v>
      </c>
      <c r="F30" s="159" t="s">
        <v>2</v>
      </c>
      <c r="G30" s="158">
        <v>2015</v>
      </c>
      <c r="H30" s="158">
        <v>2016</v>
      </c>
      <c r="I30" s="158">
        <v>2017</v>
      </c>
      <c r="J30" s="158" t="s">
        <v>332</v>
      </c>
      <c r="K30" s="159" t="s">
        <v>2</v>
      </c>
      <c r="L30" s="155"/>
      <c r="M30" s="155"/>
      <c r="N30" s="160" t="s">
        <v>72</v>
      </c>
      <c r="O30" s="161" t="s">
        <v>73</v>
      </c>
      <c r="P30" s="160" t="s">
        <v>343</v>
      </c>
      <c r="Q30" s="161" t="s">
        <v>344</v>
      </c>
    </row>
    <row r="31" spans="1:17" ht="14.4" hidden="1" customHeight="1" outlineLevel="1" x14ac:dyDescent="0.3">
      <c r="A31" s="508" t="s">
        <v>168</v>
      </c>
      <c r="B31" s="119">
        <v>0</v>
      </c>
      <c r="C31" s="114">
        <v>0</v>
      </c>
      <c r="D31" s="114">
        <v>0</v>
      </c>
      <c r="E31" s="489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89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509" t="s">
        <v>169</v>
      </c>
      <c r="B32" s="120">
        <v>0</v>
      </c>
      <c r="C32" s="113">
        <v>0</v>
      </c>
      <c r="D32" s="113">
        <v>0</v>
      </c>
      <c r="E32" s="490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90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509" t="s">
        <v>170</v>
      </c>
      <c r="B33" s="120">
        <v>0</v>
      </c>
      <c r="C33" s="113">
        <v>0</v>
      </c>
      <c r="D33" s="113">
        <v>0</v>
      </c>
      <c r="E33" s="490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90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509" t="s">
        <v>171</v>
      </c>
      <c r="B34" s="120">
        <v>0</v>
      </c>
      <c r="C34" s="113">
        <v>0</v>
      </c>
      <c r="D34" s="113">
        <v>0</v>
      </c>
      <c r="E34" s="490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90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509" t="s">
        <v>172</v>
      </c>
      <c r="B35" s="120">
        <v>0</v>
      </c>
      <c r="C35" s="113">
        <v>0</v>
      </c>
      <c r="D35" s="113">
        <v>0</v>
      </c>
      <c r="E35" s="490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90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509" t="s">
        <v>173</v>
      </c>
      <c r="B36" s="120">
        <v>0</v>
      </c>
      <c r="C36" s="113">
        <v>0</v>
      </c>
      <c r="D36" s="113">
        <v>0</v>
      </c>
      <c r="E36" s="490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90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509" t="s">
        <v>174</v>
      </c>
      <c r="B37" s="120">
        <v>0</v>
      </c>
      <c r="C37" s="113">
        <v>0</v>
      </c>
      <c r="D37" s="113">
        <v>0</v>
      </c>
      <c r="E37" s="490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90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510" t="s">
        <v>209</v>
      </c>
      <c r="B38" s="238">
        <v>0</v>
      </c>
      <c r="C38" s="239">
        <v>0</v>
      </c>
      <c r="D38" s="239">
        <v>0</v>
      </c>
      <c r="E38" s="491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91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512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87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87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30" t="s">
        <v>335</v>
      </c>
      <c r="B42" s="632" t="s">
        <v>71</v>
      </c>
      <c r="C42" s="633"/>
      <c r="D42" s="633"/>
      <c r="E42" s="634"/>
      <c r="F42" s="635"/>
      <c r="G42" s="633" t="s">
        <v>280</v>
      </c>
      <c r="H42" s="633"/>
      <c r="I42" s="633"/>
      <c r="J42" s="634"/>
      <c r="K42" s="635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31"/>
      <c r="B43" s="472">
        <v>2015</v>
      </c>
      <c r="C43" s="473">
        <v>2016</v>
      </c>
      <c r="D43" s="473">
        <v>2017</v>
      </c>
      <c r="E43" s="473" t="s">
        <v>332</v>
      </c>
      <c r="F43" s="474" t="s">
        <v>2</v>
      </c>
      <c r="G43" s="473">
        <v>2015</v>
      </c>
      <c r="H43" s="473">
        <v>2016</v>
      </c>
      <c r="I43" s="473">
        <v>2017</v>
      </c>
      <c r="J43" s="473" t="s">
        <v>332</v>
      </c>
      <c r="K43" s="474" t="s">
        <v>2</v>
      </c>
      <c r="L43" s="155"/>
      <c r="M43" s="155"/>
      <c r="N43" s="480" t="s">
        <v>72</v>
      </c>
      <c r="O43" s="482" t="s">
        <v>73</v>
      </c>
      <c r="P43" s="480" t="s">
        <v>343</v>
      </c>
      <c r="Q43" s="482" t="s">
        <v>344</v>
      </c>
    </row>
    <row r="44" spans="1:17" ht="14.4" hidden="1" customHeight="1" outlineLevel="1" x14ac:dyDescent="0.3">
      <c r="A44" s="508" t="s">
        <v>168</v>
      </c>
      <c r="B44" s="119">
        <v>0</v>
      </c>
      <c r="C44" s="114">
        <v>0</v>
      </c>
      <c r="D44" s="114">
        <v>0</v>
      </c>
      <c r="E44" s="489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89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509" t="s">
        <v>169</v>
      </c>
      <c r="B45" s="120">
        <v>0</v>
      </c>
      <c r="C45" s="113">
        <v>0</v>
      </c>
      <c r="D45" s="113">
        <v>0</v>
      </c>
      <c r="E45" s="490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90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509" t="s">
        <v>170</v>
      </c>
      <c r="B46" s="120">
        <v>0</v>
      </c>
      <c r="C46" s="113">
        <v>0</v>
      </c>
      <c r="D46" s="113">
        <v>0</v>
      </c>
      <c r="E46" s="490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90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509" t="s">
        <v>171</v>
      </c>
      <c r="B47" s="120">
        <v>0</v>
      </c>
      <c r="C47" s="113">
        <v>0</v>
      </c>
      <c r="D47" s="113">
        <v>0</v>
      </c>
      <c r="E47" s="490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90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509" t="s">
        <v>172</v>
      </c>
      <c r="B48" s="120">
        <v>0</v>
      </c>
      <c r="C48" s="113">
        <v>0</v>
      </c>
      <c r="D48" s="113">
        <v>0</v>
      </c>
      <c r="E48" s="490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90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509" t="s">
        <v>173</v>
      </c>
      <c r="B49" s="120">
        <v>0</v>
      </c>
      <c r="C49" s="113">
        <v>0</v>
      </c>
      <c r="D49" s="113">
        <v>0</v>
      </c>
      <c r="E49" s="490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90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509" t="s">
        <v>174</v>
      </c>
      <c r="B50" s="120">
        <v>0</v>
      </c>
      <c r="C50" s="113">
        <v>0</v>
      </c>
      <c r="D50" s="113">
        <v>0</v>
      </c>
      <c r="E50" s="490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90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510" t="s">
        <v>209</v>
      </c>
      <c r="B51" s="238">
        <v>0</v>
      </c>
      <c r="C51" s="239">
        <v>0</v>
      </c>
      <c r="D51" s="239">
        <v>0</v>
      </c>
      <c r="E51" s="491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91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511" t="s">
        <v>3</v>
      </c>
      <c r="B52" s="475">
        <f>SUM(B44:B51)</f>
        <v>0</v>
      </c>
      <c r="C52" s="476">
        <f>SUM(C44:C51)</f>
        <v>0</v>
      </c>
      <c r="D52" s="476">
        <f>SUM(D44:D51)</f>
        <v>0</v>
      </c>
      <c r="E52" s="488">
        <f>IF(OR(D52=0,B52=0),0,D52/B52)</f>
        <v>0</v>
      </c>
      <c r="F52" s="477">
        <f>IF(OR(D52=0,C52=0),0,D52/C52)</f>
        <v>0</v>
      </c>
      <c r="G52" s="478">
        <f>SUM(G44:G51)</f>
        <v>0</v>
      </c>
      <c r="H52" s="476">
        <f>SUM(H44:H51)</f>
        <v>0</v>
      </c>
      <c r="I52" s="476">
        <f>SUM(I44:I51)</f>
        <v>0</v>
      </c>
      <c r="J52" s="488">
        <f>IF(OR(I52=0,G52=0),0,I52/G52)</f>
        <v>0</v>
      </c>
      <c r="K52" s="479">
        <f>IF(OR(I52=0,H52=0),0,I52/H52)</f>
        <v>0</v>
      </c>
      <c r="L52" s="155"/>
      <c r="M52" s="155"/>
      <c r="N52" s="480">
        <f t="shared" si="24"/>
        <v>0</v>
      </c>
      <c r="O52" s="481">
        <f t="shared" si="25"/>
        <v>0</v>
      </c>
      <c r="P52" s="480">
        <f t="shared" si="26"/>
        <v>0</v>
      </c>
      <c r="Q52" s="481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331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442" t="s">
        <v>327</v>
      </c>
    </row>
    <row r="56" spans="1:17" ht="14.4" customHeight="1" x14ac:dyDescent="0.25">
      <c r="A56" s="443" t="s">
        <v>328</v>
      </c>
    </row>
    <row r="57" spans="1:17" ht="14.4" customHeight="1" x14ac:dyDescent="0.25">
      <c r="A57" s="442" t="s">
        <v>329</v>
      </c>
    </row>
    <row r="58" spans="1:17" ht="14.4" customHeight="1" x14ac:dyDescent="0.25">
      <c r="A58" s="443" t="s">
        <v>338</v>
      </c>
    </row>
    <row r="59" spans="1:17" ht="14.4" customHeight="1" x14ac:dyDescent="0.25">
      <c r="A59" s="443" t="s">
        <v>339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18" priority="22" stopIfTrue="1" operator="lessThan">
      <formula>1</formula>
    </cfRule>
  </conditionalFormatting>
  <conditionalFormatting sqref="J18:K26">
    <cfRule type="cellIs" dxfId="17" priority="21" stopIfTrue="1" operator="lessThan">
      <formula>0.95</formula>
    </cfRule>
  </conditionalFormatting>
  <conditionalFormatting sqref="N5:O13 N18:O26 N31:O39 N44:O52">
    <cfRule type="cellIs" dxfId="16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5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9" t="s">
        <v>115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</row>
    <row r="2" spans="1:13" ht="14.4" customHeight="1" x14ac:dyDescent="0.3">
      <c r="A2" s="374" t="s">
        <v>353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44" t="s">
        <v>83</v>
      </c>
      <c r="C31" s="645"/>
      <c r="D31" s="645"/>
      <c r="E31" s="646"/>
      <c r="F31" s="167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86</v>
      </c>
      <c r="C32" s="169" t="s">
        <v>87</v>
      </c>
      <c r="D32" s="169" t="s">
        <v>88</v>
      </c>
      <c r="E32" s="170" t="s">
        <v>2</v>
      </c>
      <c r="F32" s="171" t="s">
        <v>89</v>
      </c>
      <c r="G32" s="364"/>
      <c r="H32" s="364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103</v>
      </c>
      <c r="B33" s="199">
        <v>838</v>
      </c>
      <c r="C33" s="199">
        <v>586</v>
      </c>
      <c r="D33" s="84">
        <f>IF(C33="","",C33-B33)</f>
        <v>-252</v>
      </c>
      <c r="E33" s="85">
        <f>IF(C33="","",C33/B33)</f>
        <v>0.69928400954653935</v>
      </c>
      <c r="F33" s="86">
        <v>46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104</v>
      </c>
      <c r="B34" s="200">
        <v>1761</v>
      </c>
      <c r="C34" s="200">
        <v>1319</v>
      </c>
      <c r="D34" s="87">
        <f t="shared" ref="D34:D45" si="0">IF(C34="","",C34-B34)</f>
        <v>-442</v>
      </c>
      <c r="E34" s="88">
        <f t="shared" ref="E34:E45" si="1">IF(C34="","",C34/B34)</f>
        <v>0.74900624645088021</v>
      </c>
      <c r="F34" s="89">
        <v>119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105</v>
      </c>
      <c r="B35" s="200"/>
      <c r="C35" s="200"/>
      <c r="D35" s="87" t="str">
        <f t="shared" si="0"/>
        <v/>
      </c>
      <c r="E35" s="88" t="str">
        <f t="shared" si="1"/>
        <v/>
      </c>
      <c r="F35" s="89"/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106</v>
      </c>
      <c r="B36" s="200"/>
      <c r="C36" s="200"/>
      <c r="D36" s="87" t="str">
        <f t="shared" si="0"/>
        <v/>
      </c>
      <c r="E36" s="88" t="str">
        <f t="shared" si="1"/>
        <v/>
      </c>
      <c r="F36" s="89"/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107</v>
      </c>
      <c r="B37" s="200"/>
      <c r="C37" s="200"/>
      <c r="D37" s="87" t="str">
        <f t="shared" si="0"/>
        <v/>
      </c>
      <c r="E37" s="88" t="str">
        <f t="shared" si="1"/>
        <v/>
      </c>
      <c r="F37" s="89"/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108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109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110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111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112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113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114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117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101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3" customWidth="1"/>
    <col min="20" max="20" width="9.6640625" style="213" customWidth="1"/>
    <col min="21" max="21" width="7.6640625" style="213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12" customFormat="1" ht="18.600000000000001" customHeight="1" thickBot="1" x14ac:dyDescent="0.4">
      <c r="A1" s="588" t="s">
        <v>4568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519"/>
      <c r="T1" s="519"/>
      <c r="U1" s="519"/>
      <c r="V1" s="519"/>
      <c r="W1" s="519"/>
    </row>
    <row r="2" spans="1:23" ht="14.4" customHeight="1" thickBot="1" x14ac:dyDescent="0.35">
      <c r="A2" s="374" t="s">
        <v>353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8"/>
      <c r="T2" s="368"/>
      <c r="U2" s="368"/>
      <c r="V2" s="367"/>
      <c r="W2" s="369"/>
    </row>
    <row r="3" spans="1:23" s="94" customFormat="1" ht="14.4" customHeight="1" x14ac:dyDescent="0.3">
      <c r="A3" s="653" t="s">
        <v>75</v>
      </c>
      <c r="B3" s="654">
        <v>2015</v>
      </c>
      <c r="C3" s="655"/>
      <c r="D3" s="656"/>
      <c r="E3" s="654">
        <v>2016</v>
      </c>
      <c r="F3" s="655"/>
      <c r="G3" s="656"/>
      <c r="H3" s="654">
        <v>2017</v>
      </c>
      <c r="I3" s="655"/>
      <c r="J3" s="656"/>
      <c r="K3" s="657" t="s">
        <v>76</v>
      </c>
      <c r="L3" s="649" t="s">
        <v>77</v>
      </c>
      <c r="M3" s="649" t="s">
        <v>78</v>
      </c>
      <c r="N3" s="649" t="s">
        <v>79</v>
      </c>
      <c r="O3" s="263" t="s">
        <v>80</v>
      </c>
      <c r="P3" s="650" t="s">
        <v>81</v>
      </c>
      <c r="Q3" s="651" t="s">
        <v>82</v>
      </c>
      <c r="R3" s="652"/>
      <c r="S3" s="647" t="s">
        <v>83</v>
      </c>
      <c r="T3" s="648"/>
      <c r="U3" s="648"/>
      <c r="V3" s="648"/>
      <c r="W3" s="214" t="s">
        <v>83</v>
      </c>
    </row>
    <row r="4" spans="1:23" s="95" customFormat="1" ht="14.4" customHeight="1" thickBot="1" x14ac:dyDescent="0.35">
      <c r="A4" s="929"/>
      <c r="B4" s="930" t="s">
        <v>84</v>
      </c>
      <c r="C4" s="931" t="s">
        <v>72</v>
      </c>
      <c r="D4" s="932" t="s">
        <v>85</v>
      </c>
      <c r="E4" s="930" t="s">
        <v>84</v>
      </c>
      <c r="F4" s="931" t="s">
        <v>72</v>
      </c>
      <c r="G4" s="932" t="s">
        <v>85</v>
      </c>
      <c r="H4" s="930" t="s">
        <v>84</v>
      </c>
      <c r="I4" s="931" t="s">
        <v>72</v>
      </c>
      <c r="J4" s="932" t="s">
        <v>85</v>
      </c>
      <c r="K4" s="933"/>
      <c r="L4" s="934"/>
      <c r="M4" s="934"/>
      <c r="N4" s="934"/>
      <c r="O4" s="935"/>
      <c r="P4" s="936"/>
      <c r="Q4" s="937" t="s">
        <v>73</v>
      </c>
      <c r="R4" s="938" t="s">
        <v>72</v>
      </c>
      <c r="S4" s="939" t="s">
        <v>86</v>
      </c>
      <c r="T4" s="940" t="s">
        <v>87</v>
      </c>
      <c r="U4" s="940" t="s">
        <v>88</v>
      </c>
      <c r="V4" s="941" t="s">
        <v>2</v>
      </c>
      <c r="W4" s="942" t="s">
        <v>89</v>
      </c>
    </row>
    <row r="5" spans="1:23" ht="14.4" customHeight="1" x14ac:dyDescent="0.3">
      <c r="A5" s="971" t="s">
        <v>4385</v>
      </c>
      <c r="B5" s="943">
        <v>3</v>
      </c>
      <c r="C5" s="944">
        <v>1.35</v>
      </c>
      <c r="D5" s="945">
        <v>3.3</v>
      </c>
      <c r="E5" s="946"/>
      <c r="F5" s="947"/>
      <c r="G5" s="948"/>
      <c r="H5" s="949"/>
      <c r="I5" s="947"/>
      <c r="J5" s="948"/>
      <c r="K5" s="950">
        <v>0.45</v>
      </c>
      <c r="L5" s="949">
        <v>1</v>
      </c>
      <c r="M5" s="949">
        <v>9</v>
      </c>
      <c r="N5" s="951">
        <v>3</v>
      </c>
      <c r="O5" s="949" t="s">
        <v>4386</v>
      </c>
      <c r="P5" s="952" t="s">
        <v>4387</v>
      </c>
      <c r="Q5" s="953">
        <f>H5-B5</f>
        <v>-3</v>
      </c>
      <c r="R5" s="953">
        <f>I5-C5</f>
        <v>-1.35</v>
      </c>
      <c r="S5" s="954" t="str">
        <f>IF(H5=0,"",H5*N5)</f>
        <v/>
      </c>
      <c r="T5" s="954" t="str">
        <f>IF(H5=0,"",H5*J5)</f>
        <v/>
      </c>
      <c r="U5" s="954" t="str">
        <f>IF(H5=0,"",T5-S5)</f>
        <v/>
      </c>
      <c r="V5" s="955" t="str">
        <f>IF(H5=0,"",T5/S5)</f>
        <v/>
      </c>
      <c r="W5" s="956"/>
    </row>
    <row r="6" spans="1:23" ht="14.4" customHeight="1" x14ac:dyDescent="0.3">
      <c r="A6" s="972" t="s">
        <v>4388</v>
      </c>
      <c r="B6" s="957"/>
      <c r="C6" s="958"/>
      <c r="D6" s="913"/>
      <c r="E6" s="959">
        <v>1</v>
      </c>
      <c r="F6" s="960">
        <v>0.61</v>
      </c>
      <c r="G6" s="914">
        <v>2</v>
      </c>
      <c r="H6" s="961"/>
      <c r="I6" s="960"/>
      <c r="J6" s="914"/>
      <c r="K6" s="962">
        <v>0.61</v>
      </c>
      <c r="L6" s="961">
        <v>1</v>
      </c>
      <c r="M6" s="961">
        <v>12</v>
      </c>
      <c r="N6" s="963">
        <v>4</v>
      </c>
      <c r="O6" s="961" t="s">
        <v>4386</v>
      </c>
      <c r="P6" s="964" t="s">
        <v>4389</v>
      </c>
      <c r="Q6" s="965">
        <f t="shared" ref="Q6:R69" si="0">H6-B6</f>
        <v>0</v>
      </c>
      <c r="R6" s="965">
        <f t="shared" si="0"/>
        <v>0</v>
      </c>
      <c r="S6" s="966" t="str">
        <f t="shared" ref="S6:S69" si="1">IF(H6=0,"",H6*N6)</f>
        <v/>
      </c>
      <c r="T6" s="966" t="str">
        <f t="shared" ref="T6:T69" si="2">IF(H6=0,"",H6*J6)</f>
        <v/>
      </c>
      <c r="U6" s="966" t="str">
        <f t="shared" ref="U6:U69" si="3">IF(H6=0,"",T6-S6)</f>
        <v/>
      </c>
      <c r="V6" s="967" t="str">
        <f t="shared" ref="V6:V69" si="4">IF(H6=0,"",T6/S6)</f>
        <v/>
      </c>
      <c r="W6" s="915"/>
    </row>
    <row r="7" spans="1:23" ht="14.4" customHeight="1" x14ac:dyDescent="0.3">
      <c r="A7" s="973" t="s">
        <v>4390</v>
      </c>
      <c r="B7" s="903">
        <v>4</v>
      </c>
      <c r="C7" s="904">
        <v>2.7</v>
      </c>
      <c r="D7" s="905">
        <v>3.5</v>
      </c>
      <c r="E7" s="922">
        <v>1</v>
      </c>
      <c r="F7" s="906">
        <v>0.67</v>
      </c>
      <c r="G7" s="907">
        <v>3</v>
      </c>
      <c r="H7" s="908">
        <v>2</v>
      </c>
      <c r="I7" s="906">
        <v>1.35</v>
      </c>
      <c r="J7" s="907">
        <v>2.5</v>
      </c>
      <c r="K7" s="909">
        <v>0.67</v>
      </c>
      <c r="L7" s="908">
        <v>2</v>
      </c>
      <c r="M7" s="908">
        <v>18</v>
      </c>
      <c r="N7" s="910">
        <v>6</v>
      </c>
      <c r="O7" s="908" t="s">
        <v>4386</v>
      </c>
      <c r="P7" s="923" t="s">
        <v>4391</v>
      </c>
      <c r="Q7" s="911">
        <f t="shared" si="0"/>
        <v>-2</v>
      </c>
      <c r="R7" s="911">
        <f t="shared" si="0"/>
        <v>-1.35</v>
      </c>
      <c r="S7" s="924">
        <f t="shared" si="1"/>
        <v>12</v>
      </c>
      <c r="T7" s="924">
        <f t="shared" si="2"/>
        <v>5</v>
      </c>
      <c r="U7" s="924">
        <f t="shared" si="3"/>
        <v>-7</v>
      </c>
      <c r="V7" s="925">
        <f t="shared" si="4"/>
        <v>0.41666666666666669</v>
      </c>
      <c r="W7" s="912"/>
    </row>
    <row r="8" spans="1:23" ht="14.4" customHeight="1" x14ac:dyDescent="0.3">
      <c r="A8" s="972" t="s">
        <v>4392</v>
      </c>
      <c r="B8" s="957"/>
      <c r="C8" s="958"/>
      <c r="D8" s="913"/>
      <c r="E8" s="959">
        <v>1</v>
      </c>
      <c r="F8" s="960">
        <v>1.1200000000000001</v>
      </c>
      <c r="G8" s="914">
        <v>5</v>
      </c>
      <c r="H8" s="961"/>
      <c r="I8" s="960"/>
      <c r="J8" s="914"/>
      <c r="K8" s="962">
        <v>1.1200000000000001</v>
      </c>
      <c r="L8" s="961">
        <v>3</v>
      </c>
      <c r="M8" s="961">
        <v>27</v>
      </c>
      <c r="N8" s="963">
        <v>9</v>
      </c>
      <c r="O8" s="961" t="s">
        <v>4386</v>
      </c>
      <c r="P8" s="964" t="s">
        <v>4393</v>
      </c>
      <c r="Q8" s="965">
        <f t="shared" si="0"/>
        <v>0</v>
      </c>
      <c r="R8" s="965">
        <f t="shared" si="0"/>
        <v>0</v>
      </c>
      <c r="S8" s="966" t="str">
        <f t="shared" si="1"/>
        <v/>
      </c>
      <c r="T8" s="966" t="str">
        <f t="shared" si="2"/>
        <v/>
      </c>
      <c r="U8" s="966" t="str">
        <f t="shared" si="3"/>
        <v/>
      </c>
      <c r="V8" s="967" t="str">
        <f t="shared" si="4"/>
        <v/>
      </c>
      <c r="W8" s="915"/>
    </row>
    <row r="9" spans="1:23" ht="14.4" customHeight="1" x14ac:dyDescent="0.3">
      <c r="A9" s="972" t="s">
        <v>4394</v>
      </c>
      <c r="B9" s="957"/>
      <c r="C9" s="958"/>
      <c r="D9" s="913"/>
      <c r="E9" s="959"/>
      <c r="F9" s="960"/>
      <c r="G9" s="914"/>
      <c r="H9" s="961">
        <v>1</v>
      </c>
      <c r="I9" s="960">
        <v>2.38</v>
      </c>
      <c r="J9" s="914">
        <v>4</v>
      </c>
      <c r="K9" s="962">
        <v>2.38</v>
      </c>
      <c r="L9" s="961">
        <v>3</v>
      </c>
      <c r="M9" s="961">
        <v>30</v>
      </c>
      <c r="N9" s="963">
        <v>10</v>
      </c>
      <c r="O9" s="961" t="s">
        <v>4386</v>
      </c>
      <c r="P9" s="964" t="s">
        <v>4395</v>
      </c>
      <c r="Q9" s="965">
        <f t="shared" si="0"/>
        <v>1</v>
      </c>
      <c r="R9" s="965">
        <f t="shared" si="0"/>
        <v>2.38</v>
      </c>
      <c r="S9" s="966">
        <f t="shared" si="1"/>
        <v>10</v>
      </c>
      <c r="T9" s="966">
        <f t="shared" si="2"/>
        <v>4</v>
      </c>
      <c r="U9" s="966">
        <f t="shared" si="3"/>
        <v>-6</v>
      </c>
      <c r="V9" s="967">
        <f t="shared" si="4"/>
        <v>0.4</v>
      </c>
      <c r="W9" s="915"/>
    </row>
    <row r="10" spans="1:23" ht="14.4" customHeight="1" x14ac:dyDescent="0.3">
      <c r="A10" s="973" t="s">
        <v>4396</v>
      </c>
      <c r="B10" s="903">
        <v>27</v>
      </c>
      <c r="C10" s="904">
        <v>6.06</v>
      </c>
      <c r="D10" s="905">
        <v>2.4</v>
      </c>
      <c r="E10" s="922">
        <v>21</v>
      </c>
      <c r="F10" s="906">
        <v>4.72</v>
      </c>
      <c r="G10" s="907">
        <v>2.8</v>
      </c>
      <c r="H10" s="908">
        <v>16</v>
      </c>
      <c r="I10" s="906">
        <v>3.6</v>
      </c>
      <c r="J10" s="907">
        <v>2.5</v>
      </c>
      <c r="K10" s="909">
        <v>0.22</v>
      </c>
      <c r="L10" s="908">
        <v>1</v>
      </c>
      <c r="M10" s="908">
        <v>9</v>
      </c>
      <c r="N10" s="910">
        <v>3</v>
      </c>
      <c r="O10" s="908" t="s">
        <v>4386</v>
      </c>
      <c r="P10" s="923" t="s">
        <v>4397</v>
      </c>
      <c r="Q10" s="911">
        <f t="shared" si="0"/>
        <v>-11</v>
      </c>
      <c r="R10" s="911">
        <f t="shared" si="0"/>
        <v>-2.4599999999999995</v>
      </c>
      <c r="S10" s="924">
        <f t="shared" si="1"/>
        <v>48</v>
      </c>
      <c r="T10" s="924">
        <f t="shared" si="2"/>
        <v>40</v>
      </c>
      <c r="U10" s="924">
        <f t="shared" si="3"/>
        <v>-8</v>
      </c>
      <c r="V10" s="925">
        <f t="shared" si="4"/>
        <v>0.83333333333333337</v>
      </c>
      <c r="W10" s="912"/>
    </row>
    <row r="11" spans="1:23" ht="14.4" customHeight="1" x14ac:dyDescent="0.3">
      <c r="A11" s="972" t="s">
        <v>4398</v>
      </c>
      <c r="B11" s="957">
        <v>6</v>
      </c>
      <c r="C11" s="958">
        <v>1.54</v>
      </c>
      <c r="D11" s="913">
        <v>2.2000000000000002</v>
      </c>
      <c r="E11" s="959">
        <v>5</v>
      </c>
      <c r="F11" s="960">
        <v>1.28</v>
      </c>
      <c r="G11" s="914">
        <v>3</v>
      </c>
      <c r="H11" s="961">
        <v>1</v>
      </c>
      <c r="I11" s="960">
        <v>0.25</v>
      </c>
      <c r="J11" s="914">
        <v>2</v>
      </c>
      <c r="K11" s="962">
        <v>0.25</v>
      </c>
      <c r="L11" s="961">
        <v>1</v>
      </c>
      <c r="M11" s="961">
        <v>9</v>
      </c>
      <c r="N11" s="963">
        <v>3</v>
      </c>
      <c r="O11" s="961" t="s">
        <v>4386</v>
      </c>
      <c r="P11" s="964" t="s">
        <v>4399</v>
      </c>
      <c r="Q11" s="965">
        <f t="shared" si="0"/>
        <v>-5</v>
      </c>
      <c r="R11" s="965">
        <f t="shared" si="0"/>
        <v>-1.29</v>
      </c>
      <c r="S11" s="966">
        <f t="shared" si="1"/>
        <v>3</v>
      </c>
      <c r="T11" s="966">
        <f t="shared" si="2"/>
        <v>2</v>
      </c>
      <c r="U11" s="966">
        <f t="shared" si="3"/>
        <v>-1</v>
      </c>
      <c r="V11" s="967">
        <f t="shared" si="4"/>
        <v>0.66666666666666663</v>
      </c>
      <c r="W11" s="915"/>
    </row>
    <row r="12" spans="1:23" ht="14.4" customHeight="1" x14ac:dyDescent="0.3">
      <c r="A12" s="972" t="s">
        <v>4400</v>
      </c>
      <c r="B12" s="957"/>
      <c r="C12" s="958"/>
      <c r="D12" s="913"/>
      <c r="E12" s="959">
        <v>1</v>
      </c>
      <c r="F12" s="960">
        <v>0.48</v>
      </c>
      <c r="G12" s="914">
        <v>6</v>
      </c>
      <c r="H12" s="961"/>
      <c r="I12" s="960"/>
      <c r="J12" s="914"/>
      <c r="K12" s="962">
        <v>0.48</v>
      </c>
      <c r="L12" s="961">
        <v>2</v>
      </c>
      <c r="M12" s="961">
        <v>15</v>
      </c>
      <c r="N12" s="963">
        <v>5</v>
      </c>
      <c r="O12" s="961" t="s">
        <v>4386</v>
      </c>
      <c r="P12" s="964" t="s">
        <v>4401</v>
      </c>
      <c r="Q12" s="965">
        <f t="shared" si="0"/>
        <v>0</v>
      </c>
      <c r="R12" s="965">
        <f t="shared" si="0"/>
        <v>0</v>
      </c>
      <c r="S12" s="966" t="str">
        <f t="shared" si="1"/>
        <v/>
      </c>
      <c r="T12" s="966" t="str">
        <f t="shared" si="2"/>
        <v/>
      </c>
      <c r="U12" s="966" t="str">
        <f t="shared" si="3"/>
        <v/>
      </c>
      <c r="V12" s="967" t="str">
        <f t="shared" si="4"/>
        <v/>
      </c>
      <c r="W12" s="915"/>
    </row>
    <row r="13" spans="1:23" ht="14.4" customHeight="1" x14ac:dyDescent="0.3">
      <c r="A13" s="973" t="s">
        <v>4402</v>
      </c>
      <c r="B13" s="903">
        <v>1</v>
      </c>
      <c r="C13" s="904">
        <v>1.1399999999999999</v>
      </c>
      <c r="D13" s="905">
        <v>4</v>
      </c>
      <c r="E13" s="922"/>
      <c r="F13" s="906"/>
      <c r="G13" s="907"/>
      <c r="H13" s="908"/>
      <c r="I13" s="906"/>
      <c r="J13" s="907"/>
      <c r="K13" s="909">
        <v>1.1399999999999999</v>
      </c>
      <c r="L13" s="908">
        <v>2</v>
      </c>
      <c r="M13" s="908">
        <v>21</v>
      </c>
      <c r="N13" s="910">
        <v>7</v>
      </c>
      <c r="O13" s="908" t="s">
        <v>4386</v>
      </c>
      <c r="P13" s="923" t="s">
        <v>4403</v>
      </c>
      <c r="Q13" s="911">
        <f t="shared" si="0"/>
        <v>-1</v>
      </c>
      <c r="R13" s="911">
        <f t="shared" si="0"/>
        <v>-1.1399999999999999</v>
      </c>
      <c r="S13" s="924" t="str">
        <f t="shared" si="1"/>
        <v/>
      </c>
      <c r="T13" s="924" t="str">
        <f t="shared" si="2"/>
        <v/>
      </c>
      <c r="U13" s="924" t="str">
        <f t="shared" si="3"/>
        <v/>
      </c>
      <c r="V13" s="925" t="str">
        <f t="shared" si="4"/>
        <v/>
      </c>
      <c r="W13" s="912"/>
    </row>
    <row r="14" spans="1:23" ht="14.4" customHeight="1" x14ac:dyDescent="0.3">
      <c r="A14" s="972" t="s">
        <v>4404</v>
      </c>
      <c r="B14" s="957">
        <v>1</v>
      </c>
      <c r="C14" s="958">
        <v>2.1800000000000002</v>
      </c>
      <c r="D14" s="913">
        <v>7</v>
      </c>
      <c r="E14" s="959"/>
      <c r="F14" s="960"/>
      <c r="G14" s="914"/>
      <c r="H14" s="961"/>
      <c r="I14" s="960"/>
      <c r="J14" s="914"/>
      <c r="K14" s="962">
        <v>2.1800000000000002</v>
      </c>
      <c r="L14" s="961">
        <v>3</v>
      </c>
      <c r="M14" s="961">
        <v>30</v>
      </c>
      <c r="N14" s="963">
        <v>10</v>
      </c>
      <c r="O14" s="961" t="s">
        <v>4386</v>
      </c>
      <c r="P14" s="964" t="s">
        <v>4405</v>
      </c>
      <c r="Q14" s="965">
        <f t="shared" si="0"/>
        <v>-1</v>
      </c>
      <c r="R14" s="965">
        <f t="shared" si="0"/>
        <v>-2.1800000000000002</v>
      </c>
      <c r="S14" s="966" t="str">
        <f t="shared" si="1"/>
        <v/>
      </c>
      <c r="T14" s="966" t="str">
        <f t="shared" si="2"/>
        <v/>
      </c>
      <c r="U14" s="966" t="str">
        <f t="shared" si="3"/>
        <v/>
      </c>
      <c r="V14" s="967" t="str">
        <f t="shared" si="4"/>
        <v/>
      </c>
      <c r="W14" s="915"/>
    </row>
    <row r="15" spans="1:23" ht="14.4" customHeight="1" x14ac:dyDescent="0.3">
      <c r="A15" s="973" t="s">
        <v>4406</v>
      </c>
      <c r="B15" s="924">
        <v>1</v>
      </c>
      <c r="C15" s="926">
        <v>0.5</v>
      </c>
      <c r="D15" s="927">
        <v>13</v>
      </c>
      <c r="E15" s="922">
        <v>1</v>
      </c>
      <c r="F15" s="906">
        <v>0.41</v>
      </c>
      <c r="G15" s="907">
        <v>3</v>
      </c>
      <c r="H15" s="916">
        <v>1</v>
      </c>
      <c r="I15" s="917">
        <v>0.41</v>
      </c>
      <c r="J15" s="918">
        <v>5</v>
      </c>
      <c r="K15" s="909">
        <v>0.41</v>
      </c>
      <c r="L15" s="908">
        <v>1</v>
      </c>
      <c r="M15" s="908">
        <v>12</v>
      </c>
      <c r="N15" s="910">
        <v>4</v>
      </c>
      <c r="O15" s="908" t="s">
        <v>4386</v>
      </c>
      <c r="P15" s="923" t="s">
        <v>4407</v>
      </c>
      <c r="Q15" s="911">
        <f t="shared" si="0"/>
        <v>0</v>
      </c>
      <c r="R15" s="911">
        <f t="shared" si="0"/>
        <v>-9.0000000000000024E-2</v>
      </c>
      <c r="S15" s="924">
        <f t="shared" si="1"/>
        <v>4</v>
      </c>
      <c r="T15" s="924">
        <f t="shared" si="2"/>
        <v>5</v>
      </c>
      <c r="U15" s="924">
        <f t="shared" si="3"/>
        <v>1</v>
      </c>
      <c r="V15" s="925">
        <f t="shared" si="4"/>
        <v>1.25</v>
      </c>
      <c r="W15" s="912">
        <v>1</v>
      </c>
    </row>
    <row r="16" spans="1:23" ht="14.4" customHeight="1" x14ac:dyDescent="0.3">
      <c r="A16" s="973" t="s">
        <v>4408</v>
      </c>
      <c r="B16" s="903">
        <v>2</v>
      </c>
      <c r="C16" s="904">
        <v>5.91</v>
      </c>
      <c r="D16" s="905">
        <v>3.5</v>
      </c>
      <c r="E16" s="922"/>
      <c r="F16" s="906"/>
      <c r="G16" s="907"/>
      <c r="H16" s="908"/>
      <c r="I16" s="906"/>
      <c r="J16" s="907"/>
      <c r="K16" s="909">
        <v>2.95</v>
      </c>
      <c r="L16" s="908">
        <v>2</v>
      </c>
      <c r="M16" s="908">
        <v>18</v>
      </c>
      <c r="N16" s="910">
        <v>6</v>
      </c>
      <c r="O16" s="908" t="s">
        <v>4386</v>
      </c>
      <c r="P16" s="923" t="s">
        <v>4409</v>
      </c>
      <c r="Q16" s="911">
        <f t="shared" si="0"/>
        <v>-2</v>
      </c>
      <c r="R16" s="911">
        <f t="shared" si="0"/>
        <v>-5.91</v>
      </c>
      <c r="S16" s="924" t="str">
        <f t="shared" si="1"/>
        <v/>
      </c>
      <c r="T16" s="924" t="str">
        <f t="shared" si="2"/>
        <v/>
      </c>
      <c r="U16" s="924" t="str">
        <f t="shared" si="3"/>
        <v/>
      </c>
      <c r="V16" s="925" t="str">
        <f t="shared" si="4"/>
        <v/>
      </c>
      <c r="W16" s="912"/>
    </row>
    <row r="17" spans="1:23" ht="14.4" customHeight="1" x14ac:dyDescent="0.3">
      <c r="A17" s="972" t="s">
        <v>4410</v>
      </c>
      <c r="B17" s="957"/>
      <c r="C17" s="958"/>
      <c r="D17" s="913"/>
      <c r="E17" s="959">
        <v>1</v>
      </c>
      <c r="F17" s="960">
        <v>3.12</v>
      </c>
      <c r="G17" s="914">
        <v>6</v>
      </c>
      <c r="H17" s="961"/>
      <c r="I17" s="960"/>
      <c r="J17" s="914"/>
      <c r="K17" s="962">
        <v>3.1</v>
      </c>
      <c r="L17" s="961">
        <v>3</v>
      </c>
      <c r="M17" s="961">
        <v>24</v>
      </c>
      <c r="N17" s="963">
        <v>8</v>
      </c>
      <c r="O17" s="961" t="s">
        <v>4386</v>
      </c>
      <c r="P17" s="964" t="s">
        <v>4409</v>
      </c>
      <c r="Q17" s="965">
        <f t="shared" si="0"/>
        <v>0</v>
      </c>
      <c r="R17" s="965">
        <f t="shared" si="0"/>
        <v>0</v>
      </c>
      <c r="S17" s="966" t="str">
        <f t="shared" si="1"/>
        <v/>
      </c>
      <c r="T17" s="966" t="str">
        <f t="shared" si="2"/>
        <v/>
      </c>
      <c r="U17" s="966" t="str">
        <f t="shared" si="3"/>
        <v/>
      </c>
      <c r="V17" s="967" t="str">
        <f t="shared" si="4"/>
        <v/>
      </c>
      <c r="W17" s="915"/>
    </row>
    <row r="18" spans="1:23" ht="14.4" customHeight="1" x14ac:dyDescent="0.3">
      <c r="A18" s="973" t="s">
        <v>4411</v>
      </c>
      <c r="B18" s="924"/>
      <c r="C18" s="926"/>
      <c r="D18" s="927"/>
      <c r="E18" s="922">
        <v>1</v>
      </c>
      <c r="F18" s="906">
        <v>1</v>
      </c>
      <c r="G18" s="907">
        <v>3</v>
      </c>
      <c r="H18" s="916">
        <v>2</v>
      </c>
      <c r="I18" s="917">
        <v>2.0099999999999998</v>
      </c>
      <c r="J18" s="919">
        <v>2.5</v>
      </c>
      <c r="K18" s="909">
        <v>1</v>
      </c>
      <c r="L18" s="908">
        <v>1</v>
      </c>
      <c r="M18" s="908">
        <v>12</v>
      </c>
      <c r="N18" s="910">
        <v>4</v>
      </c>
      <c r="O18" s="908" t="s">
        <v>4386</v>
      </c>
      <c r="P18" s="923" t="s">
        <v>4412</v>
      </c>
      <c r="Q18" s="911">
        <f t="shared" si="0"/>
        <v>2</v>
      </c>
      <c r="R18" s="911">
        <f t="shared" si="0"/>
        <v>2.0099999999999998</v>
      </c>
      <c r="S18" s="924">
        <f t="shared" si="1"/>
        <v>8</v>
      </c>
      <c r="T18" s="924">
        <f t="shared" si="2"/>
        <v>5</v>
      </c>
      <c r="U18" s="924">
        <f t="shared" si="3"/>
        <v>-3</v>
      </c>
      <c r="V18" s="925">
        <f t="shared" si="4"/>
        <v>0.625</v>
      </c>
      <c r="W18" s="912"/>
    </row>
    <row r="19" spans="1:23" ht="14.4" customHeight="1" x14ac:dyDescent="0.3">
      <c r="A19" s="973" t="s">
        <v>4413</v>
      </c>
      <c r="B19" s="903">
        <v>1</v>
      </c>
      <c r="C19" s="904">
        <v>2.88</v>
      </c>
      <c r="D19" s="905">
        <v>6</v>
      </c>
      <c r="E19" s="922"/>
      <c r="F19" s="906"/>
      <c r="G19" s="907"/>
      <c r="H19" s="908"/>
      <c r="I19" s="906"/>
      <c r="J19" s="907"/>
      <c r="K19" s="909">
        <v>2.88</v>
      </c>
      <c r="L19" s="908">
        <v>3</v>
      </c>
      <c r="M19" s="908">
        <v>27</v>
      </c>
      <c r="N19" s="910">
        <v>9</v>
      </c>
      <c r="O19" s="908" t="s">
        <v>4386</v>
      </c>
      <c r="P19" s="923" t="s">
        <v>4414</v>
      </c>
      <c r="Q19" s="911">
        <f t="shared" si="0"/>
        <v>-1</v>
      </c>
      <c r="R19" s="911">
        <f t="shared" si="0"/>
        <v>-2.88</v>
      </c>
      <c r="S19" s="924" t="str">
        <f t="shared" si="1"/>
        <v/>
      </c>
      <c r="T19" s="924" t="str">
        <f t="shared" si="2"/>
        <v/>
      </c>
      <c r="U19" s="924" t="str">
        <f t="shared" si="3"/>
        <v/>
      </c>
      <c r="V19" s="925" t="str">
        <f t="shared" si="4"/>
        <v/>
      </c>
      <c r="W19" s="912"/>
    </row>
    <row r="20" spans="1:23" ht="14.4" customHeight="1" x14ac:dyDescent="0.3">
      <c r="A20" s="973" t="s">
        <v>4415</v>
      </c>
      <c r="B20" s="924">
        <v>3</v>
      </c>
      <c r="C20" s="926">
        <v>1.0900000000000001</v>
      </c>
      <c r="D20" s="927">
        <v>4</v>
      </c>
      <c r="E20" s="922"/>
      <c r="F20" s="906"/>
      <c r="G20" s="907"/>
      <c r="H20" s="916">
        <v>5</v>
      </c>
      <c r="I20" s="917">
        <v>1.86</v>
      </c>
      <c r="J20" s="919">
        <v>3</v>
      </c>
      <c r="K20" s="909">
        <v>0.36</v>
      </c>
      <c r="L20" s="908">
        <v>2</v>
      </c>
      <c r="M20" s="908">
        <v>15</v>
      </c>
      <c r="N20" s="910">
        <v>5</v>
      </c>
      <c r="O20" s="908" t="s">
        <v>4386</v>
      </c>
      <c r="P20" s="923" t="s">
        <v>4416</v>
      </c>
      <c r="Q20" s="911">
        <f t="shared" si="0"/>
        <v>2</v>
      </c>
      <c r="R20" s="911">
        <f t="shared" si="0"/>
        <v>0.77</v>
      </c>
      <c r="S20" s="924">
        <f t="shared" si="1"/>
        <v>25</v>
      </c>
      <c r="T20" s="924">
        <f t="shared" si="2"/>
        <v>15</v>
      </c>
      <c r="U20" s="924">
        <f t="shared" si="3"/>
        <v>-10</v>
      </c>
      <c r="V20" s="925">
        <f t="shared" si="4"/>
        <v>0.6</v>
      </c>
      <c r="W20" s="912"/>
    </row>
    <row r="21" spans="1:23" ht="14.4" customHeight="1" x14ac:dyDescent="0.3">
      <c r="A21" s="972" t="s">
        <v>4417</v>
      </c>
      <c r="B21" s="966">
        <v>1</v>
      </c>
      <c r="C21" s="968">
        <v>0.61</v>
      </c>
      <c r="D21" s="928">
        <v>8</v>
      </c>
      <c r="E21" s="959">
        <v>1</v>
      </c>
      <c r="F21" s="960">
        <v>0.61</v>
      </c>
      <c r="G21" s="914">
        <v>4</v>
      </c>
      <c r="H21" s="969">
        <v>1</v>
      </c>
      <c r="I21" s="970">
        <v>0.61</v>
      </c>
      <c r="J21" s="920">
        <v>2</v>
      </c>
      <c r="K21" s="962">
        <v>0.61</v>
      </c>
      <c r="L21" s="961">
        <v>2</v>
      </c>
      <c r="M21" s="961">
        <v>21</v>
      </c>
      <c r="N21" s="963">
        <v>7</v>
      </c>
      <c r="O21" s="961" t="s">
        <v>4386</v>
      </c>
      <c r="P21" s="964" t="s">
        <v>4418</v>
      </c>
      <c r="Q21" s="965">
        <f t="shared" si="0"/>
        <v>0</v>
      </c>
      <c r="R21" s="965">
        <f t="shared" si="0"/>
        <v>0</v>
      </c>
      <c r="S21" s="966">
        <f t="shared" si="1"/>
        <v>7</v>
      </c>
      <c r="T21" s="966">
        <f t="shared" si="2"/>
        <v>2</v>
      </c>
      <c r="U21" s="966">
        <f t="shared" si="3"/>
        <v>-5</v>
      </c>
      <c r="V21" s="967">
        <f t="shared" si="4"/>
        <v>0.2857142857142857</v>
      </c>
      <c r="W21" s="915"/>
    </row>
    <row r="22" spans="1:23" ht="14.4" customHeight="1" x14ac:dyDescent="0.3">
      <c r="A22" s="973" t="s">
        <v>4419</v>
      </c>
      <c r="B22" s="924"/>
      <c r="C22" s="926"/>
      <c r="D22" s="927"/>
      <c r="E22" s="916">
        <v>2</v>
      </c>
      <c r="F22" s="917">
        <v>1.47</v>
      </c>
      <c r="G22" s="919">
        <v>4.5</v>
      </c>
      <c r="H22" s="908">
        <v>2</v>
      </c>
      <c r="I22" s="906">
        <v>1.47</v>
      </c>
      <c r="J22" s="907">
        <v>5</v>
      </c>
      <c r="K22" s="909">
        <v>0.73</v>
      </c>
      <c r="L22" s="908">
        <v>2</v>
      </c>
      <c r="M22" s="908">
        <v>21</v>
      </c>
      <c r="N22" s="910">
        <v>7</v>
      </c>
      <c r="O22" s="908" t="s">
        <v>4386</v>
      </c>
      <c r="P22" s="923" t="s">
        <v>4420</v>
      </c>
      <c r="Q22" s="911">
        <f t="shared" si="0"/>
        <v>2</v>
      </c>
      <c r="R22" s="911">
        <f t="shared" si="0"/>
        <v>1.47</v>
      </c>
      <c r="S22" s="924">
        <f t="shared" si="1"/>
        <v>14</v>
      </c>
      <c r="T22" s="924">
        <f t="shared" si="2"/>
        <v>10</v>
      </c>
      <c r="U22" s="924">
        <f t="shared" si="3"/>
        <v>-4</v>
      </c>
      <c r="V22" s="925">
        <f t="shared" si="4"/>
        <v>0.7142857142857143</v>
      </c>
      <c r="W22" s="912"/>
    </row>
    <row r="23" spans="1:23" ht="14.4" customHeight="1" x14ac:dyDescent="0.3">
      <c r="A23" s="972" t="s">
        <v>4421</v>
      </c>
      <c r="B23" s="966">
        <v>1</v>
      </c>
      <c r="C23" s="968">
        <v>0.59</v>
      </c>
      <c r="D23" s="928">
        <v>2</v>
      </c>
      <c r="E23" s="969">
        <v>2</v>
      </c>
      <c r="F23" s="970">
        <v>1.46</v>
      </c>
      <c r="G23" s="920">
        <v>6</v>
      </c>
      <c r="H23" s="961"/>
      <c r="I23" s="960"/>
      <c r="J23" s="914"/>
      <c r="K23" s="962">
        <v>0.87</v>
      </c>
      <c r="L23" s="961">
        <v>3</v>
      </c>
      <c r="M23" s="961">
        <v>27</v>
      </c>
      <c r="N23" s="963">
        <v>9</v>
      </c>
      <c r="O23" s="961" t="s">
        <v>4386</v>
      </c>
      <c r="P23" s="964" t="s">
        <v>4422</v>
      </c>
      <c r="Q23" s="965">
        <f t="shared" si="0"/>
        <v>-1</v>
      </c>
      <c r="R23" s="965">
        <f t="shared" si="0"/>
        <v>-0.59</v>
      </c>
      <c r="S23" s="966" t="str">
        <f t="shared" si="1"/>
        <v/>
      </c>
      <c r="T23" s="966" t="str">
        <f t="shared" si="2"/>
        <v/>
      </c>
      <c r="U23" s="966" t="str">
        <f t="shared" si="3"/>
        <v/>
      </c>
      <c r="V23" s="967" t="str">
        <f t="shared" si="4"/>
        <v/>
      </c>
      <c r="W23" s="915"/>
    </row>
    <row r="24" spans="1:23" ht="14.4" customHeight="1" x14ac:dyDescent="0.3">
      <c r="A24" s="973" t="s">
        <v>4423</v>
      </c>
      <c r="B24" s="924"/>
      <c r="C24" s="926"/>
      <c r="D24" s="927"/>
      <c r="E24" s="922"/>
      <c r="F24" s="906"/>
      <c r="G24" s="907"/>
      <c r="H24" s="916">
        <v>1</v>
      </c>
      <c r="I24" s="917">
        <v>0.42</v>
      </c>
      <c r="J24" s="919">
        <v>3</v>
      </c>
      <c r="K24" s="909">
        <v>0.42</v>
      </c>
      <c r="L24" s="908">
        <v>2</v>
      </c>
      <c r="M24" s="908">
        <v>15</v>
      </c>
      <c r="N24" s="910">
        <v>5</v>
      </c>
      <c r="O24" s="908" t="s">
        <v>4386</v>
      </c>
      <c r="P24" s="923" t="s">
        <v>4424</v>
      </c>
      <c r="Q24" s="911">
        <f t="shared" si="0"/>
        <v>1</v>
      </c>
      <c r="R24" s="911">
        <f t="shared" si="0"/>
        <v>0.42</v>
      </c>
      <c r="S24" s="924">
        <f t="shared" si="1"/>
        <v>5</v>
      </c>
      <c r="T24" s="924">
        <f t="shared" si="2"/>
        <v>3</v>
      </c>
      <c r="U24" s="924">
        <f t="shared" si="3"/>
        <v>-2</v>
      </c>
      <c r="V24" s="925">
        <f t="shared" si="4"/>
        <v>0.6</v>
      </c>
      <c r="W24" s="912"/>
    </row>
    <row r="25" spans="1:23" ht="14.4" customHeight="1" x14ac:dyDescent="0.3">
      <c r="A25" s="972" t="s">
        <v>4425</v>
      </c>
      <c r="B25" s="966">
        <v>1</v>
      </c>
      <c r="C25" s="968">
        <v>0.56000000000000005</v>
      </c>
      <c r="D25" s="928">
        <v>2</v>
      </c>
      <c r="E25" s="959"/>
      <c r="F25" s="960"/>
      <c r="G25" s="914"/>
      <c r="H25" s="969"/>
      <c r="I25" s="970"/>
      <c r="J25" s="920"/>
      <c r="K25" s="962">
        <v>0.56000000000000005</v>
      </c>
      <c r="L25" s="961">
        <v>2</v>
      </c>
      <c r="M25" s="961">
        <v>21</v>
      </c>
      <c r="N25" s="963">
        <v>7</v>
      </c>
      <c r="O25" s="961" t="s">
        <v>4386</v>
      </c>
      <c r="P25" s="964" t="s">
        <v>4426</v>
      </c>
      <c r="Q25" s="965">
        <f t="shared" si="0"/>
        <v>-1</v>
      </c>
      <c r="R25" s="965">
        <f t="shared" si="0"/>
        <v>-0.56000000000000005</v>
      </c>
      <c r="S25" s="966" t="str">
        <f t="shared" si="1"/>
        <v/>
      </c>
      <c r="T25" s="966" t="str">
        <f t="shared" si="2"/>
        <v/>
      </c>
      <c r="U25" s="966" t="str">
        <f t="shared" si="3"/>
        <v/>
      </c>
      <c r="V25" s="967" t="str">
        <f t="shared" si="4"/>
        <v/>
      </c>
      <c r="W25" s="915"/>
    </row>
    <row r="26" spans="1:23" ht="14.4" customHeight="1" x14ac:dyDescent="0.3">
      <c r="A26" s="973" t="s">
        <v>4427</v>
      </c>
      <c r="B26" s="903">
        <v>2</v>
      </c>
      <c r="C26" s="904">
        <v>3.14</v>
      </c>
      <c r="D26" s="905">
        <v>2</v>
      </c>
      <c r="E26" s="922"/>
      <c r="F26" s="906"/>
      <c r="G26" s="907"/>
      <c r="H26" s="908"/>
      <c r="I26" s="906"/>
      <c r="J26" s="907"/>
      <c r="K26" s="909">
        <v>2.12</v>
      </c>
      <c r="L26" s="908">
        <v>3</v>
      </c>
      <c r="M26" s="908">
        <v>24</v>
      </c>
      <c r="N26" s="910">
        <v>8</v>
      </c>
      <c r="O26" s="908" t="s">
        <v>4386</v>
      </c>
      <c r="P26" s="923" t="s">
        <v>4428</v>
      </c>
      <c r="Q26" s="911">
        <f t="shared" si="0"/>
        <v>-2</v>
      </c>
      <c r="R26" s="911">
        <f t="shared" si="0"/>
        <v>-3.14</v>
      </c>
      <c r="S26" s="924" t="str">
        <f t="shared" si="1"/>
        <v/>
      </c>
      <c r="T26" s="924" t="str">
        <f t="shared" si="2"/>
        <v/>
      </c>
      <c r="U26" s="924" t="str">
        <f t="shared" si="3"/>
        <v/>
      </c>
      <c r="V26" s="925" t="str">
        <f t="shared" si="4"/>
        <v/>
      </c>
      <c r="W26" s="912"/>
    </row>
    <row r="27" spans="1:23" ht="14.4" customHeight="1" x14ac:dyDescent="0.3">
      <c r="A27" s="973" t="s">
        <v>4429</v>
      </c>
      <c r="B27" s="903">
        <v>1</v>
      </c>
      <c r="C27" s="904">
        <v>0.31</v>
      </c>
      <c r="D27" s="905">
        <v>3</v>
      </c>
      <c r="E27" s="922"/>
      <c r="F27" s="906"/>
      <c r="G27" s="907"/>
      <c r="H27" s="908"/>
      <c r="I27" s="906"/>
      <c r="J27" s="907"/>
      <c r="K27" s="909">
        <v>0.31</v>
      </c>
      <c r="L27" s="908">
        <v>1</v>
      </c>
      <c r="M27" s="908">
        <v>12</v>
      </c>
      <c r="N27" s="910">
        <v>4</v>
      </c>
      <c r="O27" s="908" t="s">
        <v>4386</v>
      </c>
      <c r="P27" s="923" t="s">
        <v>4430</v>
      </c>
      <c r="Q27" s="911">
        <f t="shared" si="0"/>
        <v>-1</v>
      </c>
      <c r="R27" s="911">
        <f t="shared" si="0"/>
        <v>-0.31</v>
      </c>
      <c r="S27" s="924" t="str">
        <f t="shared" si="1"/>
        <v/>
      </c>
      <c r="T27" s="924" t="str">
        <f t="shared" si="2"/>
        <v/>
      </c>
      <c r="U27" s="924" t="str">
        <f t="shared" si="3"/>
        <v/>
      </c>
      <c r="V27" s="925" t="str">
        <f t="shared" si="4"/>
        <v/>
      </c>
      <c r="W27" s="912"/>
    </row>
    <row r="28" spans="1:23" ht="14.4" customHeight="1" x14ac:dyDescent="0.3">
      <c r="A28" s="972" t="s">
        <v>4431</v>
      </c>
      <c r="B28" s="957">
        <v>1</v>
      </c>
      <c r="C28" s="958">
        <v>0.46</v>
      </c>
      <c r="D28" s="913">
        <v>5</v>
      </c>
      <c r="E28" s="959"/>
      <c r="F28" s="960"/>
      <c r="G28" s="914"/>
      <c r="H28" s="961"/>
      <c r="I28" s="960"/>
      <c r="J28" s="914"/>
      <c r="K28" s="962">
        <v>0.46</v>
      </c>
      <c r="L28" s="961">
        <v>2</v>
      </c>
      <c r="M28" s="961">
        <v>15</v>
      </c>
      <c r="N28" s="963">
        <v>5</v>
      </c>
      <c r="O28" s="961" t="s">
        <v>4386</v>
      </c>
      <c r="P28" s="964" t="s">
        <v>4432</v>
      </c>
      <c r="Q28" s="965">
        <f t="shared" si="0"/>
        <v>-1</v>
      </c>
      <c r="R28" s="965">
        <f t="shared" si="0"/>
        <v>-0.46</v>
      </c>
      <c r="S28" s="966" t="str">
        <f t="shared" si="1"/>
        <v/>
      </c>
      <c r="T28" s="966" t="str">
        <f t="shared" si="2"/>
        <v/>
      </c>
      <c r="U28" s="966" t="str">
        <f t="shared" si="3"/>
        <v/>
      </c>
      <c r="V28" s="967" t="str">
        <f t="shared" si="4"/>
        <v/>
      </c>
      <c r="W28" s="915"/>
    </row>
    <row r="29" spans="1:23" ht="14.4" customHeight="1" x14ac:dyDescent="0.3">
      <c r="A29" s="973" t="s">
        <v>4433</v>
      </c>
      <c r="B29" s="924"/>
      <c r="C29" s="926"/>
      <c r="D29" s="927"/>
      <c r="E29" s="916">
        <v>1</v>
      </c>
      <c r="F29" s="917">
        <v>5.18</v>
      </c>
      <c r="G29" s="919">
        <v>12</v>
      </c>
      <c r="H29" s="908"/>
      <c r="I29" s="906"/>
      <c r="J29" s="907"/>
      <c r="K29" s="909">
        <v>5.18</v>
      </c>
      <c r="L29" s="908">
        <v>3</v>
      </c>
      <c r="M29" s="908">
        <v>27</v>
      </c>
      <c r="N29" s="910">
        <v>9</v>
      </c>
      <c r="O29" s="908" t="s">
        <v>4386</v>
      </c>
      <c r="P29" s="923" t="s">
        <v>4434</v>
      </c>
      <c r="Q29" s="911">
        <f t="shared" si="0"/>
        <v>0</v>
      </c>
      <c r="R29" s="911">
        <f t="shared" si="0"/>
        <v>0</v>
      </c>
      <c r="S29" s="924" t="str">
        <f t="shared" si="1"/>
        <v/>
      </c>
      <c r="T29" s="924" t="str">
        <f t="shared" si="2"/>
        <v/>
      </c>
      <c r="U29" s="924" t="str">
        <f t="shared" si="3"/>
        <v/>
      </c>
      <c r="V29" s="925" t="str">
        <f t="shared" si="4"/>
        <v/>
      </c>
      <c r="W29" s="912"/>
    </row>
    <row r="30" spans="1:23" ht="14.4" customHeight="1" x14ac:dyDescent="0.3">
      <c r="A30" s="973" t="s">
        <v>4435</v>
      </c>
      <c r="B30" s="924">
        <v>1</v>
      </c>
      <c r="C30" s="926">
        <v>3.02</v>
      </c>
      <c r="D30" s="927">
        <v>5</v>
      </c>
      <c r="E30" s="916">
        <v>2</v>
      </c>
      <c r="F30" s="917">
        <v>6.04</v>
      </c>
      <c r="G30" s="919">
        <v>6.5</v>
      </c>
      <c r="H30" s="908"/>
      <c r="I30" s="906"/>
      <c r="J30" s="907"/>
      <c r="K30" s="909">
        <v>3.02</v>
      </c>
      <c r="L30" s="908">
        <v>4</v>
      </c>
      <c r="M30" s="908">
        <v>33</v>
      </c>
      <c r="N30" s="910">
        <v>11</v>
      </c>
      <c r="O30" s="908" t="s">
        <v>4386</v>
      </c>
      <c r="P30" s="923" t="s">
        <v>4436</v>
      </c>
      <c r="Q30" s="911">
        <f t="shared" si="0"/>
        <v>-1</v>
      </c>
      <c r="R30" s="911">
        <f t="shared" si="0"/>
        <v>-3.02</v>
      </c>
      <c r="S30" s="924" t="str">
        <f t="shared" si="1"/>
        <v/>
      </c>
      <c r="T30" s="924" t="str">
        <f t="shared" si="2"/>
        <v/>
      </c>
      <c r="U30" s="924" t="str">
        <f t="shared" si="3"/>
        <v/>
      </c>
      <c r="V30" s="925" t="str">
        <f t="shared" si="4"/>
        <v/>
      </c>
      <c r="W30" s="912"/>
    </row>
    <row r="31" spans="1:23" ht="14.4" customHeight="1" x14ac:dyDescent="0.3">
      <c r="A31" s="972" t="s">
        <v>4437</v>
      </c>
      <c r="B31" s="966"/>
      <c r="C31" s="968"/>
      <c r="D31" s="928"/>
      <c r="E31" s="969"/>
      <c r="F31" s="970"/>
      <c r="G31" s="920"/>
      <c r="H31" s="961">
        <v>1</v>
      </c>
      <c r="I31" s="960">
        <v>3.11</v>
      </c>
      <c r="J31" s="914">
        <v>7</v>
      </c>
      <c r="K31" s="962">
        <v>3.11</v>
      </c>
      <c r="L31" s="961">
        <v>4</v>
      </c>
      <c r="M31" s="961">
        <v>39</v>
      </c>
      <c r="N31" s="963">
        <v>13</v>
      </c>
      <c r="O31" s="961" t="s">
        <v>4386</v>
      </c>
      <c r="P31" s="964" t="s">
        <v>4436</v>
      </c>
      <c r="Q31" s="965">
        <f t="shared" si="0"/>
        <v>1</v>
      </c>
      <c r="R31" s="965">
        <f t="shared" si="0"/>
        <v>3.11</v>
      </c>
      <c r="S31" s="966">
        <f t="shared" si="1"/>
        <v>13</v>
      </c>
      <c r="T31" s="966">
        <f t="shared" si="2"/>
        <v>7</v>
      </c>
      <c r="U31" s="966">
        <f t="shared" si="3"/>
        <v>-6</v>
      </c>
      <c r="V31" s="967">
        <f t="shared" si="4"/>
        <v>0.53846153846153844</v>
      </c>
      <c r="W31" s="915"/>
    </row>
    <row r="32" spans="1:23" ht="14.4" customHeight="1" x14ac:dyDescent="0.3">
      <c r="A32" s="973" t="s">
        <v>4438</v>
      </c>
      <c r="B32" s="924">
        <v>8</v>
      </c>
      <c r="C32" s="926">
        <v>18.059999999999999</v>
      </c>
      <c r="D32" s="927">
        <v>6.1</v>
      </c>
      <c r="E32" s="916">
        <v>8</v>
      </c>
      <c r="F32" s="917">
        <v>19.03</v>
      </c>
      <c r="G32" s="919">
        <v>5.0999999999999996</v>
      </c>
      <c r="H32" s="908">
        <v>5</v>
      </c>
      <c r="I32" s="906">
        <v>11.89</v>
      </c>
      <c r="J32" s="907">
        <v>5.4</v>
      </c>
      <c r="K32" s="909">
        <v>2.38</v>
      </c>
      <c r="L32" s="908">
        <v>4</v>
      </c>
      <c r="M32" s="908">
        <v>33</v>
      </c>
      <c r="N32" s="910">
        <v>11</v>
      </c>
      <c r="O32" s="908" t="s">
        <v>4386</v>
      </c>
      <c r="P32" s="923" t="s">
        <v>4439</v>
      </c>
      <c r="Q32" s="911">
        <f t="shared" si="0"/>
        <v>-3</v>
      </c>
      <c r="R32" s="911">
        <f t="shared" si="0"/>
        <v>-6.1699999999999982</v>
      </c>
      <c r="S32" s="924">
        <f t="shared" si="1"/>
        <v>55</v>
      </c>
      <c r="T32" s="924">
        <f t="shared" si="2"/>
        <v>27</v>
      </c>
      <c r="U32" s="924">
        <f t="shared" si="3"/>
        <v>-28</v>
      </c>
      <c r="V32" s="925">
        <f t="shared" si="4"/>
        <v>0.49090909090909091</v>
      </c>
      <c r="W32" s="912"/>
    </row>
    <row r="33" spans="1:23" ht="14.4" customHeight="1" x14ac:dyDescent="0.3">
      <c r="A33" s="972" t="s">
        <v>4440</v>
      </c>
      <c r="B33" s="966">
        <v>4</v>
      </c>
      <c r="C33" s="968">
        <v>10.47</v>
      </c>
      <c r="D33" s="928">
        <v>6.8</v>
      </c>
      <c r="E33" s="969">
        <v>2</v>
      </c>
      <c r="F33" s="970">
        <v>5.52</v>
      </c>
      <c r="G33" s="920">
        <v>5.5</v>
      </c>
      <c r="H33" s="961">
        <v>3</v>
      </c>
      <c r="I33" s="960">
        <v>7.71</v>
      </c>
      <c r="J33" s="921">
        <v>13.7</v>
      </c>
      <c r="K33" s="962">
        <v>2.76</v>
      </c>
      <c r="L33" s="961">
        <v>4</v>
      </c>
      <c r="M33" s="961">
        <v>39</v>
      </c>
      <c r="N33" s="963">
        <v>13</v>
      </c>
      <c r="O33" s="961" t="s">
        <v>4386</v>
      </c>
      <c r="P33" s="964" t="s">
        <v>4439</v>
      </c>
      <c r="Q33" s="965">
        <f t="shared" si="0"/>
        <v>-1</v>
      </c>
      <c r="R33" s="965">
        <f t="shared" si="0"/>
        <v>-2.7600000000000007</v>
      </c>
      <c r="S33" s="966">
        <f t="shared" si="1"/>
        <v>39</v>
      </c>
      <c r="T33" s="966">
        <f t="shared" si="2"/>
        <v>41.099999999999994</v>
      </c>
      <c r="U33" s="966">
        <f t="shared" si="3"/>
        <v>2.0999999999999943</v>
      </c>
      <c r="V33" s="967">
        <f t="shared" si="4"/>
        <v>1.0538461538461537</v>
      </c>
      <c r="W33" s="915">
        <v>20</v>
      </c>
    </row>
    <row r="34" spans="1:23" ht="14.4" customHeight="1" x14ac:dyDescent="0.3">
      <c r="A34" s="972" t="s">
        <v>4441</v>
      </c>
      <c r="B34" s="966"/>
      <c r="C34" s="968"/>
      <c r="D34" s="928"/>
      <c r="E34" s="969">
        <v>2</v>
      </c>
      <c r="F34" s="970">
        <v>7.41</v>
      </c>
      <c r="G34" s="920">
        <v>9.5</v>
      </c>
      <c r="H34" s="961">
        <v>2</v>
      </c>
      <c r="I34" s="960">
        <v>7.41</v>
      </c>
      <c r="J34" s="914">
        <v>10</v>
      </c>
      <c r="K34" s="962">
        <v>3.7</v>
      </c>
      <c r="L34" s="961">
        <v>6</v>
      </c>
      <c r="M34" s="961">
        <v>51</v>
      </c>
      <c r="N34" s="963">
        <v>17</v>
      </c>
      <c r="O34" s="961" t="s">
        <v>4386</v>
      </c>
      <c r="P34" s="964" t="s">
        <v>4439</v>
      </c>
      <c r="Q34" s="965">
        <f t="shared" si="0"/>
        <v>2</v>
      </c>
      <c r="R34" s="965">
        <f t="shared" si="0"/>
        <v>7.41</v>
      </c>
      <c r="S34" s="966">
        <f t="shared" si="1"/>
        <v>34</v>
      </c>
      <c r="T34" s="966">
        <f t="shared" si="2"/>
        <v>20</v>
      </c>
      <c r="U34" s="966">
        <f t="shared" si="3"/>
        <v>-14</v>
      </c>
      <c r="V34" s="967">
        <f t="shared" si="4"/>
        <v>0.58823529411764708</v>
      </c>
      <c r="W34" s="915"/>
    </row>
    <row r="35" spans="1:23" ht="14.4" customHeight="1" x14ac:dyDescent="0.3">
      <c r="A35" s="973" t="s">
        <v>4442</v>
      </c>
      <c r="B35" s="924"/>
      <c r="C35" s="926"/>
      <c r="D35" s="927"/>
      <c r="E35" s="916">
        <v>1</v>
      </c>
      <c r="F35" s="917">
        <v>0.79</v>
      </c>
      <c r="G35" s="919">
        <v>4</v>
      </c>
      <c r="H35" s="908"/>
      <c r="I35" s="906"/>
      <c r="J35" s="907"/>
      <c r="K35" s="909">
        <v>0.79</v>
      </c>
      <c r="L35" s="908">
        <v>2</v>
      </c>
      <c r="M35" s="908">
        <v>15</v>
      </c>
      <c r="N35" s="910">
        <v>5</v>
      </c>
      <c r="O35" s="908" t="s">
        <v>4386</v>
      </c>
      <c r="P35" s="923" t="s">
        <v>4443</v>
      </c>
      <c r="Q35" s="911">
        <f t="shared" si="0"/>
        <v>0</v>
      </c>
      <c r="R35" s="911">
        <f t="shared" si="0"/>
        <v>0</v>
      </c>
      <c r="S35" s="924" t="str">
        <f t="shared" si="1"/>
        <v/>
      </c>
      <c r="T35" s="924" t="str">
        <f t="shared" si="2"/>
        <v/>
      </c>
      <c r="U35" s="924" t="str">
        <f t="shared" si="3"/>
        <v/>
      </c>
      <c r="V35" s="925" t="str">
        <f t="shared" si="4"/>
        <v/>
      </c>
      <c r="W35" s="912"/>
    </row>
    <row r="36" spans="1:23" ht="14.4" customHeight="1" x14ac:dyDescent="0.3">
      <c r="A36" s="972" t="s">
        <v>4444</v>
      </c>
      <c r="B36" s="966">
        <v>1</v>
      </c>
      <c r="C36" s="968">
        <v>2.14</v>
      </c>
      <c r="D36" s="928">
        <v>11</v>
      </c>
      <c r="E36" s="969">
        <v>1</v>
      </c>
      <c r="F36" s="970">
        <v>1.84</v>
      </c>
      <c r="G36" s="920">
        <v>12</v>
      </c>
      <c r="H36" s="961"/>
      <c r="I36" s="960"/>
      <c r="J36" s="914"/>
      <c r="K36" s="962">
        <v>1.84</v>
      </c>
      <c r="L36" s="961">
        <v>5</v>
      </c>
      <c r="M36" s="961">
        <v>42</v>
      </c>
      <c r="N36" s="963">
        <v>14</v>
      </c>
      <c r="O36" s="961" t="s">
        <v>4386</v>
      </c>
      <c r="P36" s="964" t="s">
        <v>4443</v>
      </c>
      <c r="Q36" s="965">
        <f t="shared" si="0"/>
        <v>-1</v>
      </c>
      <c r="R36" s="965">
        <f t="shared" si="0"/>
        <v>-2.14</v>
      </c>
      <c r="S36" s="966" t="str">
        <f t="shared" si="1"/>
        <v/>
      </c>
      <c r="T36" s="966" t="str">
        <f t="shared" si="2"/>
        <v/>
      </c>
      <c r="U36" s="966" t="str">
        <f t="shared" si="3"/>
        <v/>
      </c>
      <c r="V36" s="967" t="str">
        <f t="shared" si="4"/>
        <v/>
      </c>
      <c r="W36" s="915"/>
    </row>
    <row r="37" spans="1:23" ht="14.4" customHeight="1" x14ac:dyDescent="0.3">
      <c r="A37" s="973" t="s">
        <v>4445</v>
      </c>
      <c r="B37" s="924">
        <v>49</v>
      </c>
      <c r="C37" s="926">
        <v>60.38</v>
      </c>
      <c r="D37" s="927">
        <v>3.5</v>
      </c>
      <c r="E37" s="922">
        <v>42</v>
      </c>
      <c r="F37" s="906">
        <v>52.04</v>
      </c>
      <c r="G37" s="907">
        <v>4</v>
      </c>
      <c r="H37" s="916">
        <v>58</v>
      </c>
      <c r="I37" s="917">
        <v>71.83</v>
      </c>
      <c r="J37" s="919">
        <v>3.6</v>
      </c>
      <c r="K37" s="909">
        <v>1.22</v>
      </c>
      <c r="L37" s="908">
        <v>2</v>
      </c>
      <c r="M37" s="908">
        <v>18</v>
      </c>
      <c r="N37" s="910">
        <v>6</v>
      </c>
      <c r="O37" s="908" t="s">
        <v>4386</v>
      </c>
      <c r="P37" s="923" t="s">
        <v>4446</v>
      </c>
      <c r="Q37" s="911">
        <f t="shared" si="0"/>
        <v>9</v>
      </c>
      <c r="R37" s="911">
        <f t="shared" si="0"/>
        <v>11.449999999999996</v>
      </c>
      <c r="S37" s="924">
        <f t="shared" si="1"/>
        <v>348</v>
      </c>
      <c r="T37" s="924">
        <f t="shared" si="2"/>
        <v>208.8</v>
      </c>
      <c r="U37" s="924">
        <f t="shared" si="3"/>
        <v>-139.19999999999999</v>
      </c>
      <c r="V37" s="925">
        <f t="shared" si="4"/>
        <v>0.6</v>
      </c>
      <c r="W37" s="912">
        <v>7</v>
      </c>
    </row>
    <row r="38" spans="1:23" ht="14.4" customHeight="1" x14ac:dyDescent="0.3">
      <c r="A38" s="972" t="s">
        <v>4447</v>
      </c>
      <c r="B38" s="966">
        <v>4</v>
      </c>
      <c r="C38" s="968">
        <v>6.85</v>
      </c>
      <c r="D38" s="928">
        <v>3.3</v>
      </c>
      <c r="E38" s="959">
        <v>5</v>
      </c>
      <c r="F38" s="960">
        <v>8.31</v>
      </c>
      <c r="G38" s="914">
        <v>5.8</v>
      </c>
      <c r="H38" s="969">
        <v>9</v>
      </c>
      <c r="I38" s="970">
        <v>14.88</v>
      </c>
      <c r="J38" s="921">
        <v>8.3000000000000007</v>
      </c>
      <c r="K38" s="962">
        <v>1.58</v>
      </c>
      <c r="L38" s="961">
        <v>3</v>
      </c>
      <c r="M38" s="961">
        <v>24</v>
      </c>
      <c r="N38" s="963">
        <v>8</v>
      </c>
      <c r="O38" s="961" t="s">
        <v>4386</v>
      </c>
      <c r="P38" s="964" t="s">
        <v>4446</v>
      </c>
      <c r="Q38" s="965">
        <f t="shared" si="0"/>
        <v>5</v>
      </c>
      <c r="R38" s="965">
        <f t="shared" si="0"/>
        <v>8.0300000000000011</v>
      </c>
      <c r="S38" s="966">
        <f t="shared" si="1"/>
        <v>72</v>
      </c>
      <c r="T38" s="966">
        <f t="shared" si="2"/>
        <v>74.7</v>
      </c>
      <c r="U38" s="966">
        <f t="shared" si="3"/>
        <v>2.7000000000000028</v>
      </c>
      <c r="V38" s="967">
        <f t="shared" si="4"/>
        <v>1.0375000000000001</v>
      </c>
      <c r="W38" s="915">
        <v>19</v>
      </c>
    </row>
    <row r="39" spans="1:23" ht="14.4" customHeight="1" x14ac:dyDescent="0.3">
      <c r="A39" s="973" t="s">
        <v>4448</v>
      </c>
      <c r="B39" s="924">
        <v>28</v>
      </c>
      <c r="C39" s="926">
        <v>10.64</v>
      </c>
      <c r="D39" s="927">
        <v>2.5</v>
      </c>
      <c r="E39" s="922">
        <v>29</v>
      </c>
      <c r="F39" s="906">
        <v>11.04</v>
      </c>
      <c r="G39" s="907">
        <v>2.9</v>
      </c>
      <c r="H39" s="916">
        <v>43</v>
      </c>
      <c r="I39" s="917">
        <v>16.38</v>
      </c>
      <c r="J39" s="919">
        <v>2.9</v>
      </c>
      <c r="K39" s="909">
        <v>0.38</v>
      </c>
      <c r="L39" s="908">
        <v>1</v>
      </c>
      <c r="M39" s="908">
        <v>9</v>
      </c>
      <c r="N39" s="910">
        <v>3</v>
      </c>
      <c r="O39" s="908" t="s">
        <v>4386</v>
      </c>
      <c r="P39" s="923" t="s">
        <v>4449</v>
      </c>
      <c r="Q39" s="911">
        <f t="shared" si="0"/>
        <v>15</v>
      </c>
      <c r="R39" s="911">
        <f t="shared" si="0"/>
        <v>5.7399999999999984</v>
      </c>
      <c r="S39" s="924">
        <f t="shared" si="1"/>
        <v>129</v>
      </c>
      <c r="T39" s="924">
        <f t="shared" si="2"/>
        <v>124.7</v>
      </c>
      <c r="U39" s="924">
        <f t="shared" si="3"/>
        <v>-4.2999999999999972</v>
      </c>
      <c r="V39" s="925">
        <f t="shared" si="4"/>
        <v>0.96666666666666667</v>
      </c>
      <c r="W39" s="912">
        <v>11</v>
      </c>
    </row>
    <row r="40" spans="1:23" ht="14.4" customHeight="1" x14ac:dyDescent="0.3">
      <c r="A40" s="972" t="s">
        <v>4450</v>
      </c>
      <c r="B40" s="966">
        <v>1</v>
      </c>
      <c r="C40" s="968">
        <v>0.47</v>
      </c>
      <c r="D40" s="928">
        <v>4</v>
      </c>
      <c r="E40" s="959">
        <v>2</v>
      </c>
      <c r="F40" s="960">
        <v>0.94</v>
      </c>
      <c r="G40" s="914">
        <v>3</v>
      </c>
      <c r="H40" s="969">
        <v>2</v>
      </c>
      <c r="I40" s="970">
        <v>0.94</v>
      </c>
      <c r="J40" s="920">
        <v>3</v>
      </c>
      <c r="K40" s="962">
        <v>0.47</v>
      </c>
      <c r="L40" s="961">
        <v>1</v>
      </c>
      <c r="M40" s="961">
        <v>12</v>
      </c>
      <c r="N40" s="963">
        <v>4</v>
      </c>
      <c r="O40" s="961" t="s">
        <v>4386</v>
      </c>
      <c r="P40" s="964" t="s">
        <v>4451</v>
      </c>
      <c r="Q40" s="965">
        <f t="shared" si="0"/>
        <v>1</v>
      </c>
      <c r="R40" s="965">
        <f t="shared" si="0"/>
        <v>0.47</v>
      </c>
      <c r="S40" s="966">
        <f t="shared" si="1"/>
        <v>8</v>
      </c>
      <c r="T40" s="966">
        <f t="shared" si="2"/>
        <v>6</v>
      </c>
      <c r="U40" s="966">
        <f t="shared" si="3"/>
        <v>-2</v>
      </c>
      <c r="V40" s="967">
        <f t="shared" si="4"/>
        <v>0.75</v>
      </c>
      <c r="W40" s="915"/>
    </row>
    <row r="41" spans="1:23" ht="14.4" customHeight="1" x14ac:dyDescent="0.3">
      <c r="A41" s="972" t="s">
        <v>4452</v>
      </c>
      <c r="B41" s="966">
        <v>1</v>
      </c>
      <c r="C41" s="968">
        <v>1.05</v>
      </c>
      <c r="D41" s="928">
        <v>3</v>
      </c>
      <c r="E41" s="959"/>
      <c r="F41" s="960"/>
      <c r="G41" s="914"/>
      <c r="H41" s="969"/>
      <c r="I41" s="970"/>
      <c r="J41" s="920"/>
      <c r="K41" s="962">
        <v>1.05</v>
      </c>
      <c r="L41" s="961">
        <v>3</v>
      </c>
      <c r="M41" s="961">
        <v>27</v>
      </c>
      <c r="N41" s="963">
        <v>9</v>
      </c>
      <c r="O41" s="961" t="s">
        <v>4386</v>
      </c>
      <c r="P41" s="964" t="s">
        <v>4453</v>
      </c>
      <c r="Q41" s="965">
        <f t="shared" si="0"/>
        <v>-1</v>
      </c>
      <c r="R41" s="965">
        <f t="shared" si="0"/>
        <v>-1.05</v>
      </c>
      <c r="S41" s="966" t="str">
        <f t="shared" si="1"/>
        <v/>
      </c>
      <c r="T41" s="966" t="str">
        <f t="shared" si="2"/>
        <v/>
      </c>
      <c r="U41" s="966" t="str">
        <f t="shared" si="3"/>
        <v/>
      </c>
      <c r="V41" s="967" t="str">
        <f t="shared" si="4"/>
        <v/>
      </c>
      <c r="W41" s="915"/>
    </row>
    <row r="42" spans="1:23" ht="14.4" customHeight="1" x14ac:dyDescent="0.3">
      <c r="A42" s="973" t="s">
        <v>4454</v>
      </c>
      <c r="B42" s="924"/>
      <c r="C42" s="926"/>
      <c r="D42" s="927"/>
      <c r="E42" s="922"/>
      <c r="F42" s="906"/>
      <c r="G42" s="907"/>
      <c r="H42" s="916">
        <v>1</v>
      </c>
      <c r="I42" s="917">
        <v>0.74</v>
      </c>
      <c r="J42" s="919">
        <v>2</v>
      </c>
      <c r="K42" s="909">
        <v>0.74</v>
      </c>
      <c r="L42" s="908">
        <v>1</v>
      </c>
      <c r="M42" s="908">
        <v>12</v>
      </c>
      <c r="N42" s="910">
        <v>4</v>
      </c>
      <c r="O42" s="908" t="s">
        <v>4386</v>
      </c>
      <c r="P42" s="923" t="s">
        <v>4455</v>
      </c>
      <c r="Q42" s="911">
        <f t="shared" si="0"/>
        <v>1</v>
      </c>
      <c r="R42" s="911">
        <f t="shared" si="0"/>
        <v>0.74</v>
      </c>
      <c r="S42" s="924">
        <f t="shared" si="1"/>
        <v>4</v>
      </c>
      <c r="T42" s="924">
        <f t="shared" si="2"/>
        <v>2</v>
      </c>
      <c r="U42" s="924">
        <f t="shared" si="3"/>
        <v>-2</v>
      </c>
      <c r="V42" s="925">
        <f t="shared" si="4"/>
        <v>0.5</v>
      </c>
      <c r="W42" s="912"/>
    </row>
    <row r="43" spans="1:23" ht="14.4" customHeight="1" x14ac:dyDescent="0.3">
      <c r="A43" s="973" t="s">
        <v>4456</v>
      </c>
      <c r="B43" s="903">
        <v>8</v>
      </c>
      <c r="C43" s="904">
        <v>5.74</v>
      </c>
      <c r="D43" s="905">
        <v>3.1</v>
      </c>
      <c r="E43" s="922">
        <v>3</v>
      </c>
      <c r="F43" s="906">
        <v>2.2799999999999998</v>
      </c>
      <c r="G43" s="907">
        <v>3</v>
      </c>
      <c r="H43" s="908">
        <v>5</v>
      </c>
      <c r="I43" s="906">
        <v>3.94</v>
      </c>
      <c r="J43" s="907">
        <v>4</v>
      </c>
      <c r="K43" s="909">
        <v>0.62</v>
      </c>
      <c r="L43" s="908">
        <v>1</v>
      </c>
      <c r="M43" s="908">
        <v>12</v>
      </c>
      <c r="N43" s="910">
        <v>4</v>
      </c>
      <c r="O43" s="908" t="s">
        <v>4386</v>
      </c>
      <c r="P43" s="923" t="s">
        <v>4457</v>
      </c>
      <c r="Q43" s="911">
        <f t="shared" si="0"/>
        <v>-3</v>
      </c>
      <c r="R43" s="911">
        <f t="shared" si="0"/>
        <v>-1.8000000000000003</v>
      </c>
      <c r="S43" s="924">
        <f t="shared" si="1"/>
        <v>20</v>
      </c>
      <c r="T43" s="924">
        <f t="shared" si="2"/>
        <v>20</v>
      </c>
      <c r="U43" s="924">
        <f t="shared" si="3"/>
        <v>0</v>
      </c>
      <c r="V43" s="925">
        <f t="shared" si="4"/>
        <v>1</v>
      </c>
      <c r="W43" s="912">
        <v>4</v>
      </c>
    </row>
    <row r="44" spans="1:23" ht="14.4" customHeight="1" x14ac:dyDescent="0.3">
      <c r="A44" s="972" t="s">
        <v>4458</v>
      </c>
      <c r="B44" s="957"/>
      <c r="C44" s="958"/>
      <c r="D44" s="913"/>
      <c r="E44" s="959">
        <v>2</v>
      </c>
      <c r="F44" s="960">
        <v>2.59</v>
      </c>
      <c r="G44" s="914">
        <v>7</v>
      </c>
      <c r="H44" s="961"/>
      <c r="I44" s="960"/>
      <c r="J44" s="914"/>
      <c r="K44" s="962">
        <v>0.81</v>
      </c>
      <c r="L44" s="961">
        <v>2</v>
      </c>
      <c r="M44" s="961">
        <v>18</v>
      </c>
      <c r="N44" s="963">
        <v>6</v>
      </c>
      <c r="O44" s="961" t="s">
        <v>4386</v>
      </c>
      <c r="P44" s="964" t="s">
        <v>4459</v>
      </c>
      <c r="Q44" s="965">
        <f t="shared" si="0"/>
        <v>0</v>
      </c>
      <c r="R44" s="965">
        <f t="shared" si="0"/>
        <v>0</v>
      </c>
      <c r="S44" s="966" t="str">
        <f t="shared" si="1"/>
        <v/>
      </c>
      <c r="T44" s="966" t="str">
        <f t="shared" si="2"/>
        <v/>
      </c>
      <c r="U44" s="966" t="str">
        <f t="shared" si="3"/>
        <v/>
      </c>
      <c r="V44" s="967" t="str">
        <f t="shared" si="4"/>
        <v/>
      </c>
      <c r="W44" s="915"/>
    </row>
    <row r="45" spans="1:23" ht="14.4" customHeight="1" x14ac:dyDescent="0.3">
      <c r="A45" s="973" t="s">
        <v>4460</v>
      </c>
      <c r="B45" s="924">
        <v>70</v>
      </c>
      <c r="C45" s="926">
        <v>64.81</v>
      </c>
      <c r="D45" s="927">
        <v>2.8</v>
      </c>
      <c r="E45" s="922">
        <v>76</v>
      </c>
      <c r="F45" s="906">
        <v>73.08</v>
      </c>
      <c r="G45" s="907">
        <v>2.9</v>
      </c>
      <c r="H45" s="916">
        <v>92</v>
      </c>
      <c r="I45" s="917">
        <v>87.14</v>
      </c>
      <c r="J45" s="919">
        <v>3</v>
      </c>
      <c r="K45" s="909">
        <v>0.89</v>
      </c>
      <c r="L45" s="908">
        <v>1</v>
      </c>
      <c r="M45" s="908">
        <v>12</v>
      </c>
      <c r="N45" s="910">
        <v>4</v>
      </c>
      <c r="O45" s="908" t="s">
        <v>4386</v>
      </c>
      <c r="P45" s="923" t="s">
        <v>4461</v>
      </c>
      <c r="Q45" s="911">
        <f t="shared" si="0"/>
        <v>22</v>
      </c>
      <c r="R45" s="911">
        <f t="shared" si="0"/>
        <v>22.33</v>
      </c>
      <c r="S45" s="924">
        <f t="shared" si="1"/>
        <v>368</v>
      </c>
      <c r="T45" s="924">
        <f t="shared" si="2"/>
        <v>276</v>
      </c>
      <c r="U45" s="924">
        <f t="shared" si="3"/>
        <v>-92</v>
      </c>
      <c r="V45" s="925">
        <f t="shared" si="4"/>
        <v>0.75</v>
      </c>
      <c r="W45" s="912">
        <v>11</v>
      </c>
    </row>
    <row r="46" spans="1:23" ht="14.4" customHeight="1" x14ac:dyDescent="0.3">
      <c r="A46" s="972" t="s">
        <v>4462</v>
      </c>
      <c r="B46" s="966">
        <v>7</v>
      </c>
      <c r="C46" s="968">
        <v>9.58</v>
      </c>
      <c r="D46" s="928">
        <v>3</v>
      </c>
      <c r="E46" s="959">
        <v>11</v>
      </c>
      <c r="F46" s="960">
        <v>15.76</v>
      </c>
      <c r="G46" s="914">
        <v>3.6</v>
      </c>
      <c r="H46" s="969">
        <v>4</v>
      </c>
      <c r="I46" s="970">
        <v>5.46</v>
      </c>
      <c r="J46" s="920">
        <v>3.5</v>
      </c>
      <c r="K46" s="962">
        <v>1.37</v>
      </c>
      <c r="L46" s="961">
        <v>2</v>
      </c>
      <c r="M46" s="961">
        <v>21</v>
      </c>
      <c r="N46" s="963">
        <v>7</v>
      </c>
      <c r="O46" s="961" t="s">
        <v>4386</v>
      </c>
      <c r="P46" s="964" t="s">
        <v>4463</v>
      </c>
      <c r="Q46" s="965">
        <f t="shared" si="0"/>
        <v>-3</v>
      </c>
      <c r="R46" s="965">
        <f t="shared" si="0"/>
        <v>-4.12</v>
      </c>
      <c r="S46" s="966">
        <f t="shared" si="1"/>
        <v>28</v>
      </c>
      <c r="T46" s="966">
        <f t="shared" si="2"/>
        <v>14</v>
      </c>
      <c r="U46" s="966">
        <f t="shared" si="3"/>
        <v>-14</v>
      </c>
      <c r="V46" s="967">
        <f t="shared" si="4"/>
        <v>0.5</v>
      </c>
      <c r="W46" s="915"/>
    </row>
    <row r="47" spans="1:23" ht="14.4" customHeight="1" x14ac:dyDescent="0.3">
      <c r="A47" s="972" t="s">
        <v>4464</v>
      </c>
      <c r="B47" s="966">
        <v>2</v>
      </c>
      <c r="C47" s="968">
        <v>3.53</v>
      </c>
      <c r="D47" s="928">
        <v>3.5</v>
      </c>
      <c r="E47" s="959"/>
      <c r="F47" s="960"/>
      <c r="G47" s="914"/>
      <c r="H47" s="969">
        <v>1</v>
      </c>
      <c r="I47" s="970">
        <v>4.63</v>
      </c>
      <c r="J47" s="920">
        <v>7</v>
      </c>
      <c r="K47" s="962">
        <v>1.76</v>
      </c>
      <c r="L47" s="961">
        <v>3</v>
      </c>
      <c r="M47" s="961">
        <v>27</v>
      </c>
      <c r="N47" s="963">
        <v>9</v>
      </c>
      <c r="O47" s="961" t="s">
        <v>4386</v>
      </c>
      <c r="P47" s="964" t="s">
        <v>4465</v>
      </c>
      <c r="Q47" s="965">
        <f t="shared" si="0"/>
        <v>-1</v>
      </c>
      <c r="R47" s="965">
        <f t="shared" si="0"/>
        <v>1.1000000000000001</v>
      </c>
      <c r="S47" s="966">
        <f t="shared" si="1"/>
        <v>9</v>
      </c>
      <c r="T47" s="966">
        <f t="shared" si="2"/>
        <v>7</v>
      </c>
      <c r="U47" s="966">
        <f t="shared" si="3"/>
        <v>-2</v>
      </c>
      <c r="V47" s="967">
        <f t="shared" si="4"/>
        <v>0.77777777777777779</v>
      </c>
      <c r="W47" s="915"/>
    </row>
    <row r="48" spans="1:23" ht="14.4" customHeight="1" x14ac:dyDescent="0.3">
      <c r="A48" s="973" t="s">
        <v>4466</v>
      </c>
      <c r="B48" s="903">
        <v>13</v>
      </c>
      <c r="C48" s="904">
        <v>7.17</v>
      </c>
      <c r="D48" s="905">
        <v>2.9</v>
      </c>
      <c r="E48" s="922">
        <v>7</v>
      </c>
      <c r="F48" s="906">
        <v>4.03</v>
      </c>
      <c r="G48" s="907">
        <v>3.1</v>
      </c>
      <c r="H48" s="908">
        <v>7</v>
      </c>
      <c r="I48" s="906">
        <v>3.96</v>
      </c>
      <c r="J48" s="907">
        <v>2.2999999999999998</v>
      </c>
      <c r="K48" s="909">
        <v>0.54</v>
      </c>
      <c r="L48" s="908">
        <v>1</v>
      </c>
      <c r="M48" s="908">
        <v>12</v>
      </c>
      <c r="N48" s="910">
        <v>4</v>
      </c>
      <c r="O48" s="908" t="s">
        <v>4386</v>
      </c>
      <c r="P48" s="923" t="s">
        <v>4467</v>
      </c>
      <c r="Q48" s="911">
        <f t="shared" si="0"/>
        <v>-6</v>
      </c>
      <c r="R48" s="911">
        <f t="shared" si="0"/>
        <v>-3.21</v>
      </c>
      <c r="S48" s="924">
        <f t="shared" si="1"/>
        <v>28</v>
      </c>
      <c r="T48" s="924">
        <f t="shared" si="2"/>
        <v>16.099999999999998</v>
      </c>
      <c r="U48" s="924">
        <f t="shared" si="3"/>
        <v>-11.900000000000002</v>
      </c>
      <c r="V48" s="925">
        <f t="shared" si="4"/>
        <v>0.57499999999999996</v>
      </c>
      <c r="W48" s="912"/>
    </row>
    <row r="49" spans="1:23" ht="14.4" customHeight="1" x14ac:dyDescent="0.3">
      <c r="A49" s="972" t="s">
        <v>4468</v>
      </c>
      <c r="B49" s="957"/>
      <c r="C49" s="958"/>
      <c r="D49" s="913"/>
      <c r="E49" s="959">
        <v>1</v>
      </c>
      <c r="F49" s="960">
        <v>0.8</v>
      </c>
      <c r="G49" s="914">
        <v>3</v>
      </c>
      <c r="H49" s="961"/>
      <c r="I49" s="960"/>
      <c r="J49" s="914"/>
      <c r="K49" s="962">
        <v>0.8</v>
      </c>
      <c r="L49" s="961">
        <v>2</v>
      </c>
      <c r="M49" s="961">
        <v>21</v>
      </c>
      <c r="N49" s="963">
        <v>7</v>
      </c>
      <c r="O49" s="961" t="s">
        <v>4386</v>
      </c>
      <c r="P49" s="964" t="s">
        <v>4469</v>
      </c>
      <c r="Q49" s="965">
        <f t="shared" si="0"/>
        <v>0</v>
      </c>
      <c r="R49" s="965">
        <f t="shared" si="0"/>
        <v>0</v>
      </c>
      <c r="S49" s="966" t="str">
        <f t="shared" si="1"/>
        <v/>
      </c>
      <c r="T49" s="966" t="str">
        <f t="shared" si="2"/>
        <v/>
      </c>
      <c r="U49" s="966" t="str">
        <f t="shared" si="3"/>
        <v/>
      </c>
      <c r="V49" s="967" t="str">
        <f t="shared" si="4"/>
        <v/>
      </c>
      <c r="W49" s="915"/>
    </row>
    <row r="50" spans="1:23" ht="14.4" customHeight="1" x14ac:dyDescent="0.3">
      <c r="A50" s="973" t="s">
        <v>4470</v>
      </c>
      <c r="B50" s="903">
        <v>5</v>
      </c>
      <c r="C50" s="904">
        <v>3.29</v>
      </c>
      <c r="D50" s="905">
        <v>3</v>
      </c>
      <c r="E50" s="922">
        <v>2</v>
      </c>
      <c r="F50" s="906">
        <v>1.22</v>
      </c>
      <c r="G50" s="907">
        <v>3</v>
      </c>
      <c r="H50" s="908">
        <v>4</v>
      </c>
      <c r="I50" s="906">
        <v>2.63</v>
      </c>
      <c r="J50" s="907">
        <v>3.8</v>
      </c>
      <c r="K50" s="909">
        <v>0.61</v>
      </c>
      <c r="L50" s="908">
        <v>1</v>
      </c>
      <c r="M50" s="908">
        <v>12</v>
      </c>
      <c r="N50" s="910">
        <v>4</v>
      </c>
      <c r="O50" s="908" t="s">
        <v>4386</v>
      </c>
      <c r="P50" s="923" t="s">
        <v>4471</v>
      </c>
      <c r="Q50" s="911">
        <f t="shared" si="0"/>
        <v>-1</v>
      </c>
      <c r="R50" s="911">
        <f t="shared" si="0"/>
        <v>-0.66000000000000014</v>
      </c>
      <c r="S50" s="924">
        <f t="shared" si="1"/>
        <v>16</v>
      </c>
      <c r="T50" s="924">
        <f t="shared" si="2"/>
        <v>15.2</v>
      </c>
      <c r="U50" s="924">
        <f t="shared" si="3"/>
        <v>-0.80000000000000071</v>
      </c>
      <c r="V50" s="925">
        <f t="shared" si="4"/>
        <v>0.95</v>
      </c>
      <c r="W50" s="912">
        <v>1</v>
      </c>
    </row>
    <row r="51" spans="1:23" ht="14.4" customHeight="1" x14ac:dyDescent="0.3">
      <c r="A51" s="972" t="s">
        <v>4472</v>
      </c>
      <c r="B51" s="957">
        <v>1</v>
      </c>
      <c r="C51" s="958">
        <v>1.25</v>
      </c>
      <c r="D51" s="913">
        <v>3</v>
      </c>
      <c r="E51" s="959">
        <v>1</v>
      </c>
      <c r="F51" s="960">
        <v>1.25</v>
      </c>
      <c r="G51" s="914">
        <v>13</v>
      </c>
      <c r="H51" s="961"/>
      <c r="I51" s="960"/>
      <c r="J51" s="914"/>
      <c r="K51" s="962">
        <v>1.25</v>
      </c>
      <c r="L51" s="961">
        <v>3</v>
      </c>
      <c r="M51" s="961">
        <v>27</v>
      </c>
      <c r="N51" s="963">
        <v>9</v>
      </c>
      <c r="O51" s="961" t="s">
        <v>4386</v>
      </c>
      <c r="P51" s="964" t="s">
        <v>4471</v>
      </c>
      <c r="Q51" s="965">
        <f t="shared" si="0"/>
        <v>-1</v>
      </c>
      <c r="R51" s="965">
        <f t="shared" si="0"/>
        <v>-1.25</v>
      </c>
      <c r="S51" s="966" t="str">
        <f t="shared" si="1"/>
        <v/>
      </c>
      <c r="T51" s="966" t="str">
        <f t="shared" si="2"/>
        <v/>
      </c>
      <c r="U51" s="966" t="str">
        <f t="shared" si="3"/>
        <v/>
      </c>
      <c r="V51" s="967" t="str">
        <f t="shared" si="4"/>
        <v/>
      </c>
      <c r="W51" s="915"/>
    </row>
    <row r="52" spans="1:23" ht="14.4" customHeight="1" x14ac:dyDescent="0.3">
      <c r="A52" s="973" t="s">
        <v>4473</v>
      </c>
      <c r="B52" s="924">
        <v>32</v>
      </c>
      <c r="C52" s="926">
        <v>19.23</v>
      </c>
      <c r="D52" s="927">
        <v>2.9</v>
      </c>
      <c r="E52" s="916">
        <v>38</v>
      </c>
      <c r="F52" s="917">
        <v>22.84</v>
      </c>
      <c r="G52" s="919">
        <v>3.1</v>
      </c>
      <c r="H52" s="908">
        <v>24</v>
      </c>
      <c r="I52" s="906">
        <v>14.66</v>
      </c>
      <c r="J52" s="918">
        <v>3.1</v>
      </c>
      <c r="K52" s="909">
        <v>0.6</v>
      </c>
      <c r="L52" s="908">
        <v>1</v>
      </c>
      <c r="M52" s="908">
        <v>9</v>
      </c>
      <c r="N52" s="910">
        <v>3</v>
      </c>
      <c r="O52" s="908" t="s">
        <v>4386</v>
      </c>
      <c r="P52" s="923" t="s">
        <v>4474</v>
      </c>
      <c r="Q52" s="911">
        <f t="shared" si="0"/>
        <v>-8</v>
      </c>
      <c r="R52" s="911">
        <f t="shared" si="0"/>
        <v>-4.57</v>
      </c>
      <c r="S52" s="924">
        <f t="shared" si="1"/>
        <v>72</v>
      </c>
      <c r="T52" s="924">
        <f t="shared" si="2"/>
        <v>74.400000000000006</v>
      </c>
      <c r="U52" s="924">
        <f t="shared" si="3"/>
        <v>2.4000000000000057</v>
      </c>
      <c r="V52" s="925">
        <f t="shared" si="4"/>
        <v>1.0333333333333334</v>
      </c>
      <c r="W52" s="912">
        <v>5</v>
      </c>
    </row>
    <row r="53" spans="1:23" ht="14.4" customHeight="1" x14ac:dyDescent="0.3">
      <c r="A53" s="972" t="s">
        <v>4475</v>
      </c>
      <c r="B53" s="966"/>
      <c r="C53" s="968"/>
      <c r="D53" s="928"/>
      <c r="E53" s="969">
        <v>1</v>
      </c>
      <c r="F53" s="970">
        <v>0.62</v>
      </c>
      <c r="G53" s="920">
        <v>3</v>
      </c>
      <c r="H53" s="961">
        <v>2</v>
      </c>
      <c r="I53" s="960">
        <v>1.24</v>
      </c>
      <c r="J53" s="914">
        <v>3</v>
      </c>
      <c r="K53" s="962">
        <v>0.62</v>
      </c>
      <c r="L53" s="961">
        <v>1</v>
      </c>
      <c r="M53" s="961">
        <v>12</v>
      </c>
      <c r="N53" s="963">
        <v>4</v>
      </c>
      <c r="O53" s="961" t="s">
        <v>4386</v>
      </c>
      <c r="P53" s="964" t="s">
        <v>4476</v>
      </c>
      <c r="Q53" s="965">
        <f t="shared" si="0"/>
        <v>2</v>
      </c>
      <c r="R53" s="965">
        <f t="shared" si="0"/>
        <v>1.24</v>
      </c>
      <c r="S53" s="966">
        <f t="shared" si="1"/>
        <v>8</v>
      </c>
      <c r="T53" s="966">
        <f t="shared" si="2"/>
        <v>6</v>
      </c>
      <c r="U53" s="966">
        <f t="shared" si="3"/>
        <v>-2</v>
      </c>
      <c r="V53" s="967">
        <f t="shared" si="4"/>
        <v>0.75</v>
      </c>
      <c r="W53" s="915"/>
    </row>
    <row r="54" spans="1:23" ht="14.4" customHeight="1" x14ac:dyDescent="0.3">
      <c r="A54" s="973" t="s">
        <v>4477</v>
      </c>
      <c r="B54" s="924"/>
      <c r="C54" s="926"/>
      <c r="D54" s="927"/>
      <c r="E54" s="922"/>
      <c r="F54" s="906"/>
      <c r="G54" s="907"/>
      <c r="H54" s="916">
        <v>1</v>
      </c>
      <c r="I54" s="917">
        <v>0.49</v>
      </c>
      <c r="J54" s="918">
        <v>9</v>
      </c>
      <c r="K54" s="909">
        <v>0.49</v>
      </c>
      <c r="L54" s="908">
        <v>2</v>
      </c>
      <c r="M54" s="908">
        <v>21</v>
      </c>
      <c r="N54" s="910">
        <v>7</v>
      </c>
      <c r="O54" s="908" t="s">
        <v>4386</v>
      </c>
      <c r="P54" s="923" t="s">
        <v>4478</v>
      </c>
      <c r="Q54" s="911">
        <f t="shared" si="0"/>
        <v>1</v>
      </c>
      <c r="R54" s="911">
        <f t="shared" si="0"/>
        <v>0.49</v>
      </c>
      <c r="S54" s="924">
        <f t="shared" si="1"/>
        <v>7</v>
      </c>
      <c r="T54" s="924">
        <f t="shared" si="2"/>
        <v>9</v>
      </c>
      <c r="U54" s="924">
        <f t="shared" si="3"/>
        <v>2</v>
      </c>
      <c r="V54" s="925">
        <f t="shared" si="4"/>
        <v>1.2857142857142858</v>
      </c>
      <c r="W54" s="912">
        <v>2</v>
      </c>
    </row>
    <row r="55" spans="1:23" ht="14.4" customHeight="1" x14ac:dyDescent="0.3">
      <c r="A55" s="973" t="s">
        <v>4479</v>
      </c>
      <c r="B55" s="924"/>
      <c r="C55" s="926"/>
      <c r="D55" s="927"/>
      <c r="E55" s="916">
        <v>1</v>
      </c>
      <c r="F55" s="917">
        <v>0.47</v>
      </c>
      <c r="G55" s="919">
        <v>6</v>
      </c>
      <c r="H55" s="908"/>
      <c r="I55" s="906"/>
      <c r="J55" s="907"/>
      <c r="K55" s="909">
        <v>0.47</v>
      </c>
      <c r="L55" s="908">
        <v>2</v>
      </c>
      <c r="M55" s="908">
        <v>21</v>
      </c>
      <c r="N55" s="910">
        <v>7</v>
      </c>
      <c r="O55" s="908" t="s">
        <v>4386</v>
      </c>
      <c r="P55" s="923" t="s">
        <v>4480</v>
      </c>
      <c r="Q55" s="911">
        <f t="shared" si="0"/>
        <v>0</v>
      </c>
      <c r="R55" s="911">
        <f t="shared" si="0"/>
        <v>0</v>
      </c>
      <c r="S55" s="924" t="str">
        <f t="shared" si="1"/>
        <v/>
      </c>
      <c r="T55" s="924" t="str">
        <f t="shared" si="2"/>
        <v/>
      </c>
      <c r="U55" s="924" t="str">
        <f t="shared" si="3"/>
        <v/>
      </c>
      <c r="V55" s="925" t="str">
        <f t="shared" si="4"/>
        <v/>
      </c>
      <c r="W55" s="912"/>
    </row>
    <row r="56" spans="1:23" ht="14.4" customHeight="1" x14ac:dyDescent="0.3">
      <c r="A56" s="972" t="s">
        <v>4481</v>
      </c>
      <c r="B56" s="966">
        <v>1</v>
      </c>
      <c r="C56" s="968">
        <v>0.63</v>
      </c>
      <c r="D56" s="928">
        <v>4</v>
      </c>
      <c r="E56" s="969"/>
      <c r="F56" s="970"/>
      <c r="G56" s="920"/>
      <c r="H56" s="961"/>
      <c r="I56" s="960"/>
      <c r="J56" s="914"/>
      <c r="K56" s="962">
        <v>0.63</v>
      </c>
      <c r="L56" s="961">
        <v>3</v>
      </c>
      <c r="M56" s="961">
        <v>27</v>
      </c>
      <c r="N56" s="963">
        <v>9</v>
      </c>
      <c r="O56" s="961" t="s">
        <v>4386</v>
      </c>
      <c r="P56" s="964" t="s">
        <v>4482</v>
      </c>
      <c r="Q56" s="965">
        <f t="shared" si="0"/>
        <v>-1</v>
      </c>
      <c r="R56" s="965">
        <f t="shared" si="0"/>
        <v>-0.63</v>
      </c>
      <c r="S56" s="966" t="str">
        <f t="shared" si="1"/>
        <v/>
      </c>
      <c r="T56" s="966" t="str">
        <f t="shared" si="2"/>
        <v/>
      </c>
      <c r="U56" s="966" t="str">
        <f t="shared" si="3"/>
        <v/>
      </c>
      <c r="V56" s="967" t="str">
        <f t="shared" si="4"/>
        <v/>
      </c>
      <c r="W56" s="915"/>
    </row>
    <row r="57" spans="1:23" ht="14.4" customHeight="1" x14ac:dyDescent="0.3">
      <c r="A57" s="973" t="s">
        <v>4483</v>
      </c>
      <c r="B57" s="924">
        <v>5</v>
      </c>
      <c r="C57" s="926">
        <v>1.62</v>
      </c>
      <c r="D57" s="927">
        <v>2.8</v>
      </c>
      <c r="E57" s="922">
        <v>7</v>
      </c>
      <c r="F57" s="906">
        <v>2.44</v>
      </c>
      <c r="G57" s="907">
        <v>3</v>
      </c>
      <c r="H57" s="916">
        <v>8</v>
      </c>
      <c r="I57" s="917">
        <v>2.58</v>
      </c>
      <c r="J57" s="918">
        <v>3.1</v>
      </c>
      <c r="K57" s="909">
        <v>0.32</v>
      </c>
      <c r="L57" s="908">
        <v>1</v>
      </c>
      <c r="M57" s="908">
        <v>9</v>
      </c>
      <c r="N57" s="910">
        <v>3</v>
      </c>
      <c r="O57" s="908" t="s">
        <v>4386</v>
      </c>
      <c r="P57" s="923" t="s">
        <v>4484</v>
      </c>
      <c r="Q57" s="911">
        <f t="shared" si="0"/>
        <v>3</v>
      </c>
      <c r="R57" s="911">
        <f t="shared" si="0"/>
        <v>0.96</v>
      </c>
      <c r="S57" s="924">
        <f t="shared" si="1"/>
        <v>24</v>
      </c>
      <c r="T57" s="924">
        <f t="shared" si="2"/>
        <v>24.8</v>
      </c>
      <c r="U57" s="924">
        <f t="shared" si="3"/>
        <v>0.80000000000000071</v>
      </c>
      <c r="V57" s="925">
        <f t="shared" si="4"/>
        <v>1.0333333333333334</v>
      </c>
      <c r="W57" s="912">
        <v>4</v>
      </c>
    </row>
    <row r="58" spans="1:23" ht="14.4" customHeight="1" x14ac:dyDescent="0.3">
      <c r="A58" s="972" t="s">
        <v>4485</v>
      </c>
      <c r="B58" s="966">
        <v>2</v>
      </c>
      <c r="C58" s="968">
        <v>0.85</v>
      </c>
      <c r="D58" s="928">
        <v>3</v>
      </c>
      <c r="E58" s="959">
        <v>2</v>
      </c>
      <c r="F58" s="960">
        <v>0.85</v>
      </c>
      <c r="G58" s="914">
        <v>2.5</v>
      </c>
      <c r="H58" s="969">
        <v>4</v>
      </c>
      <c r="I58" s="970">
        <v>1.8</v>
      </c>
      <c r="J58" s="920">
        <v>3.5</v>
      </c>
      <c r="K58" s="962">
        <v>0.42</v>
      </c>
      <c r="L58" s="961">
        <v>2</v>
      </c>
      <c r="M58" s="961">
        <v>15</v>
      </c>
      <c r="N58" s="963">
        <v>5</v>
      </c>
      <c r="O58" s="961" t="s">
        <v>4386</v>
      </c>
      <c r="P58" s="964" t="s">
        <v>4486</v>
      </c>
      <c r="Q58" s="965">
        <f t="shared" si="0"/>
        <v>2</v>
      </c>
      <c r="R58" s="965">
        <f t="shared" si="0"/>
        <v>0.95000000000000007</v>
      </c>
      <c r="S58" s="966">
        <f t="shared" si="1"/>
        <v>20</v>
      </c>
      <c r="T58" s="966">
        <f t="shared" si="2"/>
        <v>14</v>
      </c>
      <c r="U58" s="966">
        <f t="shared" si="3"/>
        <v>-6</v>
      </c>
      <c r="V58" s="967">
        <f t="shared" si="4"/>
        <v>0.7</v>
      </c>
      <c r="W58" s="915"/>
    </row>
    <row r="59" spans="1:23" ht="14.4" customHeight="1" x14ac:dyDescent="0.3">
      <c r="A59" s="973" t="s">
        <v>4487</v>
      </c>
      <c r="B59" s="903">
        <v>1</v>
      </c>
      <c r="C59" s="904">
        <v>0.47</v>
      </c>
      <c r="D59" s="905">
        <v>2</v>
      </c>
      <c r="E59" s="922"/>
      <c r="F59" s="906"/>
      <c r="G59" s="907"/>
      <c r="H59" s="908"/>
      <c r="I59" s="906"/>
      <c r="J59" s="907"/>
      <c r="K59" s="909">
        <v>0.68</v>
      </c>
      <c r="L59" s="908">
        <v>3</v>
      </c>
      <c r="M59" s="908">
        <v>24</v>
      </c>
      <c r="N59" s="910">
        <v>8</v>
      </c>
      <c r="O59" s="908" t="s">
        <v>4386</v>
      </c>
      <c r="P59" s="923" t="s">
        <v>4488</v>
      </c>
      <c r="Q59" s="911">
        <f t="shared" si="0"/>
        <v>-1</v>
      </c>
      <c r="R59" s="911">
        <f t="shared" si="0"/>
        <v>-0.47</v>
      </c>
      <c r="S59" s="924" t="str">
        <f t="shared" si="1"/>
        <v/>
      </c>
      <c r="T59" s="924" t="str">
        <f t="shared" si="2"/>
        <v/>
      </c>
      <c r="U59" s="924" t="str">
        <f t="shared" si="3"/>
        <v/>
      </c>
      <c r="V59" s="925" t="str">
        <f t="shared" si="4"/>
        <v/>
      </c>
      <c r="W59" s="912"/>
    </row>
    <row r="60" spans="1:23" ht="14.4" customHeight="1" x14ac:dyDescent="0.3">
      <c r="A60" s="972" t="s">
        <v>4489</v>
      </c>
      <c r="B60" s="957">
        <v>3</v>
      </c>
      <c r="C60" s="958">
        <v>2.4700000000000002</v>
      </c>
      <c r="D60" s="913">
        <v>11.7</v>
      </c>
      <c r="E60" s="959"/>
      <c r="F60" s="960"/>
      <c r="G60" s="914"/>
      <c r="H60" s="961"/>
      <c r="I60" s="960"/>
      <c r="J60" s="914"/>
      <c r="K60" s="962">
        <v>0.89</v>
      </c>
      <c r="L60" s="961">
        <v>4</v>
      </c>
      <c r="M60" s="961">
        <v>33</v>
      </c>
      <c r="N60" s="963">
        <v>11</v>
      </c>
      <c r="O60" s="961" t="s">
        <v>4386</v>
      </c>
      <c r="P60" s="964" t="s">
        <v>4490</v>
      </c>
      <c r="Q60" s="965">
        <f t="shared" si="0"/>
        <v>-3</v>
      </c>
      <c r="R60" s="965">
        <f t="shared" si="0"/>
        <v>-2.4700000000000002</v>
      </c>
      <c r="S60" s="966" t="str">
        <f t="shared" si="1"/>
        <v/>
      </c>
      <c r="T60" s="966" t="str">
        <f t="shared" si="2"/>
        <v/>
      </c>
      <c r="U60" s="966" t="str">
        <f t="shared" si="3"/>
        <v/>
      </c>
      <c r="V60" s="967" t="str">
        <f t="shared" si="4"/>
        <v/>
      </c>
      <c r="W60" s="915"/>
    </row>
    <row r="61" spans="1:23" ht="14.4" customHeight="1" x14ac:dyDescent="0.3">
      <c r="A61" s="973" t="s">
        <v>4491</v>
      </c>
      <c r="B61" s="903">
        <v>3</v>
      </c>
      <c r="C61" s="904">
        <v>1.29</v>
      </c>
      <c r="D61" s="905">
        <v>2.7</v>
      </c>
      <c r="E61" s="922">
        <v>1</v>
      </c>
      <c r="F61" s="906">
        <v>0.43</v>
      </c>
      <c r="G61" s="907">
        <v>5</v>
      </c>
      <c r="H61" s="908">
        <v>1</v>
      </c>
      <c r="I61" s="906">
        <v>0.44</v>
      </c>
      <c r="J61" s="907">
        <v>2</v>
      </c>
      <c r="K61" s="909">
        <v>0.43</v>
      </c>
      <c r="L61" s="908">
        <v>2</v>
      </c>
      <c r="M61" s="908">
        <v>18</v>
      </c>
      <c r="N61" s="910">
        <v>6</v>
      </c>
      <c r="O61" s="908" t="s">
        <v>4386</v>
      </c>
      <c r="P61" s="923" t="s">
        <v>4492</v>
      </c>
      <c r="Q61" s="911">
        <f t="shared" si="0"/>
        <v>-2</v>
      </c>
      <c r="R61" s="911">
        <f t="shared" si="0"/>
        <v>-0.85000000000000009</v>
      </c>
      <c r="S61" s="924">
        <f t="shared" si="1"/>
        <v>6</v>
      </c>
      <c r="T61" s="924">
        <f t="shared" si="2"/>
        <v>2</v>
      </c>
      <c r="U61" s="924">
        <f t="shared" si="3"/>
        <v>-4</v>
      </c>
      <c r="V61" s="925">
        <f t="shared" si="4"/>
        <v>0.33333333333333331</v>
      </c>
      <c r="W61" s="912"/>
    </row>
    <row r="62" spans="1:23" ht="14.4" customHeight="1" x14ac:dyDescent="0.3">
      <c r="A62" s="972" t="s">
        <v>4493</v>
      </c>
      <c r="B62" s="957">
        <v>2</v>
      </c>
      <c r="C62" s="958">
        <v>1.01</v>
      </c>
      <c r="D62" s="913">
        <v>2.5</v>
      </c>
      <c r="E62" s="959"/>
      <c r="F62" s="960"/>
      <c r="G62" s="914"/>
      <c r="H62" s="961">
        <v>1</v>
      </c>
      <c r="I62" s="960">
        <v>0.51</v>
      </c>
      <c r="J62" s="914">
        <v>4</v>
      </c>
      <c r="K62" s="962">
        <v>0.5</v>
      </c>
      <c r="L62" s="961">
        <v>2</v>
      </c>
      <c r="M62" s="961">
        <v>21</v>
      </c>
      <c r="N62" s="963">
        <v>7</v>
      </c>
      <c r="O62" s="961" t="s">
        <v>4386</v>
      </c>
      <c r="P62" s="964" t="s">
        <v>4494</v>
      </c>
      <c r="Q62" s="965">
        <f t="shared" si="0"/>
        <v>-1</v>
      </c>
      <c r="R62" s="965">
        <f t="shared" si="0"/>
        <v>-0.5</v>
      </c>
      <c r="S62" s="966">
        <f t="shared" si="1"/>
        <v>7</v>
      </c>
      <c r="T62" s="966">
        <f t="shared" si="2"/>
        <v>4</v>
      </c>
      <c r="U62" s="966">
        <f t="shared" si="3"/>
        <v>-3</v>
      </c>
      <c r="V62" s="967">
        <f t="shared" si="4"/>
        <v>0.5714285714285714</v>
      </c>
      <c r="W62" s="915"/>
    </row>
    <row r="63" spans="1:23" ht="14.4" customHeight="1" x14ac:dyDescent="0.3">
      <c r="A63" s="973" t="s">
        <v>4495</v>
      </c>
      <c r="B63" s="924"/>
      <c r="C63" s="926"/>
      <c r="D63" s="927"/>
      <c r="E63" s="922"/>
      <c r="F63" s="906"/>
      <c r="G63" s="907"/>
      <c r="H63" s="916">
        <v>1</v>
      </c>
      <c r="I63" s="917">
        <v>0.44</v>
      </c>
      <c r="J63" s="918">
        <v>8</v>
      </c>
      <c r="K63" s="909">
        <v>0.42</v>
      </c>
      <c r="L63" s="908">
        <v>2</v>
      </c>
      <c r="M63" s="908">
        <v>18</v>
      </c>
      <c r="N63" s="910">
        <v>6</v>
      </c>
      <c r="O63" s="908" t="s">
        <v>4386</v>
      </c>
      <c r="P63" s="923" t="s">
        <v>4496</v>
      </c>
      <c r="Q63" s="911">
        <f t="shared" si="0"/>
        <v>1</v>
      </c>
      <c r="R63" s="911">
        <f t="shared" si="0"/>
        <v>0.44</v>
      </c>
      <c r="S63" s="924">
        <f t="shared" si="1"/>
        <v>6</v>
      </c>
      <c r="T63" s="924">
        <f t="shared" si="2"/>
        <v>8</v>
      </c>
      <c r="U63" s="924">
        <f t="shared" si="3"/>
        <v>2</v>
      </c>
      <c r="V63" s="925">
        <f t="shared" si="4"/>
        <v>1.3333333333333333</v>
      </c>
      <c r="W63" s="912">
        <v>2</v>
      </c>
    </row>
    <row r="64" spans="1:23" ht="14.4" customHeight="1" x14ac:dyDescent="0.3">
      <c r="A64" s="973" t="s">
        <v>4497</v>
      </c>
      <c r="B64" s="924"/>
      <c r="C64" s="926"/>
      <c r="D64" s="927"/>
      <c r="E64" s="922"/>
      <c r="F64" s="906"/>
      <c r="G64" s="907"/>
      <c r="H64" s="916">
        <v>1</v>
      </c>
      <c r="I64" s="917">
        <v>0.51</v>
      </c>
      <c r="J64" s="919">
        <v>3</v>
      </c>
      <c r="K64" s="909">
        <v>0.51</v>
      </c>
      <c r="L64" s="908">
        <v>2</v>
      </c>
      <c r="M64" s="908">
        <v>21</v>
      </c>
      <c r="N64" s="910">
        <v>7</v>
      </c>
      <c r="O64" s="908" t="s">
        <v>4386</v>
      </c>
      <c r="P64" s="923" t="s">
        <v>4498</v>
      </c>
      <c r="Q64" s="911">
        <f t="shared" si="0"/>
        <v>1</v>
      </c>
      <c r="R64" s="911">
        <f t="shared" si="0"/>
        <v>0.51</v>
      </c>
      <c r="S64" s="924">
        <f t="shared" si="1"/>
        <v>7</v>
      </c>
      <c r="T64" s="924">
        <f t="shared" si="2"/>
        <v>3</v>
      </c>
      <c r="U64" s="924">
        <f t="shared" si="3"/>
        <v>-4</v>
      </c>
      <c r="V64" s="925">
        <f t="shared" si="4"/>
        <v>0.42857142857142855</v>
      </c>
      <c r="W64" s="912"/>
    </row>
    <row r="65" spans="1:23" ht="14.4" customHeight="1" x14ac:dyDescent="0.3">
      <c r="A65" s="973" t="s">
        <v>4499</v>
      </c>
      <c r="B65" s="924">
        <v>1</v>
      </c>
      <c r="C65" s="926">
        <v>0.36</v>
      </c>
      <c r="D65" s="927">
        <v>5</v>
      </c>
      <c r="E65" s="922"/>
      <c r="F65" s="906"/>
      <c r="G65" s="907"/>
      <c r="H65" s="916">
        <v>2</v>
      </c>
      <c r="I65" s="917">
        <v>0.7</v>
      </c>
      <c r="J65" s="919">
        <v>3.5</v>
      </c>
      <c r="K65" s="909">
        <v>0.35</v>
      </c>
      <c r="L65" s="908">
        <v>1</v>
      </c>
      <c r="M65" s="908">
        <v>12</v>
      </c>
      <c r="N65" s="910">
        <v>4</v>
      </c>
      <c r="O65" s="908" t="s">
        <v>4386</v>
      </c>
      <c r="P65" s="923" t="s">
        <v>4500</v>
      </c>
      <c r="Q65" s="911">
        <f t="shared" si="0"/>
        <v>1</v>
      </c>
      <c r="R65" s="911">
        <f t="shared" si="0"/>
        <v>0.33999999999999997</v>
      </c>
      <c r="S65" s="924">
        <f t="shared" si="1"/>
        <v>8</v>
      </c>
      <c r="T65" s="924">
        <f t="shared" si="2"/>
        <v>7</v>
      </c>
      <c r="U65" s="924">
        <f t="shared" si="3"/>
        <v>-1</v>
      </c>
      <c r="V65" s="925">
        <f t="shared" si="4"/>
        <v>0.875</v>
      </c>
      <c r="W65" s="912"/>
    </row>
    <row r="66" spans="1:23" ht="14.4" customHeight="1" x14ac:dyDescent="0.3">
      <c r="A66" s="973" t="s">
        <v>4501</v>
      </c>
      <c r="B66" s="924">
        <v>2</v>
      </c>
      <c r="C66" s="926">
        <v>0.62</v>
      </c>
      <c r="D66" s="927">
        <v>2</v>
      </c>
      <c r="E66" s="916">
        <v>5</v>
      </c>
      <c r="F66" s="917">
        <v>1.52</v>
      </c>
      <c r="G66" s="919">
        <v>3.4</v>
      </c>
      <c r="H66" s="908">
        <v>4</v>
      </c>
      <c r="I66" s="906">
        <v>1.22</v>
      </c>
      <c r="J66" s="907">
        <v>1.8</v>
      </c>
      <c r="K66" s="909">
        <v>0.3</v>
      </c>
      <c r="L66" s="908">
        <v>1</v>
      </c>
      <c r="M66" s="908">
        <v>12</v>
      </c>
      <c r="N66" s="910">
        <v>4</v>
      </c>
      <c r="O66" s="908" t="s">
        <v>4386</v>
      </c>
      <c r="P66" s="923" t="s">
        <v>4502</v>
      </c>
      <c r="Q66" s="911">
        <f t="shared" si="0"/>
        <v>2</v>
      </c>
      <c r="R66" s="911">
        <f t="shared" si="0"/>
        <v>0.6</v>
      </c>
      <c r="S66" s="924">
        <f t="shared" si="1"/>
        <v>16</v>
      </c>
      <c r="T66" s="924">
        <f t="shared" si="2"/>
        <v>7.2</v>
      </c>
      <c r="U66" s="924">
        <f t="shared" si="3"/>
        <v>-8.8000000000000007</v>
      </c>
      <c r="V66" s="925">
        <f t="shared" si="4"/>
        <v>0.45</v>
      </c>
      <c r="W66" s="912"/>
    </row>
    <row r="67" spans="1:23" ht="14.4" customHeight="1" x14ac:dyDescent="0.3">
      <c r="A67" s="972" t="s">
        <v>4503</v>
      </c>
      <c r="B67" s="966"/>
      <c r="C67" s="968"/>
      <c r="D67" s="928"/>
      <c r="E67" s="969">
        <v>1</v>
      </c>
      <c r="F67" s="970">
        <v>0.81</v>
      </c>
      <c r="G67" s="920">
        <v>12</v>
      </c>
      <c r="H67" s="961"/>
      <c r="I67" s="960"/>
      <c r="J67" s="914"/>
      <c r="K67" s="962">
        <v>0.68</v>
      </c>
      <c r="L67" s="961">
        <v>3</v>
      </c>
      <c r="M67" s="961">
        <v>24</v>
      </c>
      <c r="N67" s="963">
        <v>8</v>
      </c>
      <c r="O67" s="961" t="s">
        <v>4386</v>
      </c>
      <c r="P67" s="964" t="s">
        <v>4504</v>
      </c>
      <c r="Q67" s="965">
        <f t="shared" si="0"/>
        <v>0</v>
      </c>
      <c r="R67" s="965">
        <f t="shared" si="0"/>
        <v>0</v>
      </c>
      <c r="S67" s="966" t="str">
        <f t="shared" si="1"/>
        <v/>
      </c>
      <c r="T67" s="966" t="str">
        <f t="shared" si="2"/>
        <v/>
      </c>
      <c r="U67" s="966" t="str">
        <f t="shared" si="3"/>
        <v/>
      </c>
      <c r="V67" s="967" t="str">
        <f t="shared" si="4"/>
        <v/>
      </c>
      <c r="W67" s="915"/>
    </row>
    <row r="68" spans="1:23" ht="14.4" customHeight="1" x14ac:dyDescent="0.3">
      <c r="A68" s="973" t="s">
        <v>4505</v>
      </c>
      <c r="B68" s="924">
        <v>1</v>
      </c>
      <c r="C68" s="926">
        <v>1.45</v>
      </c>
      <c r="D68" s="927">
        <v>19</v>
      </c>
      <c r="E68" s="922">
        <v>1</v>
      </c>
      <c r="F68" s="906">
        <v>1.24</v>
      </c>
      <c r="G68" s="907">
        <v>9</v>
      </c>
      <c r="H68" s="916">
        <v>1</v>
      </c>
      <c r="I68" s="917">
        <v>1.24</v>
      </c>
      <c r="J68" s="919">
        <v>7</v>
      </c>
      <c r="K68" s="909">
        <v>1.24</v>
      </c>
      <c r="L68" s="908">
        <v>4</v>
      </c>
      <c r="M68" s="908">
        <v>33</v>
      </c>
      <c r="N68" s="910">
        <v>11</v>
      </c>
      <c r="O68" s="908" t="s">
        <v>4386</v>
      </c>
      <c r="P68" s="923" t="s">
        <v>4506</v>
      </c>
      <c r="Q68" s="911">
        <f t="shared" si="0"/>
        <v>0</v>
      </c>
      <c r="R68" s="911">
        <f t="shared" si="0"/>
        <v>-0.20999999999999996</v>
      </c>
      <c r="S68" s="924">
        <f t="shared" si="1"/>
        <v>11</v>
      </c>
      <c r="T68" s="924">
        <f t="shared" si="2"/>
        <v>7</v>
      </c>
      <c r="U68" s="924">
        <f t="shared" si="3"/>
        <v>-4</v>
      </c>
      <c r="V68" s="925">
        <f t="shared" si="4"/>
        <v>0.63636363636363635</v>
      </c>
      <c r="W68" s="912"/>
    </row>
    <row r="69" spans="1:23" ht="14.4" customHeight="1" x14ac:dyDescent="0.3">
      <c r="A69" s="973" t="s">
        <v>4507</v>
      </c>
      <c r="B69" s="903">
        <v>1</v>
      </c>
      <c r="C69" s="904">
        <v>0.45</v>
      </c>
      <c r="D69" s="905">
        <v>3</v>
      </c>
      <c r="E69" s="922">
        <v>1</v>
      </c>
      <c r="F69" s="906">
        <v>0.46</v>
      </c>
      <c r="G69" s="907">
        <v>7</v>
      </c>
      <c r="H69" s="908">
        <v>1</v>
      </c>
      <c r="I69" s="906">
        <v>0.98</v>
      </c>
      <c r="J69" s="907">
        <v>3</v>
      </c>
      <c r="K69" s="909">
        <v>0.45</v>
      </c>
      <c r="L69" s="908">
        <v>1</v>
      </c>
      <c r="M69" s="908">
        <v>12</v>
      </c>
      <c r="N69" s="910">
        <v>4</v>
      </c>
      <c r="O69" s="908" t="s">
        <v>4386</v>
      </c>
      <c r="P69" s="923" t="s">
        <v>4508</v>
      </c>
      <c r="Q69" s="911">
        <f t="shared" si="0"/>
        <v>0</v>
      </c>
      <c r="R69" s="911">
        <f t="shared" si="0"/>
        <v>0.53</v>
      </c>
      <c r="S69" s="924">
        <f t="shared" si="1"/>
        <v>4</v>
      </c>
      <c r="T69" s="924">
        <f t="shared" si="2"/>
        <v>3</v>
      </c>
      <c r="U69" s="924">
        <f t="shared" si="3"/>
        <v>-1</v>
      </c>
      <c r="V69" s="925">
        <f t="shared" si="4"/>
        <v>0.75</v>
      </c>
      <c r="W69" s="912"/>
    </row>
    <row r="70" spans="1:23" ht="14.4" customHeight="1" x14ac:dyDescent="0.3">
      <c r="A70" s="972" t="s">
        <v>4509</v>
      </c>
      <c r="B70" s="957">
        <v>1</v>
      </c>
      <c r="C70" s="958">
        <v>0.72</v>
      </c>
      <c r="D70" s="913">
        <v>5</v>
      </c>
      <c r="E70" s="959"/>
      <c r="F70" s="960"/>
      <c r="G70" s="914"/>
      <c r="H70" s="961"/>
      <c r="I70" s="960"/>
      <c r="J70" s="914"/>
      <c r="K70" s="962">
        <v>0.72</v>
      </c>
      <c r="L70" s="961">
        <v>3</v>
      </c>
      <c r="M70" s="961">
        <v>24</v>
      </c>
      <c r="N70" s="963">
        <v>8</v>
      </c>
      <c r="O70" s="961" t="s">
        <v>4386</v>
      </c>
      <c r="P70" s="964" t="s">
        <v>4508</v>
      </c>
      <c r="Q70" s="965">
        <f t="shared" ref="Q70:R101" si="5">H70-B70</f>
        <v>-1</v>
      </c>
      <c r="R70" s="965">
        <f t="shared" si="5"/>
        <v>-0.72</v>
      </c>
      <c r="S70" s="966" t="str">
        <f t="shared" ref="S70:S101" si="6">IF(H70=0,"",H70*N70)</f>
        <v/>
      </c>
      <c r="T70" s="966" t="str">
        <f t="shared" ref="T70:T101" si="7">IF(H70=0,"",H70*J70)</f>
        <v/>
      </c>
      <c r="U70" s="966" t="str">
        <f t="shared" ref="U70:U101" si="8">IF(H70=0,"",T70-S70)</f>
        <v/>
      </c>
      <c r="V70" s="967" t="str">
        <f t="shared" ref="V70:V101" si="9">IF(H70=0,"",T70/S70)</f>
        <v/>
      </c>
      <c r="W70" s="915"/>
    </row>
    <row r="71" spans="1:23" ht="14.4" customHeight="1" x14ac:dyDescent="0.3">
      <c r="A71" s="973" t="s">
        <v>4510</v>
      </c>
      <c r="B71" s="903">
        <v>2</v>
      </c>
      <c r="C71" s="904">
        <v>0.97</v>
      </c>
      <c r="D71" s="905">
        <v>4.5</v>
      </c>
      <c r="E71" s="922"/>
      <c r="F71" s="906"/>
      <c r="G71" s="907"/>
      <c r="H71" s="908"/>
      <c r="I71" s="906"/>
      <c r="J71" s="907"/>
      <c r="K71" s="909">
        <v>0.49</v>
      </c>
      <c r="L71" s="908">
        <v>2</v>
      </c>
      <c r="M71" s="908">
        <v>21</v>
      </c>
      <c r="N71" s="910">
        <v>7</v>
      </c>
      <c r="O71" s="908" t="s">
        <v>4386</v>
      </c>
      <c r="P71" s="923" t="s">
        <v>4511</v>
      </c>
      <c r="Q71" s="911">
        <f t="shared" si="5"/>
        <v>-2</v>
      </c>
      <c r="R71" s="911">
        <f t="shared" si="5"/>
        <v>-0.97</v>
      </c>
      <c r="S71" s="924" t="str">
        <f t="shared" si="6"/>
        <v/>
      </c>
      <c r="T71" s="924" t="str">
        <f t="shared" si="7"/>
        <v/>
      </c>
      <c r="U71" s="924" t="str">
        <f t="shared" si="8"/>
        <v/>
      </c>
      <c r="V71" s="925" t="str">
        <f t="shared" si="9"/>
        <v/>
      </c>
      <c r="W71" s="912"/>
    </row>
    <row r="72" spans="1:23" ht="14.4" customHeight="1" x14ac:dyDescent="0.3">
      <c r="A72" s="972" t="s">
        <v>4512</v>
      </c>
      <c r="B72" s="957">
        <v>3</v>
      </c>
      <c r="C72" s="958">
        <v>1.33</v>
      </c>
      <c r="D72" s="913">
        <v>2</v>
      </c>
      <c r="E72" s="959">
        <v>1</v>
      </c>
      <c r="F72" s="960">
        <v>0.65</v>
      </c>
      <c r="G72" s="914">
        <v>10</v>
      </c>
      <c r="H72" s="961">
        <v>3</v>
      </c>
      <c r="I72" s="960">
        <v>1.94</v>
      </c>
      <c r="J72" s="914">
        <v>7.3</v>
      </c>
      <c r="K72" s="962">
        <v>0.65</v>
      </c>
      <c r="L72" s="961">
        <v>3</v>
      </c>
      <c r="M72" s="961">
        <v>30</v>
      </c>
      <c r="N72" s="963">
        <v>10</v>
      </c>
      <c r="O72" s="961" t="s">
        <v>4386</v>
      </c>
      <c r="P72" s="964" t="s">
        <v>4513</v>
      </c>
      <c r="Q72" s="965">
        <f t="shared" si="5"/>
        <v>0</v>
      </c>
      <c r="R72" s="965">
        <f t="shared" si="5"/>
        <v>0.60999999999999988</v>
      </c>
      <c r="S72" s="966">
        <f t="shared" si="6"/>
        <v>30</v>
      </c>
      <c r="T72" s="966">
        <f t="shared" si="7"/>
        <v>21.9</v>
      </c>
      <c r="U72" s="966">
        <f t="shared" si="8"/>
        <v>-8.1000000000000014</v>
      </c>
      <c r="V72" s="967">
        <f t="shared" si="9"/>
        <v>0.73</v>
      </c>
      <c r="W72" s="915"/>
    </row>
    <row r="73" spans="1:23" ht="14.4" customHeight="1" x14ac:dyDescent="0.3">
      <c r="A73" s="972" t="s">
        <v>4514</v>
      </c>
      <c r="B73" s="957">
        <v>1</v>
      </c>
      <c r="C73" s="958">
        <v>1.01</v>
      </c>
      <c r="D73" s="913">
        <v>18</v>
      </c>
      <c r="E73" s="959"/>
      <c r="F73" s="960"/>
      <c r="G73" s="914"/>
      <c r="H73" s="961"/>
      <c r="I73" s="960"/>
      <c r="J73" s="914"/>
      <c r="K73" s="962">
        <v>0.97</v>
      </c>
      <c r="L73" s="961">
        <v>4</v>
      </c>
      <c r="M73" s="961">
        <v>36</v>
      </c>
      <c r="N73" s="963">
        <v>12</v>
      </c>
      <c r="O73" s="961" t="s">
        <v>4386</v>
      </c>
      <c r="P73" s="964" t="s">
        <v>4515</v>
      </c>
      <c r="Q73" s="965">
        <f t="shared" si="5"/>
        <v>-1</v>
      </c>
      <c r="R73" s="965">
        <f t="shared" si="5"/>
        <v>-1.01</v>
      </c>
      <c r="S73" s="966" t="str">
        <f t="shared" si="6"/>
        <v/>
      </c>
      <c r="T73" s="966" t="str">
        <f t="shared" si="7"/>
        <v/>
      </c>
      <c r="U73" s="966" t="str">
        <f t="shared" si="8"/>
        <v/>
      </c>
      <c r="V73" s="967" t="str">
        <f t="shared" si="9"/>
        <v/>
      </c>
      <c r="W73" s="915"/>
    </row>
    <row r="74" spans="1:23" ht="14.4" customHeight="1" x14ac:dyDescent="0.3">
      <c r="A74" s="973" t="s">
        <v>4516</v>
      </c>
      <c r="B74" s="924">
        <v>6</v>
      </c>
      <c r="C74" s="926">
        <v>1.51</v>
      </c>
      <c r="D74" s="927">
        <v>2.5</v>
      </c>
      <c r="E74" s="922">
        <v>7</v>
      </c>
      <c r="F74" s="906">
        <v>1.76</v>
      </c>
      <c r="G74" s="907">
        <v>2.2999999999999998</v>
      </c>
      <c r="H74" s="916">
        <v>10</v>
      </c>
      <c r="I74" s="917">
        <v>2.59</v>
      </c>
      <c r="J74" s="919">
        <v>2.5</v>
      </c>
      <c r="K74" s="909">
        <v>0.25</v>
      </c>
      <c r="L74" s="908">
        <v>1</v>
      </c>
      <c r="M74" s="908">
        <v>9</v>
      </c>
      <c r="N74" s="910">
        <v>3</v>
      </c>
      <c r="O74" s="908" t="s">
        <v>4386</v>
      </c>
      <c r="P74" s="923" t="s">
        <v>4517</v>
      </c>
      <c r="Q74" s="911">
        <f t="shared" si="5"/>
        <v>4</v>
      </c>
      <c r="R74" s="911">
        <f t="shared" si="5"/>
        <v>1.0799999999999998</v>
      </c>
      <c r="S74" s="924">
        <f t="shared" si="6"/>
        <v>30</v>
      </c>
      <c r="T74" s="924">
        <f t="shared" si="7"/>
        <v>25</v>
      </c>
      <c r="U74" s="924">
        <f t="shared" si="8"/>
        <v>-5</v>
      </c>
      <c r="V74" s="925">
        <f t="shared" si="9"/>
        <v>0.83333333333333337</v>
      </c>
      <c r="W74" s="912">
        <v>2</v>
      </c>
    </row>
    <row r="75" spans="1:23" ht="14.4" customHeight="1" x14ac:dyDescent="0.3">
      <c r="A75" s="972" t="s">
        <v>4518</v>
      </c>
      <c r="B75" s="966">
        <v>5</v>
      </c>
      <c r="C75" s="968">
        <v>1.6</v>
      </c>
      <c r="D75" s="928">
        <v>4.2</v>
      </c>
      <c r="E75" s="959">
        <v>2</v>
      </c>
      <c r="F75" s="960">
        <v>0.62</v>
      </c>
      <c r="G75" s="914">
        <v>6</v>
      </c>
      <c r="H75" s="969">
        <v>1</v>
      </c>
      <c r="I75" s="970">
        <v>0.31</v>
      </c>
      <c r="J75" s="920">
        <v>3</v>
      </c>
      <c r="K75" s="962">
        <v>0.31</v>
      </c>
      <c r="L75" s="961">
        <v>1</v>
      </c>
      <c r="M75" s="961">
        <v>12</v>
      </c>
      <c r="N75" s="963">
        <v>4</v>
      </c>
      <c r="O75" s="961" t="s">
        <v>4386</v>
      </c>
      <c r="P75" s="964" t="s">
        <v>4519</v>
      </c>
      <c r="Q75" s="965">
        <f t="shared" si="5"/>
        <v>-4</v>
      </c>
      <c r="R75" s="965">
        <f t="shared" si="5"/>
        <v>-1.29</v>
      </c>
      <c r="S75" s="966">
        <f t="shared" si="6"/>
        <v>4</v>
      </c>
      <c r="T75" s="966">
        <f t="shared" si="7"/>
        <v>3</v>
      </c>
      <c r="U75" s="966">
        <f t="shared" si="8"/>
        <v>-1</v>
      </c>
      <c r="V75" s="967">
        <f t="shared" si="9"/>
        <v>0.75</v>
      </c>
      <c r="W75" s="915"/>
    </row>
    <row r="76" spans="1:23" ht="14.4" customHeight="1" x14ac:dyDescent="0.3">
      <c r="A76" s="973" t="s">
        <v>4520</v>
      </c>
      <c r="B76" s="903">
        <v>1</v>
      </c>
      <c r="C76" s="904">
        <v>1.07</v>
      </c>
      <c r="D76" s="905">
        <v>10</v>
      </c>
      <c r="E76" s="922"/>
      <c r="F76" s="906"/>
      <c r="G76" s="907"/>
      <c r="H76" s="908"/>
      <c r="I76" s="906"/>
      <c r="J76" s="907"/>
      <c r="K76" s="909">
        <v>1.07</v>
      </c>
      <c r="L76" s="908">
        <v>3</v>
      </c>
      <c r="M76" s="908">
        <v>24</v>
      </c>
      <c r="N76" s="910">
        <v>8</v>
      </c>
      <c r="O76" s="908" t="s">
        <v>4386</v>
      </c>
      <c r="P76" s="923" t="s">
        <v>4521</v>
      </c>
      <c r="Q76" s="911">
        <f t="shared" si="5"/>
        <v>-1</v>
      </c>
      <c r="R76" s="911">
        <f t="shared" si="5"/>
        <v>-1.07</v>
      </c>
      <c r="S76" s="924" t="str">
        <f t="shared" si="6"/>
        <v/>
      </c>
      <c r="T76" s="924" t="str">
        <f t="shared" si="7"/>
        <v/>
      </c>
      <c r="U76" s="924" t="str">
        <f t="shared" si="8"/>
        <v/>
      </c>
      <c r="V76" s="925" t="str">
        <f t="shared" si="9"/>
        <v/>
      </c>
      <c r="W76" s="912"/>
    </row>
    <row r="77" spans="1:23" ht="14.4" customHeight="1" x14ac:dyDescent="0.3">
      <c r="A77" s="973" t="s">
        <v>4522</v>
      </c>
      <c r="B77" s="924">
        <v>1</v>
      </c>
      <c r="C77" s="926">
        <v>6.59</v>
      </c>
      <c r="D77" s="927">
        <v>71</v>
      </c>
      <c r="E77" s="922">
        <v>3</v>
      </c>
      <c r="F77" s="906">
        <v>5.78</v>
      </c>
      <c r="G77" s="907">
        <v>9</v>
      </c>
      <c r="H77" s="916">
        <v>2</v>
      </c>
      <c r="I77" s="917">
        <v>2.54</v>
      </c>
      <c r="J77" s="919">
        <v>4.5</v>
      </c>
      <c r="K77" s="909">
        <v>1.43</v>
      </c>
      <c r="L77" s="908">
        <v>4</v>
      </c>
      <c r="M77" s="908">
        <v>36</v>
      </c>
      <c r="N77" s="910">
        <v>12</v>
      </c>
      <c r="O77" s="908" t="s">
        <v>4386</v>
      </c>
      <c r="P77" s="923" t="s">
        <v>4523</v>
      </c>
      <c r="Q77" s="911">
        <f t="shared" si="5"/>
        <v>1</v>
      </c>
      <c r="R77" s="911">
        <f t="shared" si="5"/>
        <v>-4.05</v>
      </c>
      <c r="S77" s="924">
        <f t="shared" si="6"/>
        <v>24</v>
      </c>
      <c r="T77" s="924">
        <f t="shared" si="7"/>
        <v>9</v>
      </c>
      <c r="U77" s="924">
        <f t="shared" si="8"/>
        <v>-15</v>
      </c>
      <c r="V77" s="925">
        <f t="shared" si="9"/>
        <v>0.375</v>
      </c>
      <c r="W77" s="912"/>
    </row>
    <row r="78" spans="1:23" ht="14.4" customHeight="1" x14ac:dyDescent="0.3">
      <c r="A78" s="972" t="s">
        <v>4524</v>
      </c>
      <c r="B78" s="966"/>
      <c r="C78" s="968"/>
      <c r="D78" s="928"/>
      <c r="E78" s="959"/>
      <c r="F78" s="960"/>
      <c r="G78" s="914"/>
      <c r="H78" s="969">
        <v>1</v>
      </c>
      <c r="I78" s="970">
        <v>1.81</v>
      </c>
      <c r="J78" s="921">
        <v>19</v>
      </c>
      <c r="K78" s="962">
        <v>1.81</v>
      </c>
      <c r="L78" s="961">
        <v>5</v>
      </c>
      <c r="M78" s="961">
        <v>45</v>
      </c>
      <c r="N78" s="963">
        <v>15</v>
      </c>
      <c r="O78" s="961" t="s">
        <v>4386</v>
      </c>
      <c r="P78" s="964" t="s">
        <v>4525</v>
      </c>
      <c r="Q78" s="965">
        <f t="shared" si="5"/>
        <v>1</v>
      </c>
      <c r="R78" s="965">
        <f t="shared" si="5"/>
        <v>1.81</v>
      </c>
      <c r="S78" s="966">
        <f t="shared" si="6"/>
        <v>15</v>
      </c>
      <c r="T78" s="966">
        <f t="shared" si="7"/>
        <v>19</v>
      </c>
      <c r="U78" s="966">
        <f t="shared" si="8"/>
        <v>4</v>
      </c>
      <c r="V78" s="967">
        <f t="shared" si="9"/>
        <v>1.2666666666666666</v>
      </c>
      <c r="W78" s="915">
        <v>4</v>
      </c>
    </row>
    <row r="79" spans="1:23" ht="14.4" customHeight="1" x14ac:dyDescent="0.3">
      <c r="A79" s="973" t="s">
        <v>4526</v>
      </c>
      <c r="B79" s="903">
        <v>2</v>
      </c>
      <c r="C79" s="904">
        <v>1.08</v>
      </c>
      <c r="D79" s="905">
        <v>3</v>
      </c>
      <c r="E79" s="922">
        <v>1</v>
      </c>
      <c r="F79" s="906">
        <v>0.54</v>
      </c>
      <c r="G79" s="907">
        <v>5</v>
      </c>
      <c r="H79" s="908"/>
      <c r="I79" s="906"/>
      <c r="J79" s="907"/>
      <c r="K79" s="909">
        <v>0.54</v>
      </c>
      <c r="L79" s="908">
        <v>2</v>
      </c>
      <c r="M79" s="908">
        <v>21</v>
      </c>
      <c r="N79" s="910">
        <v>7</v>
      </c>
      <c r="O79" s="908" t="s">
        <v>4386</v>
      </c>
      <c r="P79" s="923" t="s">
        <v>4527</v>
      </c>
      <c r="Q79" s="911">
        <f t="shared" si="5"/>
        <v>-2</v>
      </c>
      <c r="R79" s="911">
        <f t="shared" si="5"/>
        <v>-1.08</v>
      </c>
      <c r="S79" s="924" t="str">
        <f t="shared" si="6"/>
        <v/>
      </c>
      <c r="T79" s="924" t="str">
        <f t="shared" si="7"/>
        <v/>
      </c>
      <c r="U79" s="924" t="str">
        <f t="shared" si="8"/>
        <v/>
      </c>
      <c r="V79" s="925" t="str">
        <f t="shared" si="9"/>
        <v/>
      </c>
      <c r="W79" s="912"/>
    </row>
    <row r="80" spans="1:23" ht="14.4" customHeight="1" x14ac:dyDescent="0.3">
      <c r="A80" s="972" t="s">
        <v>4528</v>
      </c>
      <c r="B80" s="957">
        <v>2</v>
      </c>
      <c r="C80" s="958">
        <v>1.4</v>
      </c>
      <c r="D80" s="913">
        <v>8</v>
      </c>
      <c r="E80" s="959">
        <v>1</v>
      </c>
      <c r="F80" s="960">
        <v>0.56999999999999995</v>
      </c>
      <c r="G80" s="914">
        <v>2</v>
      </c>
      <c r="H80" s="961"/>
      <c r="I80" s="960"/>
      <c r="J80" s="914"/>
      <c r="K80" s="962">
        <v>0.82</v>
      </c>
      <c r="L80" s="961">
        <v>3</v>
      </c>
      <c r="M80" s="961">
        <v>30</v>
      </c>
      <c r="N80" s="963">
        <v>10</v>
      </c>
      <c r="O80" s="961" t="s">
        <v>4386</v>
      </c>
      <c r="P80" s="964" t="s">
        <v>4529</v>
      </c>
      <c r="Q80" s="965">
        <f t="shared" si="5"/>
        <v>-2</v>
      </c>
      <c r="R80" s="965">
        <f t="shared" si="5"/>
        <v>-1.4</v>
      </c>
      <c r="S80" s="966" t="str">
        <f t="shared" si="6"/>
        <v/>
      </c>
      <c r="T80" s="966" t="str">
        <f t="shared" si="7"/>
        <v/>
      </c>
      <c r="U80" s="966" t="str">
        <f t="shared" si="8"/>
        <v/>
      </c>
      <c r="V80" s="967" t="str">
        <f t="shared" si="9"/>
        <v/>
      </c>
      <c r="W80" s="915"/>
    </row>
    <row r="81" spans="1:23" ht="14.4" customHeight="1" x14ac:dyDescent="0.3">
      <c r="A81" s="972" t="s">
        <v>4530</v>
      </c>
      <c r="B81" s="957"/>
      <c r="C81" s="958"/>
      <c r="D81" s="913"/>
      <c r="E81" s="959">
        <v>1</v>
      </c>
      <c r="F81" s="960">
        <v>1.31</v>
      </c>
      <c r="G81" s="914">
        <v>6</v>
      </c>
      <c r="H81" s="961"/>
      <c r="I81" s="960"/>
      <c r="J81" s="914"/>
      <c r="K81" s="962">
        <v>1.31</v>
      </c>
      <c r="L81" s="961">
        <v>4</v>
      </c>
      <c r="M81" s="961">
        <v>39</v>
      </c>
      <c r="N81" s="963">
        <v>13</v>
      </c>
      <c r="O81" s="961" t="s">
        <v>4386</v>
      </c>
      <c r="P81" s="964" t="s">
        <v>4531</v>
      </c>
      <c r="Q81" s="965">
        <f t="shared" si="5"/>
        <v>0</v>
      </c>
      <c r="R81" s="965">
        <f t="shared" si="5"/>
        <v>0</v>
      </c>
      <c r="S81" s="966" t="str">
        <f t="shared" si="6"/>
        <v/>
      </c>
      <c r="T81" s="966" t="str">
        <f t="shared" si="7"/>
        <v/>
      </c>
      <c r="U81" s="966" t="str">
        <f t="shared" si="8"/>
        <v/>
      </c>
      <c r="V81" s="967" t="str">
        <f t="shared" si="9"/>
        <v/>
      </c>
      <c r="W81" s="915"/>
    </row>
    <row r="82" spans="1:23" ht="14.4" customHeight="1" x14ac:dyDescent="0.3">
      <c r="A82" s="973" t="s">
        <v>4532</v>
      </c>
      <c r="B82" s="903">
        <v>1</v>
      </c>
      <c r="C82" s="904">
        <v>1.22</v>
      </c>
      <c r="D82" s="905">
        <v>3</v>
      </c>
      <c r="E82" s="922"/>
      <c r="F82" s="906"/>
      <c r="G82" s="907"/>
      <c r="H82" s="908"/>
      <c r="I82" s="906"/>
      <c r="J82" s="907"/>
      <c r="K82" s="909">
        <v>1.6</v>
      </c>
      <c r="L82" s="908">
        <v>4</v>
      </c>
      <c r="M82" s="908">
        <v>39</v>
      </c>
      <c r="N82" s="910">
        <v>13</v>
      </c>
      <c r="O82" s="908" t="s">
        <v>4386</v>
      </c>
      <c r="P82" s="923" t="s">
        <v>4533</v>
      </c>
      <c r="Q82" s="911">
        <f t="shared" si="5"/>
        <v>-1</v>
      </c>
      <c r="R82" s="911">
        <f t="shared" si="5"/>
        <v>-1.22</v>
      </c>
      <c r="S82" s="924" t="str">
        <f t="shared" si="6"/>
        <v/>
      </c>
      <c r="T82" s="924" t="str">
        <f t="shared" si="7"/>
        <v/>
      </c>
      <c r="U82" s="924" t="str">
        <f t="shared" si="8"/>
        <v/>
      </c>
      <c r="V82" s="925" t="str">
        <f t="shared" si="9"/>
        <v/>
      </c>
      <c r="W82" s="912"/>
    </row>
    <row r="83" spans="1:23" ht="14.4" customHeight="1" x14ac:dyDescent="0.3">
      <c r="A83" s="972" t="s">
        <v>4534</v>
      </c>
      <c r="B83" s="957">
        <v>1</v>
      </c>
      <c r="C83" s="958">
        <v>1.68</v>
      </c>
      <c r="D83" s="913">
        <v>5</v>
      </c>
      <c r="E83" s="959"/>
      <c r="F83" s="960"/>
      <c r="G83" s="914"/>
      <c r="H83" s="961"/>
      <c r="I83" s="960"/>
      <c r="J83" s="914"/>
      <c r="K83" s="962">
        <v>1.99</v>
      </c>
      <c r="L83" s="961">
        <v>6</v>
      </c>
      <c r="M83" s="961">
        <v>51</v>
      </c>
      <c r="N83" s="963">
        <v>17</v>
      </c>
      <c r="O83" s="961" t="s">
        <v>4386</v>
      </c>
      <c r="P83" s="964" t="s">
        <v>4535</v>
      </c>
      <c r="Q83" s="965">
        <f t="shared" si="5"/>
        <v>-1</v>
      </c>
      <c r="R83" s="965">
        <f t="shared" si="5"/>
        <v>-1.68</v>
      </c>
      <c r="S83" s="966" t="str">
        <f t="shared" si="6"/>
        <v/>
      </c>
      <c r="T83" s="966" t="str">
        <f t="shared" si="7"/>
        <v/>
      </c>
      <c r="U83" s="966" t="str">
        <f t="shared" si="8"/>
        <v/>
      </c>
      <c r="V83" s="967" t="str">
        <f t="shared" si="9"/>
        <v/>
      </c>
      <c r="W83" s="915"/>
    </row>
    <row r="84" spans="1:23" ht="14.4" customHeight="1" x14ac:dyDescent="0.3">
      <c r="A84" s="973" t="s">
        <v>4536</v>
      </c>
      <c r="B84" s="924">
        <v>3</v>
      </c>
      <c r="C84" s="926">
        <v>7.08</v>
      </c>
      <c r="D84" s="927">
        <v>11.7</v>
      </c>
      <c r="E84" s="922">
        <v>1</v>
      </c>
      <c r="F84" s="906">
        <v>2.36</v>
      </c>
      <c r="G84" s="907">
        <v>8</v>
      </c>
      <c r="H84" s="916">
        <v>3</v>
      </c>
      <c r="I84" s="917">
        <v>7.27</v>
      </c>
      <c r="J84" s="918">
        <v>14.7</v>
      </c>
      <c r="K84" s="909">
        <v>2.36</v>
      </c>
      <c r="L84" s="908">
        <v>4</v>
      </c>
      <c r="M84" s="908">
        <v>39</v>
      </c>
      <c r="N84" s="910">
        <v>13</v>
      </c>
      <c r="O84" s="908" t="s">
        <v>4386</v>
      </c>
      <c r="P84" s="923" t="s">
        <v>4537</v>
      </c>
      <c r="Q84" s="911">
        <f t="shared" si="5"/>
        <v>0</v>
      </c>
      <c r="R84" s="911">
        <f t="shared" si="5"/>
        <v>0.1899999999999995</v>
      </c>
      <c r="S84" s="924">
        <f t="shared" si="6"/>
        <v>39</v>
      </c>
      <c r="T84" s="924">
        <f t="shared" si="7"/>
        <v>44.099999999999994</v>
      </c>
      <c r="U84" s="924">
        <f t="shared" si="8"/>
        <v>5.0999999999999943</v>
      </c>
      <c r="V84" s="925">
        <f t="shared" si="9"/>
        <v>1.1307692307692305</v>
      </c>
      <c r="W84" s="912">
        <v>19</v>
      </c>
    </row>
    <row r="85" spans="1:23" ht="14.4" customHeight="1" x14ac:dyDescent="0.3">
      <c r="A85" s="972" t="s">
        <v>4538</v>
      </c>
      <c r="B85" s="966">
        <v>1</v>
      </c>
      <c r="C85" s="968">
        <v>4.8499999999999996</v>
      </c>
      <c r="D85" s="928">
        <v>21</v>
      </c>
      <c r="E85" s="959"/>
      <c r="F85" s="960"/>
      <c r="G85" s="914"/>
      <c r="H85" s="969">
        <v>1</v>
      </c>
      <c r="I85" s="970">
        <v>4.8499999999999996</v>
      </c>
      <c r="J85" s="920">
        <v>15</v>
      </c>
      <c r="K85" s="962">
        <v>4.8499999999999996</v>
      </c>
      <c r="L85" s="961">
        <v>5</v>
      </c>
      <c r="M85" s="961">
        <v>48</v>
      </c>
      <c r="N85" s="963">
        <v>16</v>
      </c>
      <c r="O85" s="961" t="s">
        <v>4386</v>
      </c>
      <c r="P85" s="964" t="s">
        <v>4539</v>
      </c>
      <c r="Q85" s="965">
        <f t="shared" si="5"/>
        <v>0</v>
      </c>
      <c r="R85" s="965">
        <f t="shared" si="5"/>
        <v>0</v>
      </c>
      <c r="S85" s="966">
        <f t="shared" si="6"/>
        <v>16</v>
      </c>
      <c r="T85" s="966">
        <f t="shared" si="7"/>
        <v>15</v>
      </c>
      <c r="U85" s="966">
        <f t="shared" si="8"/>
        <v>-1</v>
      </c>
      <c r="V85" s="967">
        <f t="shared" si="9"/>
        <v>0.9375</v>
      </c>
      <c r="W85" s="915"/>
    </row>
    <row r="86" spans="1:23" ht="14.4" customHeight="1" x14ac:dyDescent="0.3">
      <c r="A86" s="973" t="s">
        <v>4540</v>
      </c>
      <c r="B86" s="924"/>
      <c r="C86" s="926"/>
      <c r="D86" s="927"/>
      <c r="E86" s="916">
        <v>1</v>
      </c>
      <c r="F86" s="917">
        <v>0.7</v>
      </c>
      <c r="G86" s="919">
        <v>3</v>
      </c>
      <c r="H86" s="908"/>
      <c r="I86" s="906"/>
      <c r="J86" s="907"/>
      <c r="K86" s="909">
        <v>0.7</v>
      </c>
      <c r="L86" s="908">
        <v>2</v>
      </c>
      <c r="M86" s="908">
        <v>15</v>
      </c>
      <c r="N86" s="910">
        <v>5</v>
      </c>
      <c r="O86" s="908" t="s">
        <v>4386</v>
      </c>
      <c r="P86" s="923" t="s">
        <v>4541</v>
      </c>
      <c r="Q86" s="911">
        <f t="shared" si="5"/>
        <v>0</v>
      </c>
      <c r="R86" s="911">
        <f t="shared" si="5"/>
        <v>0</v>
      </c>
      <c r="S86" s="924" t="str">
        <f t="shared" si="6"/>
        <v/>
      </c>
      <c r="T86" s="924" t="str">
        <f t="shared" si="7"/>
        <v/>
      </c>
      <c r="U86" s="924" t="str">
        <f t="shared" si="8"/>
        <v/>
      </c>
      <c r="V86" s="925" t="str">
        <f t="shared" si="9"/>
        <v/>
      </c>
      <c r="W86" s="912"/>
    </row>
    <row r="87" spans="1:23" ht="14.4" customHeight="1" x14ac:dyDescent="0.3">
      <c r="A87" s="973" t="s">
        <v>4542</v>
      </c>
      <c r="B87" s="924"/>
      <c r="C87" s="926"/>
      <c r="D87" s="927"/>
      <c r="E87" s="916">
        <v>1</v>
      </c>
      <c r="F87" s="917">
        <v>0.4</v>
      </c>
      <c r="G87" s="919">
        <v>9</v>
      </c>
      <c r="H87" s="908"/>
      <c r="I87" s="906"/>
      <c r="J87" s="907"/>
      <c r="K87" s="909">
        <v>0.39</v>
      </c>
      <c r="L87" s="908">
        <v>2</v>
      </c>
      <c r="M87" s="908">
        <v>15</v>
      </c>
      <c r="N87" s="910">
        <v>5</v>
      </c>
      <c r="O87" s="908" t="s">
        <v>4386</v>
      </c>
      <c r="P87" s="923" t="s">
        <v>4543</v>
      </c>
      <c r="Q87" s="911">
        <f t="shared" si="5"/>
        <v>0</v>
      </c>
      <c r="R87" s="911">
        <f t="shared" si="5"/>
        <v>0</v>
      </c>
      <c r="S87" s="924" t="str">
        <f t="shared" si="6"/>
        <v/>
      </c>
      <c r="T87" s="924" t="str">
        <f t="shared" si="7"/>
        <v/>
      </c>
      <c r="U87" s="924" t="str">
        <f t="shared" si="8"/>
        <v/>
      </c>
      <c r="V87" s="925" t="str">
        <f t="shared" si="9"/>
        <v/>
      </c>
      <c r="W87" s="912"/>
    </row>
    <row r="88" spans="1:23" ht="14.4" customHeight="1" x14ac:dyDescent="0.3">
      <c r="A88" s="972" t="s">
        <v>4544</v>
      </c>
      <c r="B88" s="966">
        <v>1</v>
      </c>
      <c r="C88" s="968">
        <v>0.64</v>
      </c>
      <c r="D88" s="928">
        <v>2</v>
      </c>
      <c r="E88" s="969"/>
      <c r="F88" s="970"/>
      <c r="G88" s="920"/>
      <c r="H88" s="961"/>
      <c r="I88" s="960"/>
      <c r="J88" s="914"/>
      <c r="K88" s="962">
        <v>0.64</v>
      </c>
      <c r="L88" s="961">
        <v>2</v>
      </c>
      <c r="M88" s="961">
        <v>21</v>
      </c>
      <c r="N88" s="963">
        <v>7</v>
      </c>
      <c r="O88" s="961" t="s">
        <v>4386</v>
      </c>
      <c r="P88" s="964" t="s">
        <v>4545</v>
      </c>
      <c r="Q88" s="965">
        <f t="shared" si="5"/>
        <v>-1</v>
      </c>
      <c r="R88" s="965">
        <f t="shared" si="5"/>
        <v>-0.64</v>
      </c>
      <c r="S88" s="966" t="str">
        <f t="shared" si="6"/>
        <v/>
      </c>
      <c r="T88" s="966" t="str">
        <f t="shared" si="7"/>
        <v/>
      </c>
      <c r="U88" s="966" t="str">
        <f t="shared" si="8"/>
        <v/>
      </c>
      <c r="V88" s="967" t="str">
        <f t="shared" si="9"/>
        <v/>
      </c>
      <c r="W88" s="915"/>
    </row>
    <row r="89" spans="1:23" ht="14.4" customHeight="1" x14ac:dyDescent="0.3">
      <c r="A89" s="973" t="s">
        <v>4546</v>
      </c>
      <c r="B89" s="924"/>
      <c r="C89" s="926"/>
      <c r="D89" s="927"/>
      <c r="E89" s="916">
        <v>1</v>
      </c>
      <c r="F89" s="917">
        <v>0.27</v>
      </c>
      <c r="G89" s="919">
        <v>3</v>
      </c>
      <c r="H89" s="908"/>
      <c r="I89" s="906"/>
      <c r="J89" s="907"/>
      <c r="K89" s="909">
        <v>1.26</v>
      </c>
      <c r="L89" s="908">
        <v>14</v>
      </c>
      <c r="M89" s="908">
        <v>20</v>
      </c>
      <c r="N89" s="910">
        <v>17</v>
      </c>
      <c r="O89" s="908" t="s">
        <v>4386</v>
      </c>
      <c r="P89" s="923" t="s">
        <v>4547</v>
      </c>
      <c r="Q89" s="911">
        <f t="shared" si="5"/>
        <v>0</v>
      </c>
      <c r="R89" s="911">
        <f t="shared" si="5"/>
        <v>0</v>
      </c>
      <c r="S89" s="924" t="str">
        <f t="shared" si="6"/>
        <v/>
      </c>
      <c r="T89" s="924" t="str">
        <f t="shared" si="7"/>
        <v/>
      </c>
      <c r="U89" s="924" t="str">
        <f t="shared" si="8"/>
        <v/>
      </c>
      <c r="V89" s="925" t="str">
        <f t="shared" si="9"/>
        <v/>
      </c>
      <c r="W89" s="912"/>
    </row>
    <row r="90" spans="1:23" ht="14.4" customHeight="1" x14ac:dyDescent="0.3">
      <c r="A90" s="973" t="s">
        <v>4548</v>
      </c>
      <c r="B90" s="924"/>
      <c r="C90" s="926"/>
      <c r="D90" s="927"/>
      <c r="E90" s="916">
        <v>1</v>
      </c>
      <c r="F90" s="917">
        <v>4.79</v>
      </c>
      <c r="G90" s="919">
        <v>10</v>
      </c>
      <c r="H90" s="908"/>
      <c r="I90" s="906"/>
      <c r="J90" s="907"/>
      <c r="K90" s="909">
        <v>4.79</v>
      </c>
      <c r="L90" s="908">
        <v>5</v>
      </c>
      <c r="M90" s="908">
        <v>42</v>
      </c>
      <c r="N90" s="910">
        <v>14</v>
      </c>
      <c r="O90" s="908" t="s">
        <v>4386</v>
      </c>
      <c r="P90" s="923" t="s">
        <v>4549</v>
      </c>
      <c r="Q90" s="911">
        <f t="shared" si="5"/>
        <v>0</v>
      </c>
      <c r="R90" s="911">
        <f t="shared" si="5"/>
        <v>0</v>
      </c>
      <c r="S90" s="924" t="str">
        <f t="shared" si="6"/>
        <v/>
      </c>
      <c r="T90" s="924" t="str">
        <f t="shared" si="7"/>
        <v/>
      </c>
      <c r="U90" s="924" t="str">
        <f t="shared" si="8"/>
        <v/>
      </c>
      <c r="V90" s="925" t="str">
        <f t="shared" si="9"/>
        <v/>
      </c>
      <c r="W90" s="912"/>
    </row>
    <row r="91" spans="1:23" ht="14.4" customHeight="1" x14ac:dyDescent="0.3">
      <c r="A91" s="972" t="s">
        <v>4550</v>
      </c>
      <c r="B91" s="966">
        <v>3</v>
      </c>
      <c r="C91" s="968">
        <v>14.36</v>
      </c>
      <c r="D91" s="928">
        <v>5.3</v>
      </c>
      <c r="E91" s="969">
        <v>2</v>
      </c>
      <c r="F91" s="970">
        <v>9.94</v>
      </c>
      <c r="G91" s="920">
        <v>7.5</v>
      </c>
      <c r="H91" s="961"/>
      <c r="I91" s="960"/>
      <c r="J91" s="914"/>
      <c r="K91" s="962">
        <v>4.79</v>
      </c>
      <c r="L91" s="961">
        <v>5</v>
      </c>
      <c r="M91" s="961">
        <v>42</v>
      </c>
      <c r="N91" s="963">
        <v>14</v>
      </c>
      <c r="O91" s="961" t="s">
        <v>4386</v>
      </c>
      <c r="P91" s="964" t="s">
        <v>4549</v>
      </c>
      <c r="Q91" s="965">
        <f t="shared" si="5"/>
        <v>-3</v>
      </c>
      <c r="R91" s="965">
        <f t="shared" si="5"/>
        <v>-14.36</v>
      </c>
      <c r="S91" s="966" t="str">
        <f t="shared" si="6"/>
        <v/>
      </c>
      <c r="T91" s="966" t="str">
        <f t="shared" si="7"/>
        <v/>
      </c>
      <c r="U91" s="966" t="str">
        <f t="shared" si="8"/>
        <v/>
      </c>
      <c r="V91" s="967" t="str">
        <f t="shared" si="9"/>
        <v/>
      </c>
      <c r="W91" s="915"/>
    </row>
    <row r="92" spans="1:23" ht="14.4" customHeight="1" x14ac:dyDescent="0.3">
      <c r="A92" s="972" t="s">
        <v>4551</v>
      </c>
      <c r="B92" s="966">
        <v>3</v>
      </c>
      <c r="C92" s="968">
        <v>26.64</v>
      </c>
      <c r="D92" s="928">
        <v>32.700000000000003</v>
      </c>
      <c r="E92" s="969">
        <v>3</v>
      </c>
      <c r="F92" s="970">
        <v>27.42</v>
      </c>
      <c r="G92" s="920">
        <v>11.3</v>
      </c>
      <c r="H92" s="961">
        <v>1</v>
      </c>
      <c r="I92" s="960">
        <v>9.14</v>
      </c>
      <c r="J92" s="921">
        <v>26</v>
      </c>
      <c r="K92" s="962">
        <v>9.14</v>
      </c>
      <c r="L92" s="961">
        <v>7</v>
      </c>
      <c r="M92" s="961">
        <v>66</v>
      </c>
      <c r="N92" s="963">
        <v>22</v>
      </c>
      <c r="O92" s="961" t="s">
        <v>4386</v>
      </c>
      <c r="P92" s="964" t="s">
        <v>4549</v>
      </c>
      <c r="Q92" s="965">
        <f t="shared" si="5"/>
        <v>-2</v>
      </c>
      <c r="R92" s="965">
        <f t="shared" si="5"/>
        <v>-17.5</v>
      </c>
      <c r="S92" s="966">
        <f t="shared" si="6"/>
        <v>22</v>
      </c>
      <c r="T92" s="966">
        <f t="shared" si="7"/>
        <v>26</v>
      </c>
      <c r="U92" s="966">
        <f t="shared" si="8"/>
        <v>4</v>
      </c>
      <c r="V92" s="967">
        <f t="shared" si="9"/>
        <v>1.1818181818181819</v>
      </c>
      <c r="W92" s="915">
        <v>4</v>
      </c>
    </row>
    <row r="93" spans="1:23" ht="14.4" customHeight="1" x14ac:dyDescent="0.3">
      <c r="A93" s="973" t="s">
        <v>4552</v>
      </c>
      <c r="B93" s="924">
        <v>2</v>
      </c>
      <c r="C93" s="926">
        <v>8.98</v>
      </c>
      <c r="D93" s="927">
        <v>17</v>
      </c>
      <c r="E93" s="916">
        <v>1</v>
      </c>
      <c r="F93" s="917">
        <v>4.07</v>
      </c>
      <c r="G93" s="919">
        <v>8</v>
      </c>
      <c r="H93" s="908"/>
      <c r="I93" s="906"/>
      <c r="J93" s="907"/>
      <c r="K93" s="909">
        <v>4.07</v>
      </c>
      <c r="L93" s="908">
        <v>5</v>
      </c>
      <c r="M93" s="908">
        <v>45</v>
      </c>
      <c r="N93" s="910">
        <v>15</v>
      </c>
      <c r="O93" s="908" t="s">
        <v>4386</v>
      </c>
      <c r="P93" s="923" t="s">
        <v>4553</v>
      </c>
      <c r="Q93" s="911">
        <f t="shared" si="5"/>
        <v>-2</v>
      </c>
      <c r="R93" s="911">
        <f t="shared" si="5"/>
        <v>-8.98</v>
      </c>
      <c r="S93" s="924" t="str">
        <f t="shared" si="6"/>
        <v/>
      </c>
      <c r="T93" s="924" t="str">
        <f t="shared" si="7"/>
        <v/>
      </c>
      <c r="U93" s="924" t="str">
        <f t="shared" si="8"/>
        <v/>
      </c>
      <c r="V93" s="925" t="str">
        <f t="shared" si="9"/>
        <v/>
      </c>
      <c r="W93" s="912"/>
    </row>
    <row r="94" spans="1:23" ht="14.4" customHeight="1" x14ac:dyDescent="0.3">
      <c r="A94" s="972" t="s">
        <v>4554</v>
      </c>
      <c r="B94" s="966">
        <v>1</v>
      </c>
      <c r="C94" s="968">
        <v>4.07</v>
      </c>
      <c r="D94" s="928">
        <v>13</v>
      </c>
      <c r="E94" s="969">
        <v>2</v>
      </c>
      <c r="F94" s="970">
        <v>9.1999999999999993</v>
      </c>
      <c r="G94" s="920">
        <v>10.5</v>
      </c>
      <c r="H94" s="961">
        <v>1</v>
      </c>
      <c r="I94" s="960">
        <v>3.36</v>
      </c>
      <c r="J94" s="914">
        <v>4</v>
      </c>
      <c r="K94" s="962">
        <v>4.07</v>
      </c>
      <c r="L94" s="961">
        <v>5</v>
      </c>
      <c r="M94" s="961">
        <v>45</v>
      </c>
      <c r="N94" s="963">
        <v>15</v>
      </c>
      <c r="O94" s="961" t="s">
        <v>4386</v>
      </c>
      <c r="P94" s="964" t="s">
        <v>4555</v>
      </c>
      <c r="Q94" s="965">
        <f t="shared" si="5"/>
        <v>0</v>
      </c>
      <c r="R94" s="965">
        <f t="shared" si="5"/>
        <v>-0.71000000000000041</v>
      </c>
      <c r="S94" s="966">
        <f t="shared" si="6"/>
        <v>15</v>
      </c>
      <c r="T94" s="966">
        <f t="shared" si="7"/>
        <v>4</v>
      </c>
      <c r="U94" s="966">
        <f t="shared" si="8"/>
        <v>-11</v>
      </c>
      <c r="V94" s="967">
        <f t="shared" si="9"/>
        <v>0.26666666666666666</v>
      </c>
      <c r="W94" s="915"/>
    </row>
    <row r="95" spans="1:23" ht="14.4" customHeight="1" x14ac:dyDescent="0.3">
      <c r="A95" s="972" t="s">
        <v>4556</v>
      </c>
      <c r="B95" s="966">
        <v>1</v>
      </c>
      <c r="C95" s="968">
        <v>6.6</v>
      </c>
      <c r="D95" s="928">
        <v>8</v>
      </c>
      <c r="E95" s="969">
        <v>1</v>
      </c>
      <c r="F95" s="970">
        <v>8.2799999999999994</v>
      </c>
      <c r="G95" s="920">
        <v>59</v>
      </c>
      <c r="H95" s="961"/>
      <c r="I95" s="960"/>
      <c r="J95" s="914"/>
      <c r="K95" s="962">
        <v>6.6</v>
      </c>
      <c r="L95" s="961">
        <v>6</v>
      </c>
      <c r="M95" s="961">
        <v>51</v>
      </c>
      <c r="N95" s="963">
        <v>17</v>
      </c>
      <c r="O95" s="961" t="s">
        <v>4386</v>
      </c>
      <c r="P95" s="964" t="s">
        <v>4557</v>
      </c>
      <c r="Q95" s="965">
        <f t="shared" si="5"/>
        <v>-1</v>
      </c>
      <c r="R95" s="965">
        <f t="shared" si="5"/>
        <v>-6.6</v>
      </c>
      <c r="S95" s="966" t="str">
        <f t="shared" si="6"/>
        <v/>
      </c>
      <c r="T95" s="966" t="str">
        <f t="shared" si="7"/>
        <v/>
      </c>
      <c r="U95" s="966" t="str">
        <f t="shared" si="8"/>
        <v/>
      </c>
      <c r="V95" s="967" t="str">
        <f t="shared" si="9"/>
        <v/>
      </c>
      <c r="W95" s="915"/>
    </row>
    <row r="96" spans="1:23" ht="14.4" customHeight="1" x14ac:dyDescent="0.3">
      <c r="A96" s="973" t="s">
        <v>4558</v>
      </c>
      <c r="B96" s="903">
        <v>1</v>
      </c>
      <c r="C96" s="904">
        <v>20.11</v>
      </c>
      <c r="D96" s="905">
        <v>35</v>
      </c>
      <c r="E96" s="922"/>
      <c r="F96" s="906"/>
      <c r="G96" s="907"/>
      <c r="H96" s="908"/>
      <c r="I96" s="906"/>
      <c r="J96" s="907"/>
      <c r="K96" s="909">
        <v>16.940000000000001</v>
      </c>
      <c r="L96" s="908">
        <v>5</v>
      </c>
      <c r="M96" s="908">
        <v>72</v>
      </c>
      <c r="N96" s="910">
        <v>24</v>
      </c>
      <c r="O96" s="908" t="s">
        <v>4386</v>
      </c>
      <c r="P96" s="923" t="s">
        <v>4559</v>
      </c>
      <c r="Q96" s="911">
        <f t="shared" si="5"/>
        <v>-1</v>
      </c>
      <c r="R96" s="911">
        <f t="shared" si="5"/>
        <v>-20.11</v>
      </c>
      <c r="S96" s="924" t="str">
        <f t="shared" si="6"/>
        <v/>
      </c>
      <c r="T96" s="924" t="str">
        <f t="shared" si="7"/>
        <v/>
      </c>
      <c r="U96" s="924" t="str">
        <f t="shared" si="8"/>
        <v/>
      </c>
      <c r="V96" s="925" t="str">
        <f t="shared" si="9"/>
        <v/>
      </c>
      <c r="W96" s="912"/>
    </row>
    <row r="97" spans="1:23" ht="14.4" customHeight="1" x14ac:dyDescent="0.3">
      <c r="A97" s="973" t="s">
        <v>4560</v>
      </c>
      <c r="B97" s="924"/>
      <c r="C97" s="926"/>
      <c r="D97" s="927"/>
      <c r="E97" s="916">
        <v>1</v>
      </c>
      <c r="F97" s="917">
        <v>0.97</v>
      </c>
      <c r="G97" s="919">
        <v>12</v>
      </c>
      <c r="H97" s="908"/>
      <c r="I97" s="906"/>
      <c r="J97" s="907"/>
      <c r="K97" s="909">
        <v>0.89</v>
      </c>
      <c r="L97" s="908">
        <v>3</v>
      </c>
      <c r="M97" s="908">
        <v>24</v>
      </c>
      <c r="N97" s="910">
        <v>8</v>
      </c>
      <c r="O97" s="908" t="s">
        <v>4386</v>
      </c>
      <c r="P97" s="923" t="s">
        <v>4561</v>
      </c>
      <c r="Q97" s="911">
        <f t="shared" si="5"/>
        <v>0</v>
      </c>
      <c r="R97" s="911">
        <f t="shared" si="5"/>
        <v>0</v>
      </c>
      <c r="S97" s="924" t="str">
        <f t="shared" si="6"/>
        <v/>
      </c>
      <c r="T97" s="924" t="str">
        <f t="shared" si="7"/>
        <v/>
      </c>
      <c r="U97" s="924" t="str">
        <f t="shared" si="8"/>
        <v/>
      </c>
      <c r="V97" s="925" t="str">
        <f t="shared" si="9"/>
        <v/>
      </c>
      <c r="W97" s="912"/>
    </row>
    <row r="98" spans="1:23" ht="14.4" customHeight="1" x14ac:dyDescent="0.3">
      <c r="A98" s="972" t="s">
        <v>4562</v>
      </c>
      <c r="B98" s="966">
        <v>2</v>
      </c>
      <c r="C98" s="968">
        <v>2.0499999999999998</v>
      </c>
      <c r="D98" s="928">
        <v>8</v>
      </c>
      <c r="E98" s="969">
        <v>4</v>
      </c>
      <c r="F98" s="970">
        <v>3.57</v>
      </c>
      <c r="G98" s="920">
        <v>3.5</v>
      </c>
      <c r="H98" s="961">
        <v>1</v>
      </c>
      <c r="I98" s="960">
        <v>0.89</v>
      </c>
      <c r="J98" s="914">
        <v>5</v>
      </c>
      <c r="K98" s="962">
        <v>0.89</v>
      </c>
      <c r="L98" s="961">
        <v>3</v>
      </c>
      <c r="M98" s="961">
        <v>24</v>
      </c>
      <c r="N98" s="963">
        <v>8</v>
      </c>
      <c r="O98" s="961" t="s">
        <v>4386</v>
      </c>
      <c r="P98" s="964" t="s">
        <v>4561</v>
      </c>
      <c r="Q98" s="965">
        <f t="shared" si="5"/>
        <v>-1</v>
      </c>
      <c r="R98" s="965">
        <f t="shared" si="5"/>
        <v>-1.1599999999999997</v>
      </c>
      <c r="S98" s="966">
        <f t="shared" si="6"/>
        <v>8</v>
      </c>
      <c r="T98" s="966">
        <f t="shared" si="7"/>
        <v>5</v>
      </c>
      <c r="U98" s="966">
        <f t="shared" si="8"/>
        <v>-3</v>
      </c>
      <c r="V98" s="967">
        <f t="shared" si="9"/>
        <v>0.625</v>
      </c>
      <c r="W98" s="915"/>
    </row>
    <row r="99" spans="1:23" ht="14.4" customHeight="1" x14ac:dyDescent="0.3">
      <c r="A99" s="972" t="s">
        <v>4563</v>
      </c>
      <c r="B99" s="966"/>
      <c r="C99" s="968"/>
      <c r="D99" s="928"/>
      <c r="E99" s="969"/>
      <c r="F99" s="970"/>
      <c r="G99" s="920"/>
      <c r="H99" s="961">
        <v>3</v>
      </c>
      <c r="I99" s="960">
        <v>5.13</v>
      </c>
      <c r="J99" s="914">
        <v>8.6999999999999993</v>
      </c>
      <c r="K99" s="962">
        <v>1.62</v>
      </c>
      <c r="L99" s="961">
        <v>4</v>
      </c>
      <c r="M99" s="961">
        <v>36</v>
      </c>
      <c r="N99" s="963">
        <v>12</v>
      </c>
      <c r="O99" s="961" t="s">
        <v>4386</v>
      </c>
      <c r="P99" s="964" t="s">
        <v>4561</v>
      </c>
      <c r="Q99" s="965">
        <f t="shared" si="5"/>
        <v>3</v>
      </c>
      <c r="R99" s="965">
        <f t="shared" si="5"/>
        <v>5.13</v>
      </c>
      <c r="S99" s="966">
        <f t="shared" si="6"/>
        <v>36</v>
      </c>
      <c r="T99" s="966">
        <f t="shared" si="7"/>
        <v>26.099999999999998</v>
      </c>
      <c r="U99" s="966">
        <f t="shared" si="8"/>
        <v>-9.9000000000000021</v>
      </c>
      <c r="V99" s="967">
        <f t="shared" si="9"/>
        <v>0.72499999999999998</v>
      </c>
      <c r="W99" s="915">
        <v>3</v>
      </c>
    </row>
    <row r="100" spans="1:23" ht="14.4" customHeight="1" x14ac:dyDescent="0.3">
      <c r="A100" s="973" t="s">
        <v>4564</v>
      </c>
      <c r="B100" s="924">
        <v>1</v>
      </c>
      <c r="C100" s="926">
        <v>2.2599999999999998</v>
      </c>
      <c r="D100" s="927">
        <v>25</v>
      </c>
      <c r="E100" s="922">
        <v>1</v>
      </c>
      <c r="F100" s="906">
        <v>2.2599999999999998</v>
      </c>
      <c r="G100" s="907">
        <v>6</v>
      </c>
      <c r="H100" s="916"/>
      <c r="I100" s="917"/>
      <c r="J100" s="919"/>
      <c r="K100" s="909">
        <v>2.2599999999999998</v>
      </c>
      <c r="L100" s="908">
        <v>4</v>
      </c>
      <c r="M100" s="908">
        <v>39</v>
      </c>
      <c r="N100" s="910">
        <v>13</v>
      </c>
      <c r="O100" s="908" t="s">
        <v>4386</v>
      </c>
      <c r="P100" s="923" t="s">
        <v>4565</v>
      </c>
      <c r="Q100" s="911">
        <f t="shared" si="5"/>
        <v>-1</v>
      </c>
      <c r="R100" s="911">
        <f t="shared" si="5"/>
        <v>-2.2599999999999998</v>
      </c>
      <c r="S100" s="924" t="str">
        <f t="shared" si="6"/>
        <v/>
      </c>
      <c r="T100" s="924" t="str">
        <f t="shared" si="7"/>
        <v/>
      </c>
      <c r="U100" s="924" t="str">
        <f t="shared" si="8"/>
        <v/>
      </c>
      <c r="V100" s="925" t="str">
        <f t="shared" si="9"/>
        <v/>
      </c>
      <c r="W100" s="912"/>
    </row>
    <row r="101" spans="1:23" ht="14.4" customHeight="1" thickBot="1" x14ac:dyDescent="0.35">
      <c r="A101" s="974" t="s">
        <v>4566</v>
      </c>
      <c r="B101" s="975"/>
      <c r="C101" s="976"/>
      <c r="D101" s="977"/>
      <c r="E101" s="978"/>
      <c r="F101" s="979"/>
      <c r="G101" s="980"/>
      <c r="H101" s="981">
        <v>1</v>
      </c>
      <c r="I101" s="982">
        <v>3.15</v>
      </c>
      <c r="J101" s="983">
        <v>4</v>
      </c>
      <c r="K101" s="984">
        <v>4.42</v>
      </c>
      <c r="L101" s="985">
        <v>6</v>
      </c>
      <c r="M101" s="985">
        <v>57</v>
      </c>
      <c r="N101" s="986">
        <v>19</v>
      </c>
      <c r="O101" s="985" t="s">
        <v>4386</v>
      </c>
      <c r="P101" s="987" t="s">
        <v>4567</v>
      </c>
      <c r="Q101" s="988">
        <f t="shared" si="5"/>
        <v>1</v>
      </c>
      <c r="R101" s="988">
        <f t="shared" si="5"/>
        <v>3.15</v>
      </c>
      <c r="S101" s="975">
        <f t="shared" si="6"/>
        <v>19</v>
      </c>
      <c r="T101" s="975">
        <f t="shared" si="7"/>
        <v>4</v>
      </c>
      <c r="U101" s="975">
        <f t="shared" si="8"/>
        <v>-15</v>
      </c>
      <c r="V101" s="989">
        <f t="shared" si="9"/>
        <v>0.21052631578947367</v>
      </c>
      <c r="W101" s="990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102:Q1048576">
    <cfRule type="cellIs" dxfId="12" priority="9" stopIfTrue="1" operator="lessThan">
      <formula>0</formula>
    </cfRule>
  </conditionalFormatting>
  <conditionalFormatting sqref="U102:U1048576">
    <cfRule type="cellIs" dxfId="11" priority="8" stopIfTrue="1" operator="greaterThan">
      <formula>0</formula>
    </cfRule>
  </conditionalFormatting>
  <conditionalFormatting sqref="V102:V1048576">
    <cfRule type="cellIs" dxfId="10" priority="7" stopIfTrue="1" operator="greaterThan">
      <formula>1</formula>
    </cfRule>
  </conditionalFormatting>
  <conditionalFormatting sqref="V102:V1048576">
    <cfRule type="cellIs" dxfId="9" priority="4" stopIfTrue="1" operator="greaterThan">
      <formula>1</formula>
    </cfRule>
  </conditionalFormatting>
  <conditionalFormatting sqref="U102:U1048576">
    <cfRule type="cellIs" dxfId="8" priority="5" stopIfTrue="1" operator="greaterThan">
      <formula>0</formula>
    </cfRule>
  </conditionalFormatting>
  <conditionalFormatting sqref="Q102:Q1048576">
    <cfRule type="cellIs" dxfId="7" priority="6" stopIfTrue="1" operator="lessThan">
      <formula>0</formula>
    </cfRule>
  </conditionalFormatting>
  <conditionalFormatting sqref="V5:V101">
    <cfRule type="cellIs" dxfId="6" priority="1" stopIfTrue="1" operator="greaterThan">
      <formula>1</formula>
    </cfRule>
  </conditionalFormatting>
  <conditionalFormatting sqref="U5:U101">
    <cfRule type="cellIs" dxfId="5" priority="2" stopIfTrue="1" operator="greaterThan">
      <formula>0</formula>
    </cfRule>
  </conditionalFormatting>
  <conditionalFormatting sqref="Q5:Q101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9" t="s">
        <v>175</v>
      </c>
      <c r="B1" s="529"/>
      <c r="C1" s="529"/>
      <c r="D1" s="529"/>
      <c r="E1" s="529"/>
      <c r="F1" s="529"/>
      <c r="G1" s="529"/>
      <c r="H1" s="529"/>
      <c r="I1" s="529"/>
      <c r="J1" s="529"/>
    </row>
    <row r="2" spans="1:10" ht="14.4" customHeight="1" thickBot="1" x14ac:dyDescent="0.35">
      <c r="A2" s="374" t="s">
        <v>353</v>
      </c>
      <c r="B2" s="220"/>
      <c r="C2" s="220"/>
      <c r="D2" s="220"/>
      <c r="E2" s="220"/>
      <c r="F2" s="220"/>
    </row>
    <row r="3" spans="1:10" ht="14.4" customHeight="1" x14ac:dyDescent="0.3">
      <c r="A3" s="520"/>
      <c r="B3" s="216">
        <v>2015</v>
      </c>
      <c r="C3" s="44">
        <v>2016</v>
      </c>
      <c r="D3" s="11"/>
      <c r="E3" s="524">
        <v>2017</v>
      </c>
      <c r="F3" s="525"/>
      <c r="G3" s="525"/>
      <c r="H3" s="526"/>
      <c r="I3" s="527">
        <v>2017</v>
      </c>
      <c r="J3" s="528"/>
    </row>
    <row r="4" spans="1:10" ht="14.4" customHeight="1" thickBot="1" x14ac:dyDescent="0.35">
      <c r="A4" s="521"/>
      <c r="B4" s="522" t="s">
        <v>94</v>
      </c>
      <c r="C4" s="523"/>
      <c r="D4" s="11"/>
      <c r="E4" s="237" t="s">
        <v>94</v>
      </c>
      <c r="F4" s="218" t="s">
        <v>95</v>
      </c>
      <c r="G4" s="218" t="s">
        <v>69</v>
      </c>
      <c r="H4" s="219" t="s">
        <v>96</v>
      </c>
      <c r="I4" s="498" t="s">
        <v>341</v>
      </c>
      <c r="J4" s="499" t="s">
        <v>342</v>
      </c>
    </row>
    <row r="5" spans="1:10" ht="14.4" customHeight="1" x14ac:dyDescent="0.3">
      <c r="A5" s="221" t="str">
        <f>HYPERLINK("#'Léky Žádanky'!A1","Léky (Kč)")</f>
        <v>Léky (Kč)</v>
      </c>
      <c r="B5" s="31">
        <v>266.21758</v>
      </c>
      <c r="C5" s="33">
        <v>202.36369000000002</v>
      </c>
      <c r="D5" s="12"/>
      <c r="E5" s="226">
        <v>383.16381000000001</v>
      </c>
      <c r="F5" s="32">
        <v>409.099999999999</v>
      </c>
      <c r="G5" s="225">
        <f>E5-F5</f>
        <v>-25.936189999998987</v>
      </c>
      <c r="H5" s="231">
        <f>IF(F5&lt;0.00000001,"",E5/F5)</f>
        <v>0.93660183329259583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2347.9113800000023</v>
      </c>
      <c r="C6" s="35">
        <v>3016.95012</v>
      </c>
      <c r="D6" s="12"/>
      <c r="E6" s="227">
        <v>2538.11805</v>
      </c>
      <c r="F6" s="34">
        <v>2673.6666666666665</v>
      </c>
      <c r="G6" s="228">
        <f>E6-F6</f>
        <v>-135.54861666666648</v>
      </c>
      <c r="H6" s="232">
        <f>IF(F6&lt;0.00000001,"",E6/F6)</f>
        <v>0.94930235008103736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6805.8015000000123</v>
      </c>
      <c r="C7" s="35">
        <v>7207.6794599999994</v>
      </c>
      <c r="D7" s="12"/>
      <c r="E7" s="227">
        <v>8072.2866400000003</v>
      </c>
      <c r="F7" s="34">
        <v>8185.8333333333339</v>
      </c>
      <c r="G7" s="228">
        <f>E7-F7</f>
        <v>-113.54669333333368</v>
      </c>
      <c r="H7" s="232">
        <f>IF(F7&lt;0.00000001,"",E7/F7)</f>
        <v>0.98612887793952964</v>
      </c>
    </row>
    <row r="8" spans="1:10" ht="14.4" customHeight="1" thickBot="1" x14ac:dyDescent="0.35">
      <c r="A8" s="1" t="s">
        <v>97</v>
      </c>
      <c r="B8" s="15">
        <v>966.97945000000209</v>
      </c>
      <c r="C8" s="37">
        <v>1071.8872600000009</v>
      </c>
      <c r="D8" s="12"/>
      <c r="E8" s="229">
        <v>1085.7930299999998</v>
      </c>
      <c r="F8" s="36">
        <v>1041.4742056716159</v>
      </c>
      <c r="G8" s="230">
        <f>E8-F8</f>
        <v>44.318824328383926</v>
      </c>
      <c r="H8" s="233">
        <f>IF(F8&lt;0.00000001,"",E8/F8)</f>
        <v>1.0425539337287801</v>
      </c>
    </row>
    <row r="9" spans="1:10" ht="14.4" customHeight="1" thickBot="1" x14ac:dyDescent="0.35">
      <c r="A9" s="2" t="s">
        <v>98</v>
      </c>
      <c r="B9" s="3">
        <v>10386.909910000017</v>
      </c>
      <c r="C9" s="39">
        <v>11498.88053</v>
      </c>
      <c r="D9" s="12"/>
      <c r="E9" s="3">
        <v>12079.361530000002</v>
      </c>
      <c r="F9" s="38">
        <v>12310.074205671615</v>
      </c>
      <c r="G9" s="38">
        <f>E9-F9</f>
        <v>-230.7126756716134</v>
      </c>
      <c r="H9" s="234">
        <f>IF(F9&lt;0.00000001,"",E9/F9)</f>
        <v>0.98125822218315162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532.58199999999999</v>
      </c>
      <c r="C11" s="33">
        <f>IF(ISERROR(VLOOKUP("Celkem:",'ZV Vykáz.-A'!A:H,5,0)),0,VLOOKUP("Celkem:",'ZV Vykáz.-A'!A:H,5,0)/1000)</f>
        <v>705.68300999999951</v>
      </c>
      <c r="D11" s="12"/>
      <c r="E11" s="226">
        <f>IF(ISERROR(VLOOKUP("Celkem:",'ZV Vykáz.-A'!A:H,8,0)),0,VLOOKUP("Celkem:",'ZV Vykáz.-A'!A:H,8,0)/1000)</f>
        <v>705.57479000000035</v>
      </c>
      <c r="F11" s="32">
        <f>C11</f>
        <v>705.68300999999951</v>
      </c>
      <c r="G11" s="225">
        <f>E11-F11</f>
        <v>-0.10821999999916443</v>
      </c>
      <c r="H11" s="231">
        <f>IF(F11&lt;0.00000001,"",E11/F11)</f>
        <v>0.99984664502550635</v>
      </c>
      <c r="I11" s="225">
        <f>E11-B11</f>
        <v>172.99279000000035</v>
      </c>
      <c r="J11" s="231">
        <f>IF(B11&lt;0.00000001,"",E11/B11)</f>
        <v>1.3248190701150253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11633.28</v>
      </c>
      <c r="C12" s="37">
        <f>IF(ISERROR(VLOOKUP("Celkem",CaseMix!A:D,3,0)),0,VLOOKUP("Celkem",CaseMix!A:D,3,0)*30)</f>
        <v>10598.4</v>
      </c>
      <c r="D12" s="12"/>
      <c r="E12" s="229">
        <f>IF(ISERROR(VLOOKUP("Celkem",CaseMix!A:D,4,0)),0,VLOOKUP("Celkem",CaseMix!A:D,4,0)*30)</f>
        <v>9805.0499999999993</v>
      </c>
      <c r="F12" s="36">
        <f>C12</f>
        <v>10598.4</v>
      </c>
      <c r="G12" s="230">
        <f>E12-F12</f>
        <v>-793.35000000000036</v>
      </c>
      <c r="H12" s="233">
        <f>IF(F12&lt;0.00000001,"",E12/F12)</f>
        <v>0.92514436141304346</v>
      </c>
      <c r="I12" s="230">
        <f>E12-B12</f>
        <v>-1828.2300000000014</v>
      </c>
      <c r="J12" s="233">
        <f>IF(B12&lt;0.00000001,"",E12/B12)</f>
        <v>0.84284483825713807</v>
      </c>
    </row>
    <row r="13" spans="1:10" ht="14.4" customHeight="1" thickBot="1" x14ac:dyDescent="0.35">
      <c r="A13" s="4" t="s">
        <v>101</v>
      </c>
      <c r="B13" s="9">
        <f>SUM(B11:B12)</f>
        <v>12165.862000000001</v>
      </c>
      <c r="C13" s="41">
        <f>SUM(C11:C12)</f>
        <v>11304.083009999998</v>
      </c>
      <c r="D13" s="12"/>
      <c r="E13" s="9">
        <f>SUM(E11:E12)</f>
        <v>10510.62479</v>
      </c>
      <c r="F13" s="40">
        <f>SUM(F11:F12)</f>
        <v>11304.083009999998</v>
      </c>
      <c r="G13" s="40">
        <f>E13-F13</f>
        <v>-793.45821999999862</v>
      </c>
      <c r="H13" s="235">
        <f>IF(F13&lt;0.00000001,"",E13/F13)</f>
        <v>0.92980782082915736</v>
      </c>
      <c r="I13" s="40">
        <f>SUM(I11:I12)</f>
        <v>-1655.2372100000011</v>
      </c>
      <c r="J13" s="235">
        <f>IF(B13&lt;0.00000001,"",E13/B13)</f>
        <v>0.86394410770071195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1.1712686550104083</v>
      </c>
      <c r="C15" s="43">
        <f>IF(C9=0,"",C13/C9)</f>
        <v>0.98305943613451896</v>
      </c>
      <c r="D15" s="12"/>
      <c r="E15" s="10">
        <f>IF(E9=0,"",E13/E9)</f>
        <v>0.87013082304855882</v>
      </c>
      <c r="F15" s="42">
        <f>IF(F9=0,"",F13/F9)</f>
        <v>0.91827903074636807</v>
      </c>
      <c r="G15" s="42">
        <f>IF(ISERROR(F15-E15),"",E15-F15)</f>
        <v>-4.8148207697809253E-2</v>
      </c>
      <c r="H15" s="236">
        <f>IF(ISERROR(F15-E15),"",IF(F15&lt;0.00000001,"",E15/F15))</f>
        <v>0.94756690931004395</v>
      </c>
    </row>
    <row r="17" spans="1:8" ht="14.4" customHeight="1" x14ac:dyDescent="0.3">
      <c r="A17" s="222" t="s">
        <v>202</v>
      </c>
    </row>
    <row r="18" spans="1:8" ht="14.4" customHeight="1" x14ac:dyDescent="0.3">
      <c r="A18" s="429" t="s">
        <v>243</v>
      </c>
      <c r="B18" s="430"/>
      <c r="C18" s="430"/>
      <c r="D18" s="430"/>
      <c r="E18" s="430"/>
      <c r="F18" s="430"/>
      <c r="G18" s="430"/>
      <c r="H18" s="430"/>
    </row>
    <row r="19" spans="1:8" x14ac:dyDescent="0.3">
      <c r="A19" s="428" t="s">
        <v>242</v>
      </c>
      <c r="B19" s="430"/>
      <c r="C19" s="430"/>
      <c r="D19" s="430"/>
      <c r="E19" s="430"/>
      <c r="F19" s="430"/>
      <c r="G19" s="430"/>
      <c r="H19" s="430"/>
    </row>
    <row r="20" spans="1:8" ht="14.4" customHeight="1" x14ac:dyDescent="0.3">
      <c r="A20" s="223" t="s">
        <v>292</v>
      </c>
    </row>
    <row r="21" spans="1:8" ht="14.4" customHeight="1" x14ac:dyDescent="0.3">
      <c r="A21" s="223" t="s">
        <v>203</v>
      </c>
    </row>
    <row r="22" spans="1:8" ht="14.4" customHeight="1" x14ac:dyDescent="0.3">
      <c r="A22" s="224" t="s">
        <v>340</v>
      </c>
    </row>
    <row r="23" spans="1:8" ht="14.4" customHeight="1" x14ac:dyDescent="0.3">
      <c r="A23" s="224" t="s">
        <v>204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5" priority="8" operator="greaterThan">
      <formula>0</formula>
    </cfRule>
  </conditionalFormatting>
  <conditionalFormatting sqref="G11:G13 G15">
    <cfRule type="cellIs" dxfId="84" priority="7" operator="lessThan">
      <formula>0</formula>
    </cfRule>
  </conditionalFormatting>
  <conditionalFormatting sqref="H5:H9">
    <cfRule type="cellIs" dxfId="83" priority="6" operator="greaterThan">
      <formula>1</formula>
    </cfRule>
  </conditionalFormatting>
  <conditionalFormatting sqref="H11:H13 H15">
    <cfRule type="cellIs" dxfId="82" priority="5" operator="lessThan">
      <formula>1</formula>
    </cfRule>
  </conditionalFormatting>
  <conditionalFormatting sqref="I11:I13">
    <cfRule type="cellIs" dxfId="81" priority="4" operator="lessThan">
      <formula>0</formula>
    </cfRule>
  </conditionalFormatting>
  <conditionalFormatting sqref="J11:J13">
    <cfRule type="cellIs" dxfId="8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30" t="s">
        <v>158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</row>
    <row r="2" spans="1:13" ht="14.4" customHeight="1" thickBot="1" x14ac:dyDescent="0.35">
      <c r="A2" s="374" t="s">
        <v>353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159</v>
      </c>
      <c r="B3" s="343">
        <f>SUBTOTAL(9,B6:B1048576)</f>
        <v>1095185</v>
      </c>
      <c r="C3" s="344">
        <f t="shared" ref="C3:L3" si="0">SUBTOTAL(9,C6:C1048576)</f>
        <v>18.706217365630657</v>
      </c>
      <c r="D3" s="344">
        <f t="shared" si="0"/>
        <v>957685</v>
      </c>
      <c r="E3" s="344">
        <f t="shared" si="0"/>
        <v>7</v>
      </c>
      <c r="F3" s="344">
        <f t="shared" si="0"/>
        <v>938830</v>
      </c>
      <c r="G3" s="347">
        <f>IF(D3&lt;&gt;0,F3/D3,"")</f>
        <v>0.98031189796227358</v>
      </c>
      <c r="H3" s="343">
        <f t="shared" si="0"/>
        <v>86184.790000000008</v>
      </c>
      <c r="I3" s="344">
        <f t="shared" si="0"/>
        <v>17.525052345412092</v>
      </c>
      <c r="J3" s="344">
        <f t="shared" si="0"/>
        <v>16848.75</v>
      </c>
      <c r="K3" s="344">
        <f t="shared" si="0"/>
        <v>2</v>
      </c>
      <c r="L3" s="344">
        <f t="shared" si="0"/>
        <v>18642.75</v>
      </c>
      <c r="M3" s="345">
        <f>IF(J3&lt;&gt;0,L3/J3,"")</f>
        <v>1.1064767415980414</v>
      </c>
    </row>
    <row r="4" spans="1:13" ht="14.4" customHeight="1" x14ac:dyDescent="0.3">
      <c r="A4" s="658" t="s">
        <v>118</v>
      </c>
      <c r="B4" s="594" t="s">
        <v>123</v>
      </c>
      <c r="C4" s="595"/>
      <c r="D4" s="595"/>
      <c r="E4" s="595"/>
      <c r="F4" s="595"/>
      <c r="G4" s="597"/>
      <c r="H4" s="594" t="s">
        <v>124</v>
      </c>
      <c r="I4" s="595"/>
      <c r="J4" s="595"/>
      <c r="K4" s="595"/>
      <c r="L4" s="595"/>
      <c r="M4" s="597"/>
    </row>
    <row r="5" spans="1:13" s="330" customFormat="1" ht="14.4" customHeight="1" thickBot="1" x14ac:dyDescent="0.35">
      <c r="A5" s="991"/>
      <c r="B5" s="992">
        <v>2015</v>
      </c>
      <c r="C5" s="993"/>
      <c r="D5" s="993">
        <v>2016</v>
      </c>
      <c r="E5" s="993"/>
      <c r="F5" s="993">
        <v>2017</v>
      </c>
      <c r="G5" s="897" t="s">
        <v>2</v>
      </c>
      <c r="H5" s="992">
        <v>2015</v>
      </c>
      <c r="I5" s="993"/>
      <c r="J5" s="993">
        <v>2016</v>
      </c>
      <c r="K5" s="993"/>
      <c r="L5" s="993">
        <v>2017</v>
      </c>
      <c r="M5" s="897" t="s">
        <v>2</v>
      </c>
    </row>
    <row r="6" spans="1:13" ht="14.4" customHeight="1" x14ac:dyDescent="0.3">
      <c r="A6" s="819" t="s">
        <v>3490</v>
      </c>
      <c r="B6" s="879">
        <v>4410</v>
      </c>
      <c r="C6" s="788"/>
      <c r="D6" s="879"/>
      <c r="E6" s="788"/>
      <c r="F6" s="879"/>
      <c r="G6" s="793"/>
      <c r="H6" s="879"/>
      <c r="I6" s="788"/>
      <c r="J6" s="879"/>
      <c r="K6" s="788"/>
      <c r="L6" s="879"/>
      <c r="M6" s="231"/>
    </row>
    <row r="7" spans="1:13" ht="14.4" customHeight="1" x14ac:dyDescent="0.3">
      <c r="A7" s="820" t="s">
        <v>4569</v>
      </c>
      <c r="B7" s="881">
        <v>28680</v>
      </c>
      <c r="C7" s="795">
        <v>6.5479452054794525</v>
      </c>
      <c r="D7" s="881">
        <v>4380</v>
      </c>
      <c r="E7" s="795">
        <v>1</v>
      </c>
      <c r="F7" s="881"/>
      <c r="G7" s="800"/>
      <c r="H7" s="881">
        <v>31398.050000000003</v>
      </c>
      <c r="I7" s="795">
        <v>13.764192465170925</v>
      </c>
      <c r="J7" s="881">
        <v>2281.14</v>
      </c>
      <c r="K7" s="795">
        <v>1</v>
      </c>
      <c r="L7" s="881"/>
      <c r="M7" s="801"/>
    </row>
    <row r="8" spans="1:13" ht="14.4" customHeight="1" x14ac:dyDescent="0.3">
      <c r="A8" s="820" t="s">
        <v>3497</v>
      </c>
      <c r="B8" s="881">
        <v>81002</v>
      </c>
      <c r="C8" s="795">
        <v>3.3954560697518446</v>
      </c>
      <c r="D8" s="881">
        <v>23856</v>
      </c>
      <c r="E8" s="795">
        <v>1</v>
      </c>
      <c r="F8" s="881">
        <v>55858</v>
      </c>
      <c r="G8" s="800">
        <v>2.3414654594232061</v>
      </c>
      <c r="H8" s="881"/>
      <c r="I8" s="795"/>
      <c r="J8" s="881"/>
      <c r="K8" s="795"/>
      <c r="L8" s="881"/>
      <c r="M8" s="801"/>
    </row>
    <row r="9" spans="1:13" ht="14.4" customHeight="1" x14ac:dyDescent="0.3">
      <c r="A9" s="820" t="s">
        <v>4570</v>
      </c>
      <c r="B9" s="881">
        <v>155567</v>
      </c>
      <c r="C9" s="795">
        <v>1.3309178950610419</v>
      </c>
      <c r="D9" s="881">
        <v>116887</v>
      </c>
      <c r="E9" s="795">
        <v>1</v>
      </c>
      <c r="F9" s="881">
        <v>153987</v>
      </c>
      <c r="G9" s="800">
        <v>1.3174005663589621</v>
      </c>
      <c r="H9" s="881"/>
      <c r="I9" s="795"/>
      <c r="J9" s="881"/>
      <c r="K9" s="795"/>
      <c r="L9" s="881"/>
      <c r="M9" s="801"/>
    </row>
    <row r="10" spans="1:13" ht="14.4" customHeight="1" x14ac:dyDescent="0.3">
      <c r="A10" s="820" t="s">
        <v>4571</v>
      </c>
      <c r="B10" s="881">
        <v>690990</v>
      </c>
      <c r="C10" s="795">
        <v>0.98384253735380967</v>
      </c>
      <c r="D10" s="881">
        <v>702338</v>
      </c>
      <c r="E10" s="795">
        <v>1</v>
      </c>
      <c r="F10" s="881">
        <v>607016</v>
      </c>
      <c r="G10" s="800">
        <v>0.86427902235106169</v>
      </c>
      <c r="H10" s="881">
        <v>54786.740000000005</v>
      </c>
      <c r="I10" s="795">
        <v>3.7608598802411652</v>
      </c>
      <c r="J10" s="881">
        <v>14567.61</v>
      </c>
      <c r="K10" s="795">
        <v>1</v>
      </c>
      <c r="L10" s="881">
        <v>18642.75</v>
      </c>
      <c r="M10" s="801">
        <v>1.2797397788655791</v>
      </c>
    </row>
    <row r="11" spans="1:13" ht="14.4" customHeight="1" x14ac:dyDescent="0.3">
      <c r="A11" s="820" t="s">
        <v>4572</v>
      </c>
      <c r="B11" s="881">
        <v>64645</v>
      </c>
      <c r="C11" s="795">
        <v>0.9545924394565859</v>
      </c>
      <c r="D11" s="881">
        <v>67720</v>
      </c>
      <c r="E11" s="795">
        <v>1</v>
      </c>
      <c r="F11" s="881">
        <v>73515</v>
      </c>
      <c r="G11" s="800">
        <v>1.0855729474305966</v>
      </c>
      <c r="H11" s="881"/>
      <c r="I11" s="795"/>
      <c r="J11" s="881"/>
      <c r="K11" s="795"/>
      <c r="L11" s="881"/>
      <c r="M11" s="801"/>
    </row>
    <row r="12" spans="1:13" ht="14.4" customHeight="1" x14ac:dyDescent="0.3">
      <c r="A12" s="820" t="s">
        <v>4573</v>
      </c>
      <c r="B12" s="881">
        <v>16146</v>
      </c>
      <c r="C12" s="795">
        <v>4.1602679721721207</v>
      </c>
      <c r="D12" s="881">
        <v>3881</v>
      </c>
      <c r="E12" s="795">
        <v>1</v>
      </c>
      <c r="F12" s="881">
        <v>6140</v>
      </c>
      <c r="G12" s="800">
        <v>1.58206647771193</v>
      </c>
      <c r="H12" s="881"/>
      <c r="I12" s="795"/>
      <c r="J12" s="881"/>
      <c r="K12" s="795"/>
      <c r="L12" s="881"/>
      <c r="M12" s="801"/>
    </row>
    <row r="13" spans="1:13" ht="14.4" customHeight="1" x14ac:dyDescent="0.3">
      <c r="A13" s="820" t="s">
        <v>4574</v>
      </c>
      <c r="B13" s="881">
        <v>51492</v>
      </c>
      <c r="C13" s="795">
        <v>1.3331952463557983</v>
      </c>
      <c r="D13" s="881">
        <v>38623</v>
      </c>
      <c r="E13" s="795">
        <v>1</v>
      </c>
      <c r="F13" s="881">
        <v>42314</v>
      </c>
      <c r="G13" s="800">
        <v>1.0955648188902984</v>
      </c>
      <c r="H13" s="881"/>
      <c r="I13" s="795"/>
      <c r="J13" s="881"/>
      <c r="K13" s="795"/>
      <c r="L13" s="881"/>
      <c r="M13" s="801"/>
    </row>
    <row r="14" spans="1:13" ht="14.4" customHeight="1" thickBot="1" x14ac:dyDescent="0.35">
      <c r="A14" s="885" t="s">
        <v>4575</v>
      </c>
      <c r="B14" s="883">
        <v>2253</v>
      </c>
      <c r="C14" s="803"/>
      <c r="D14" s="883"/>
      <c r="E14" s="803"/>
      <c r="F14" s="883"/>
      <c r="G14" s="808"/>
      <c r="H14" s="883"/>
      <c r="I14" s="803"/>
      <c r="J14" s="883"/>
      <c r="K14" s="803"/>
      <c r="L14" s="883"/>
      <c r="M14" s="809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17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30" t="s">
        <v>4929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</row>
    <row r="2" spans="1:17" ht="14.4" customHeight="1" thickBot="1" x14ac:dyDescent="0.35">
      <c r="A2" s="374" t="s">
        <v>353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159</v>
      </c>
      <c r="F3" s="207">
        <f t="shared" ref="F3:O3" si="0">SUBTOTAL(9,F6:F1048576)</f>
        <v>7552.92</v>
      </c>
      <c r="G3" s="211">
        <f t="shared" si="0"/>
        <v>1181369.79</v>
      </c>
      <c r="H3" s="212"/>
      <c r="I3" s="212"/>
      <c r="J3" s="207">
        <f t="shared" si="0"/>
        <v>6121.6900000000005</v>
      </c>
      <c r="K3" s="211">
        <f t="shared" si="0"/>
        <v>974533.75</v>
      </c>
      <c r="L3" s="212"/>
      <c r="M3" s="212"/>
      <c r="N3" s="207">
        <f t="shared" si="0"/>
        <v>6542.13</v>
      </c>
      <c r="O3" s="211">
        <f t="shared" si="0"/>
        <v>957472.75</v>
      </c>
      <c r="P3" s="177">
        <f>IF(K3=0,"",O3/K3)</f>
        <v>0.98249316660402986</v>
      </c>
      <c r="Q3" s="209">
        <f>IF(N3=0,"",O3/N3)</f>
        <v>146.35489511825659</v>
      </c>
    </row>
    <row r="4" spans="1:17" ht="14.4" customHeight="1" x14ac:dyDescent="0.3">
      <c r="A4" s="602" t="s">
        <v>74</v>
      </c>
      <c r="B4" s="600" t="s">
        <v>119</v>
      </c>
      <c r="C4" s="602" t="s">
        <v>120</v>
      </c>
      <c r="D4" s="611" t="s">
        <v>90</v>
      </c>
      <c r="E4" s="603" t="s">
        <v>11</v>
      </c>
      <c r="F4" s="609">
        <v>2015</v>
      </c>
      <c r="G4" s="610"/>
      <c r="H4" s="210"/>
      <c r="I4" s="210"/>
      <c r="J4" s="609">
        <v>2016</v>
      </c>
      <c r="K4" s="610"/>
      <c r="L4" s="210"/>
      <c r="M4" s="210"/>
      <c r="N4" s="609">
        <v>2017</v>
      </c>
      <c r="O4" s="610"/>
      <c r="P4" s="612" t="s">
        <v>2</v>
      </c>
      <c r="Q4" s="601" t="s">
        <v>122</v>
      </c>
    </row>
    <row r="5" spans="1:17" ht="14.4" customHeight="1" thickBot="1" x14ac:dyDescent="0.35">
      <c r="A5" s="888"/>
      <c r="B5" s="886"/>
      <c r="C5" s="888"/>
      <c r="D5" s="898"/>
      <c r="E5" s="890"/>
      <c r="F5" s="899" t="s">
        <v>91</v>
      </c>
      <c r="G5" s="900" t="s">
        <v>14</v>
      </c>
      <c r="H5" s="901"/>
      <c r="I5" s="901"/>
      <c r="J5" s="899" t="s">
        <v>91</v>
      </c>
      <c r="K5" s="900" t="s">
        <v>14</v>
      </c>
      <c r="L5" s="901"/>
      <c r="M5" s="901"/>
      <c r="N5" s="899" t="s">
        <v>91</v>
      </c>
      <c r="O5" s="900" t="s">
        <v>14</v>
      </c>
      <c r="P5" s="902"/>
      <c r="Q5" s="895"/>
    </row>
    <row r="6" spans="1:17" ht="14.4" customHeight="1" x14ac:dyDescent="0.3">
      <c r="A6" s="787" t="s">
        <v>3512</v>
      </c>
      <c r="B6" s="788" t="s">
        <v>4576</v>
      </c>
      <c r="C6" s="788" t="s">
        <v>3374</v>
      </c>
      <c r="D6" s="788" t="s">
        <v>4577</v>
      </c>
      <c r="E6" s="788" t="s">
        <v>4578</v>
      </c>
      <c r="F6" s="225">
        <v>6</v>
      </c>
      <c r="G6" s="225">
        <v>2778</v>
      </c>
      <c r="H6" s="225"/>
      <c r="I6" s="225">
        <v>463</v>
      </c>
      <c r="J6" s="225"/>
      <c r="K6" s="225"/>
      <c r="L6" s="225"/>
      <c r="M6" s="225"/>
      <c r="N6" s="225"/>
      <c r="O6" s="225"/>
      <c r="P6" s="793"/>
      <c r="Q6" s="811"/>
    </row>
    <row r="7" spans="1:17" ht="14.4" customHeight="1" x14ac:dyDescent="0.3">
      <c r="A7" s="794" t="s">
        <v>3512</v>
      </c>
      <c r="B7" s="795" t="s">
        <v>4576</v>
      </c>
      <c r="C7" s="795" t="s">
        <v>3374</v>
      </c>
      <c r="D7" s="795" t="s">
        <v>4579</v>
      </c>
      <c r="E7" s="795" t="s">
        <v>4580</v>
      </c>
      <c r="F7" s="812">
        <v>16</v>
      </c>
      <c r="G7" s="812">
        <v>1296</v>
      </c>
      <c r="H7" s="812"/>
      <c r="I7" s="812">
        <v>81</v>
      </c>
      <c r="J7" s="812"/>
      <c r="K7" s="812"/>
      <c r="L7" s="812"/>
      <c r="M7" s="812"/>
      <c r="N7" s="812"/>
      <c r="O7" s="812"/>
      <c r="P7" s="800"/>
      <c r="Q7" s="813"/>
    </row>
    <row r="8" spans="1:17" ht="14.4" customHeight="1" x14ac:dyDescent="0.3">
      <c r="A8" s="794" t="s">
        <v>3512</v>
      </c>
      <c r="B8" s="795" t="s">
        <v>4576</v>
      </c>
      <c r="C8" s="795" t="s">
        <v>3374</v>
      </c>
      <c r="D8" s="795" t="s">
        <v>4581</v>
      </c>
      <c r="E8" s="795" t="s">
        <v>4582</v>
      </c>
      <c r="F8" s="812">
        <v>1</v>
      </c>
      <c r="G8" s="812">
        <v>166</v>
      </c>
      <c r="H8" s="812"/>
      <c r="I8" s="812">
        <v>166</v>
      </c>
      <c r="J8" s="812"/>
      <c r="K8" s="812"/>
      <c r="L8" s="812"/>
      <c r="M8" s="812"/>
      <c r="N8" s="812"/>
      <c r="O8" s="812"/>
      <c r="P8" s="800"/>
      <c r="Q8" s="813"/>
    </row>
    <row r="9" spans="1:17" ht="14.4" customHeight="1" x14ac:dyDescent="0.3">
      <c r="A9" s="794" t="s">
        <v>3512</v>
      </c>
      <c r="B9" s="795" t="s">
        <v>4576</v>
      </c>
      <c r="C9" s="795" t="s">
        <v>3374</v>
      </c>
      <c r="D9" s="795" t="s">
        <v>4583</v>
      </c>
      <c r="E9" s="795" t="s">
        <v>4584</v>
      </c>
      <c r="F9" s="812">
        <v>1</v>
      </c>
      <c r="G9" s="812">
        <v>170</v>
      </c>
      <c r="H9" s="812"/>
      <c r="I9" s="812">
        <v>170</v>
      </c>
      <c r="J9" s="812"/>
      <c r="K9" s="812"/>
      <c r="L9" s="812"/>
      <c r="M9" s="812"/>
      <c r="N9" s="812"/>
      <c r="O9" s="812"/>
      <c r="P9" s="800"/>
      <c r="Q9" s="813"/>
    </row>
    <row r="10" spans="1:17" ht="14.4" customHeight="1" x14ac:dyDescent="0.3">
      <c r="A10" s="794" t="s">
        <v>4585</v>
      </c>
      <c r="B10" s="795" t="s">
        <v>4586</v>
      </c>
      <c r="C10" s="795" t="s">
        <v>3365</v>
      </c>
      <c r="D10" s="795" t="s">
        <v>4587</v>
      </c>
      <c r="E10" s="795" t="s">
        <v>4588</v>
      </c>
      <c r="F10" s="812">
        <v>0.95</v>
      </c>
      <c r="G10" s="812">
        <v>1682.26</v>
      </c>
      <c r="H10" s="812"/>
      <c r="I10" s="812">
        <v>1770.8000000000002</v>
      </c>
      <c r="J10" s="812"/>
      <c r="K10" s="812"/>
      <c r="L10" s="812"/>
      <c r="M10" s="812"/>
      <c r="N10" s="812"/>
      <c r="O10" s="812"/>
      <c r="P10" s="800"/>
      <c r="Q10" s="813"/>
    </row>
    <row r="11" spans="1:17" ht="14.4" customHeight="1" x14ac:dyDescent="0.3">
      <c r="A11" s="794" t="s">
        <v>4585</v>
      </c>
      <c r="B11" s="795" t="s">
        <v>4586</v>
      </c>
      <c r="C11" s="795" t="s">
        <v>3601</v>
      </c>
      <c r="D11" s="795" t="s">
        <v>4589</v>
      </c>
      <c r="E11" s="795" t="s">
        <v>4590</v>
      </c>
      <c r="F11" s="812"/>
      <c r="G11" s="812"/>
      <c r="H11" s="812"/>
      <c r="I11" s="812"/>
      <c r="J11" s="812">
        <v>667</v>
      </c>
      <c r="K11" s="812">
        <v>2281.14</v>
      </c>
      <c r="L11" s="812">
        <v>1</v>
      </c>
      <c r="M11" s="812">
        <v>3.42</v>
      </c>
      <c r="N11" s="812"/>
      <c r="O11" s="812"/>
      <c r="P11" s="800"/>
      <c r="Q11" s="813"/>
    </row>
    <row r="12" spans="1:17" ht="14.4" customHeight="1" x14ac:dyDescent="0.3">
      <c r="A12" s="794" t="s">
        <v>4585</v>
      </c>
      <c r="B12" s="795" t="s">
        <v>4586</v>
      </c>
      <c r="C12" s="795" t="s">
        <v>3601</v>
      </c>
      <c r="D12" s="795" t="s">
        <v>4591</v>
      </c>
      <c r="E12" s="795" t="s">
        <v>4592</v>
      </c>
      <c r="F12" s="812">
        <v>833</v>
      </c>
      <c r="G12" s="812">
        <v>27947.15</v>
      </c>
      <c r="H12" s="812"/>
      <c r="I12" s="812">
        <v>33.550000000000004</v>
      </c>
      <c r="J12" s="812"/>
      <c r="K12" s="812"/>
      <c r="L12" s="812"/>
      <c r="M12" s="812"/>
      <c r="N12" s="812"/>
      <c r="O12" s="812"/>
      <c r="P12" s="800"/>
      <c r="Q12" s="813"/>
    </row>
    <row r="13" spans="1:17" ht="14.4" customHeight="1" x14ac:dyDescent="0.3">
      <c r="A13" s="794" t="s">
        <v>4585</v>
      </c>
      <c r="B13" s="795" t="s">
        <v>4586</v>
      </c>
      <c r="C13" s="795" t="s">
        <v>3612</v>
      </c>
      <c r="D13" s="795" t="s">
        <v>4593</v>
      </c>
      <c r="E13" s="795" t="s">
        <v>4594</v>
      </c>
      <c r="F13" s="812">
        <v>2</v>
      </c>
      <c r="G13" s="812">
        <v>1768.64</v>
      </c>
      <c r="H13" s="812"/>
      <c r="I13" s="812">
        <v>884.32</v>
      </c>
      <c r="J13" s="812"/>
      <c r="K13" s="812"/>
      <c r="L13" s="812"/>
      <c r="M13" s="812"/>
      <c r="N13" s="812"/>
      <c r="O13" s="812"/>
      <c r="P13" s="800"/>
      <c r="Q13" s="813"/>
    </row>
    <row r="14" spans="1:17" ht="14.4" customHeight="1" x14ac:dyDescent="0.3">
      <c r="A14" s="794" t="s">
        <v>4585</v>
      </c>
      <c r="B14" s="795" t="s">
        <v>4586</v>
      </c>
      <c r="C14" s="795" t="s">
        <v>3374</v>
      </c>
      <c r="D14" s="795" t="s">
        <v>4595</v>
      </c>
      <c r="E14" s="795" t="s">
        <v>4596</v>
      </c>
      <c r="F14" s="812"/>
      <c r="G14" s="812"/>
      <c r="H14" s="812"/>
      <c r="I14" s="812"/>
      <c r="J14" s="812">
        <v>1</v>
      </c>
      <c r="K14" s="812">
        <v>1213</v>
      </c>
      <c r="L14" s="812">
        <v>1</v>
      </c>
      <c r="M14" s="812">
        <v>1213</v>
      </c>
      <c r="N14" s="812"/>
      <c r="O14" s="812"/>
      <c r="P14" s="800"/>
      <c r="Q14" s="813"/>
    </row>
    <row r="15" spans="1:17" ht="14.4" customHeight="1" x14ac:dyDescent="0.3">
      <c r="A15" s="794" t="s">
        <v>4585</v>
      </c>
      <c r="B15" s="795" t="s">
        <v>4586</v>
      </c>
      <c r="C15" s="795" t="s">
        <v>3374</v>
      </c>
      <c r="D15" s="795" t="s">
        <v>4597</v>
      </c>
      <c r="E15" s="795" t="s">
        <v>4598</v>
      </c>
      <c r="F15" s="812"/>
      <c r="G15" s="812"/>
      <c r="H15" s="812"/>
      <c r="I15" s="812"/>
      <c r="J15" s="812">
        <v>1</v>
      </c>
      <c r="K15" s="812">
        <v>1825</v>
      </c>
      <c r="L15" s="812">
        <v>1</v>
      </c>
      <c r="M15" s="812">
        <v>1825</v>
      </c>
      <c r="N15" s="812"/>
      <c r="O15" s="812"/>
      <c r="P15" s="800"/>
      <c r="Q15" s="813"/>
    </row>
    <row r="16" spans="1:17" ht="14.4" customHeight="1" x14ac:dyDescent="0.3">
      <c r="A16" s="794" t="s">
        <v>4585</v>
      </c>
      <c r="B16" s="795" t="s">
        <v>4586</v>
      </c>
      <c r="C16" s="795" t="s">
        <v>3374</v>
      </c>
      <c r="D16" s="795" t="s">
        <v>4599</v>
      </c>
      <c r="E16" s="795" t="s">
        <v>4600</v>
      </c>
      <c r="F16" s="812">
        <v>2</v>
      </c>
      <c r="G16" s="812">
        <v>28680</v>
      </c>
      <c r="H16" s="812"/>
      <c r="I16" s="812">
        <v>14340</v>
      </c>
      <c r="J16" s="812"/>
      <c r="K16" s="812"/>
      <c r="L16" s="812"/>
      <c r="M16" s="812"/>
      <c r="N16" s="812"/>
      <c r="O16" s="812"/>
      <c r="P16" s="800"/>
      <c r="Q16" s="813"/>
    </row>
    <row r="17" spans="1:17" ht="14.4" customHeight="1" x14ac:dyDescent="0.3">
      <c r="A17" s="794" t="s">
        <v>4585</v>
      </c>
      <c r="B17" s="795" t="s">
        <v>4586</v>
      </c>
      <c r="C17" s="795" t="s">
        <v>3374</v>
      </c>
      <c r="D17" s="795" t="s">
        <v>4601</v>
      </c>
      <c r="E17" s="795" t="s">
        <v>4602</v>
      </c>
      <c r="F17" s="812"/>
      <c r="G17" s="812"/>
      <c r="H17" s="812"/>
      <c r="I17" s="812"/>
      <c r="J17" s="812">
        <v>1</v>
      </c>
      <c r="K17" s="812">
        <v>1342</v>
      </c>
      <c r="L17" s="812">
        <v>1</v>
      </c>
      <c r="M17" s="812">
        <v>1342</v>
      </c>
      <c r="N17" s="812"/>
      <c r="O17" s="812"/>
      <c r="P17" s="800"/>
      <c r="Q17" s="813"/>
    </row>
    <row r="18" spans="1:17" ht="14.4" customHeight="1" x14ac:dyDescent="0.3">
      <c r="A18" s="794" t="s">
        <v>4381</v>
      </c>
      <c r="B18" s="795" t="s">
        <v>4603</v>
      </c>
      <c r="C18" s="795" t="s">
        <v>3374</v>
      </c>
      <c r="D18" s="795" t="s">
        <v>4604</v>
      </c>
      <c r="E18" s="795" t="s">
        <v>4605</v>
      </c>
      <c r="F18" s="812">
        <v>2</v>
      </c>
      <c r="G18" s="812">
        <v>2536</v>
      </c>
      <c r="H18" s="812"/>
      <c r="I18" s="812">
        <v>1268</v>
      </c>
      <c r="J18" s="812"/>
      <c r="K18" s="812"/>
      <c r="L18" s="812"/>
      <c r="M18" s="812"/>
      <c r="N18" s="812"/>
      <c r="O18" s="812"/>
      <c r="P18" s="800"/>
      <c r="Q18" s="813"/>
    </row>
    <row r="19" spans="1:17" ht="14.4" customHeight="1" x14ac:dyDescent="0.3">
      <c r="A19" s="794" t="s">
        <v>4381</v>
      </c>
      <c r="B19" s="795" t="s">
        <v>4603</v>
      </c>
      <c r="C19" s="795" t="s">
        <v>3374</v>
      </c>
      <c r="D19" s="795" t="s">
        <v>4606</v>
      </c>
      <c r="E19" s="795" t="s">
        <v>4607</v>
      </c>
      <c r="F19" s="812">
        <v>12</v>
      </c>
      <c r="G19" s="812">
        <v>12096</v>
      </c>
      <c r="H19" s="812"/>
      <c r="I19" s="812">
        <v>1008</v>
      </c>
      <c r="J19" s="812"/>
      <c r="K19" s="812"/>
      <c r="L19" s="812"/>
      <c r="M19" s="812"/>
      <c r="N19" s="812"/>
      <c r="O19" s="812"/>
      <c r="P19" s="800"/>
      <c r="Q19" s="813"/>
    </row>
    <row r="20" spans="1:17" ht="14.4" customHeight="1" x14ac:dyDescent="0.3">
      <c r="A20" s="794" t="s">
        <v>4381</v>
      </c>
      <c r="B20" s="795" t="s">
        <v>4603</v>
      </c>
      <c r="C20" s="795" t="s">
        <v>3374</v>
      </c>
      <c r="D20" s="795" t="s">
        <v>4608</v>
      </c>
      <c r="E20" s="795" t="s">
        <v>4609</v>
      </c>
      <c r="F20" s="812">
        <v>8</v>
      </c>
      <c r="G20" s="812">
        <v>18112</v>
      </c>
      <c r="H20" s="812"/>
      <c r="I20" s="812">
        <v>2264</v>
      </c>
      <c r="J20" s="812"/>
      <c r="K20" s="812"/>
      <c r="L20" s="812"/>
      <c r="M20" s="812"/>
      <c r="N20" s="812"/>
      <c r="O20" s="812"/>
      <c r="P20" s="800"/>
      <c r="Q20" s="813"/>
    </row>
    <row r="21" spans="1:17" ht="14.4" customHeight="1" x14ac:dyDescent="0.3">
      <c r="A21" s="794" t="s">
        <v>4381</v>
      </c>
      <c r="B21" s="795" t="s">
        <v>4603</v>
      </c>
      <c r="C21" s="795" t="s">
        <v>3374</v>
      </c>
      <c r="D21" s="795" t="s">
        <v>4610</v>
      </c>
      <c r="E21" s="795" t="s">
        <v>4611</v>
      </c>
      <c r="F21" s="812">
        <v>2</v>
      </c>
      <c r="G21" s="812">
        <v>742</v>
      </c>
      <c r="H21" s="812"/>
      <c r="I21" s="812">
        <v>371</v>
      </c>
      <c r="J21" s="812"/>
      <c r="K21" s="812"/>
      <c r="L21" s="812"/>
      <c r="M21" s="812"/>
      <c r="N21" s="812"/>
      <c r="O21" s="812"/>
      <c r="P21" s="800"/>
      <c r="Q21" s="813"/>
    </row>
    <row r="22" spans="1:17" ht="14.4" customHeight="1" x14ac:dyDescent="0.3">
      <c r="A22" s="794" t="s">
        <v>4381</v>
      </c>
      <c r="B22" s="795" t="s">
        <v>4612</v>
      </c>
      <c r="C22" s="795" t="s">
        <v>3374</v>
      </c>
      <c r="D22" s="795" t="s">
        <v>4613</v>
      </c>
      <c r="E22" s="795" t="s">
        <v>4614</v>
      </c>
      <c r="F22" s="812">
        <v>4</v>
      </c>
      <c r="G22" s="812">
        <v>1404</v>
      </c>
      <c r="H22" s="812"/>
      <c r="I22" s="812">
        <v>351</v>
      </c>
      <c r="J22" s="812"/>
      <c r="K22" s="812"/>
      <c r="L22" s="812"/>
      <c r="M22" s="812"/>
      <c r="N22" s="812">
        <v>22</v>
      </c>
      <c r="O22" s="812">
        <v>7788</v>
      </c>
      <c r="P22" s="800"/>
      <c r="Q22" s="813">
        <v>354</v>
      </c>
    </row>
    <row r="23" spans="1:17" ht="14.4" customHeight="1" x14ac:dyDescent="0.3">
      <c r="A23" s="794" t="s">
        <v>4381</v>
      </c>
      <c r="B23" s="795" t="s">
        <v>4612</v>
      </c>
      <c r="C23" s="795" t="s">
        <v>3374</v>
      </c>
      <c r="D23" s="795" t="s">
        <v>4615</v>
      </c>
      <c r="E23" s="795" t="s">
        <v>4616</v>
      </c>
      <c r="F23" s="812">
        <v>197</v>
      </c>
      <c r="G23" s="812">
        <v>12805</v>
      </c>
      <c r="H23" s="812">
        <v>1.9313725490196079</v>
      </c>
      <c r="I23" s="812">
        <v>65</v>
      </c>
      <c r="J23" s="812">
        <v>102</v>
      </c>
      <c r="K23" s="812">
        <v>6630</v>
      </c>
      <c r="L23" s="812">
        <v>1</v>
      </c>
      <c r="M23" s="812">
        <v>65</v>
      </c>
      <c r="N23" s="812">
        <v>187</v>
      </c>
      <c r="O23" s="812">
        <v>12155</v>
      </c>
      <c r="P23" s="800">
        <v>1.8333333333333333</v>
      </c>
      <c r="Q23" s="813">
        <v>65</v>
      </c>
    </row>
    <row r="24" spans="1:17" ht="14.4" customHeight="1" x14ac:dyDescent="0.3">
      <c r="A24" s="794" t="s">
        <v>4381</v>
      </c>
      <c r="B24" s="795" t="s">
        <v>4612</v>
      </c>
      <c r="C24" s="795" t="s">
        <v>3374</v>
      </c>
      <c r="D24" s="795" t="s">
        <v>4617</v>
      </c>
      <c r="E24" s="795" t="s">
        <v>4618</v>
      </c>
      <c r="F24" s="812"/>
      <c r="G24" s="812"/>
      <c r="H24" s="812"/>
      <c r="I24" s="812"/>
      <c r="J24" s="812"/>
      <c r="K24" s="812"/>
      <c r="L24" s="812"/>
      <c r="M24" s="812"/>
      <c r="N24" s="812">
        <v>5</v>
      </c>
      <c r="O24" s="812">
        <v>2960</v>
      </c>
      <c r="P24" s="800"/>
      <c r="Q24" s="813">
        <v>592</v>
      </c>
    </row>
    <row r="25" spans="1:17" ht="14.4" customHeight="1" x14ac:dyDescent="0.3">
      <c r="A25" s="794" t="s">
        <v>4381</v>
      </c>
      <c r="B25" s="795" t="s">
        <v>4612</v>
      </c>
      <c r="C25" s="795" t="s">
        <v>3374</v>
      </c>
      <c r="D25" s="795" t="s">
        <v>4619</v>
      </c>
      <c r="E25" s="795" t="s">
        <v>4620</v>
      </c>
      <c r="F25" s="812">
        <v>1</v>
      </c>
      <c r="G25" s="812">
        <v>150</v>
      </c>
      <c r="H25" s="812"/>
      <c r="I25" s="812">
        <v>150</v>
      </c>
      <c r="J25" s="812"/>
      <c r="K25" s="812"/>
      <c r="L25" s="812"/>
      <c r="M25" s="812"/>
      <c r="N25" s="812"/>
      <c r="O25" s="812"/>
      <c r="P25" s="800"/>
      <c r="Q25" s="813"/>
    </row>
    <row r="26" spans="1:17" ht="14.4" customHeight="1" x14ac:dyDescent="0.3">
      <c r="A26" s="794" t="s">
        <v>4381</v>
      </c>
      <c r="B26" s="795" t="s">
        <v>4612</v>
      </c>
      <c r="C26" s="795" t="s">
        <v>3374</v>
      </c>
      <c r="D26" s="795" t="s">
        <v>4621</v>
      </c>
      <c r="E26" s="795" t="s">
        <v>4622</v>
      </c>
      <c r="F26" s="812">
        <v>2</v>
      </c>
      <c r="G26" s="812">
        <v>48</v>
      </c>
      <c r="H26" s="812">
        <v>0.66666666666666663</v>
      </c>
      <c r="I26" s="812">
        <v>24</v>
      </c>
      <c r="J26" s="812">
        <v>3</v>
      </c>
      <c r="K26" s="812">
        <v>72</v>
      </c>
      <c r="L26" s="812">
        <v>1</v>
      </c>
      <c r="M26" s="812">
        <v>24</v>
      </c>
      <c r="N26" s="812">
        <v>1</v>
      </c>
      <c r="O26" s="812">
        <v>24</v>
      </c>
      <c r="P26" s="800">
        <v>0.33333333333333331</v>
      </c>
      <c r="Q26" s="813">
        <v>24</v>
      </c>
    </row>
    <row r="27" spans="1:17" ht="14.4" customHeight="1" x14ac:dyDescent="0.3">
      <c r="A27" s="794" t="s">
        <v>4381</v>
      </c>
      <c r="B27" s="795" t="s">
        <v>4612</v>
      </c>
      <c r="C27" s="795" t="s">
        <v>3374</v>
      </c>
      <c r="D27" s="795" t="s">
        <v>4623</v>
      </c>
      <c r="E27" s="795" t="s">
        <v>4624</v>
      </c>
      <c r="F27" s="812">
        <v>5</v>
      </c>
      <c r="G27" s="812">
        <v>270</v>
      </c>
      <c r="H27" s="812">
        <v>4.9090909090909092</v>
      </c>
      <c r="I27" s="812">
        <v>54</v>
      </c>
      <c r="J27" s="812">
        <v>1</v>
      </c>
      <c r="K27" s="812">
        <v>55</v>
      </c>
      <c r="L27" s="812">
        <v>1</v>
      </c>
      <c r="M27" s="812">
        <v>55</v>
      </c>
      <c r="N27" s="812">
        <v>27</v>
      </c>
      <c r="O27" s="812">
        <v>1485</v>
      </c>
      <c r="P27" s="800">
        <v>27</v>
      </c>
      <c r="Q27" s="813">
        <v>55</v>
      </c>
    </row>
    <row r="28" spans="1:17" ht="14.4" customHeight="1" x14ac:dyDescent="0.3">
      <c r="A28" s="794" t="s">
        <v>4381</v>
      </c>
      <c r="B28" s="795" t="s">
        <v>4612</v>
      </c>
      <c r="C28" s="795" t="s">
        <v>3374</v>
      </c>
      <c r="D28" s="795" t="s">
        <v>4625</v>
      </c>
      <c r="E28" s="795" t="s">
        <v>4626</v>
      </c>
      <c r="F28" s="812">
        <v>261</v>
      </c>
      <c r="G28" s="812">
        <v>20097</v>
      </c>
      <c r="H28" s="812">
        <v>1.6211180124223603</v>
      </c>
      <c r="I28" s="812">
        <v>77</v>
      </c>
      <c r="J28" s="812">
        <v>161</v>
      </c>
      <c r="K28" s="812">
        <v>12397</v>
      </c>
      <c r="L28" s="812">
        <v>1</v>
      </c>
      <c r="M28" s="812">
        <v>77</v>
      </c>
      <c r="N28" s="812">
        <v>251</v>
      </c>
      <c r="O28" s="812">
        <v>19327</v>
      </c>
      <c r="P28" s="800">
        <v>1.5590062111801242</v>
      </c>
      <c r="Q28" s="813">
        <v>77</v>
      </c>
    </row>
    <row r="29" spans="1:17" ht="14.4" customHeight="1" x14ac:dyDescent="0.3">
      <c r="A29" s="794" t="s">
        <v>4381</v>
      </c>
      <c r="B29" s="795" t="s">
        <v>4612</v>
      </c>
      <c r="C29" s="795" t="s">
        <v>3374</v>
      </c>
      <c r="D29" s="795" t="s">
        <v>4627</v>
      </c>
      <c r="E29" s="795" t="s">
        <v>4628</v>
      </c>
      <c r="F29" s="812">
        <v>11</v>
      </c>
      <c r="G29" s="812">
        <v>253</v>
      </c>
      <c r="H29" s="812">
        <v>1.7569444444444444</v>
      </c>
      <c r="I29" s="812">
        <v>23</v>
      </c>
      <c r="J29" s="812">
        <v>6</v>
      </c>
      <c r="K29" s="812">
        <v>144</v>
      </c>
      <c r="L29" s="812">
        <v>1</v>
      </c>
      <c r="M29" s="812">
        <v>24</v>
      </c>
      <c r="N29" s="812">
        <v>7</v>
      </c>
      <c r="O29" s="812">
        <v>168</v>
      </c>
      <c r="P29" s="800">
        <v>1.1666666666666667</v>
      </c>
      <c r="Q29" s="813">
        <v>24</v>
      </c>
    </row>
    <row r="30" spans="1:17" ht="14.4" customHeight="1" x14ac:dyDescent="0.3">
      <c r="A30" s="794" t="s">
        <v>4381</v>
      </c>
      <c r="B30" s="795" t="s">
        <v>4612</v>
      </c>
      <c r="C30" s="795" t="s">
        <v>3374</v>
      </c>
      <c r="D30" s="795" t="s">
        <v>4629</v>
      </c>
      <c r="E30" s="795" t="s">
        <v>4630</v>
      </c>
      <c r="F30" s="812">
        <v>4</v>
      </c>
      <c r="G30" s="812">
        <v>264</v>
      </c>
      <c r="H30" s="812">
        <v>4</v>
      </c>
      <c r="I30" s="812">
        <v>66</v>
      </c>
      <c r="J30" s="812">
        <v>1</v>
      </c>
      <c r="K30" s="812">
        <v>66</v>
      </c>
      <c r="L30" s="812">
        <v>1</v>
      </c>
      <c r="M30" s="812">
        <v>66</v>
      </c>
      <c r="N30" s="812"/>
      <c r="O30" s="812"/>
      <c r="P30" s="800"/>
      <c r="Q30" s="813"/>
    </row>
    <row r="31" spans="1:17" ht="14.4" customHeight="1" x14ac:dyDescent="0.3">
      <c r="A31" s="794" t="s">
        <v>4381</v>
      </c>
      <c r="B31" s="795" t="s">
        <v>4612</v>
      </c>
      <c r="C31" s="795" t="s">
        <v>3374</v>
      </c>
      <c r="D31" s="795" t="s">
        <v>4631</v>
      </c>
      <c r="E31" s="795" t="s">
        <v>4632</v>
      </c>
      <c r="F31" s="812">
        <v>9</v>
      </c>
      <c r="G31" s="812">
        <v>216</v>
      </c>
      <c r="H31" s="812">
        <v>2.88</v>
      </c>
      <c r="I31" s="812">
        <v>24</v>
      </c>
      <c r="J31" s="812">
        <v>3</v>
      </c>
      <c r="K31" s="812">
        <v>75</v>
      </c>
      <c r="L31" s="812">
        <v>1</v>
      </c>
      <c r="M31" s="812">
        <v>25</v>
      </c>
      <c r="N31" s="812">
        <v>6</v>
      </c>
      <c r="O31" s="812">
        <v>150</v>
      </c>
      <c r="P31" s="800">
        <v>2</v>
      </c>
      <c r="Q31" s="813">
        <v>25</v>
      </c>
    </row>
    <row r="32" spans="1:17" ht="14.4" customHeight="1" x14ac:dyDescent="0.3">
      <c r="A32" s="794" t="s">
        <v>4381</v>
      </c>
      <c r="B32" s="795" t="s">
        <v>4612</v>
      </c>
      <c r="C32" s="795" t="s">
        <v>3374</v>
      </c>
      <c r="D32" s="795" t="s">
        <v>4633</v>
      </c>
      <c r="E32" s="795" t="s">
        <v>4634</v>
      </c>
      <c r="F32" s="812">
        <v>22</v>
      </c>
      <c r="G32" s="812">
        <v>3960</v>
      </c>
      <c r="H32" s="812">
        <v>2.7348066298342539</v>
      </c>
      <c r="I32" s="812">
        <v>180</v>
      </c>
      <c r="J32" s="812">
        <v>8</v>
      </c>
      <c r="K32" s="812">
        <v>1448</v>
      </c>
      <c r="L32" s="812">
        <v>1</v>
      </c>
      <c r="M32" s="812">
        <v>181</v>
      </c>
      <c r="N32" s="812">
        <v>24</v>
      </c>
      <c r="O32" s="812">
        <v>4344</v>
      </c>
      <c r="P32" s="800">
        <v>3</v>
      </c>
      <c r="Q32" s="813">
        <v>181</v>
      </c>
    </row>
    <row r="33" spans="1:17" ht="14.4" customHeight="1" x14ac:dyDescent="0.3">
      <c r="A33" s="794" t="s">
        <v>4381</v>
      </c>
      <c r="B33" s="795" t="s">
        <v>4612</v>
      </c>
      <c r="C33" s="795" t="s">
        <v>3374</v>
      </c>
      <c r="D33" s="795" t="s">
        <v>4635</v>
      </c>
      <c r="E33" s="795" t="s">
        <v>4636</v>
      </c>
      <c r="F33" s="812">
        <v>7</v>
      </c>
      <c r="G33" s="812">
        <v>1771</v>
      </c>
      <c r="H33" s="812">
        <v>1.7431102362204725</v>
      </c>
      <c r="I33" s="812">
        <v>253</v>
      </c>
      <c r="J33" s="812">
        <v>4</v>
      </c>
      <c r="K33" s="812">
        <v>1016</v>
      </c>
      <c r="L33" s="812">
        <v>1</v>
      </c>
      <c r="M33" s="812">
        <v>254</v>
      </c>
      <c r="N33" s="812">
        <v>8</v>
      </c>
      <c r="O33" s="812">
        <v>2032</v>
      </c>
      <c r="P33" s="800">
        <v>2</v>
      </c>
      <c r="Q33" s="813">
        <v>254</v>
      </c>
    </row>
    <row r="34" spans="1:17" ht="14.4" customHeight="1" x14ac:dyDescent="0.3">
      <c r="A34" s="794" t="s">
        <v>4381</v>
      </c>
      <c r="B34" s="795" t="s">
        <v>4612</v>
      </c>
      <c r="C34" s="795" t="s">
        <v>3374</v>
      </c>
      <c r="D34" s="795" t="s">
        <v>4637</v>
      </c>
      <c r="E34" s="795" t="s">
        <v>4638</v>
      </c>
      <c r="F34" s="812">
        <v>28</v>
      </c>
      <c r="G34" s="812">
        <v>6048</v>
      </c>
      <c r="H34" s="812">
        <v>3.096774193548387</v>
      </c>
      <c r="I34" s="812">
        <v>216</v>
      </c>
      <c r="J34" s="812">
        <v>9</v>
      </c>
      <c r="K34" s="812">
        <v>1953</v>
      </c>
      <c r="L34" s="812">
        <v>1</v>
      </c>
      <c r="M34" s="812">
        <v>217</v>
      </c>
      <c r="N34" s="812">
        <v>25</v>
      </c>
      <c r="O34" s="812">
        <v>5425</v>
      </c>
      <c r="P34" s="800">
        <v>2.7777777777777777</v>
      </c>
      <c r="Q34" s="813">
        <v>217</v>
      </c>
    </row>
    <row r="35" spans="1:17" ht="14.4" customHeight="1" x14ac:dyDescent="0.3">
      <c r="A35" s="794" t="s">
        <v>4381</v>
      </c>
      <c r="B35" s="795" t="s">
        <v>4612</v>
      </c>
      <c r="C35" s="795" t="s">
        <v>3374</v>
      </c>
      <c r="D35" s="795" t="s">
        <v>4639</v>
      </c>
      <c r="E35" s="795" t="s">
        <v>4640</v>
      </c>
      <c r="F35" s="812">
        <v>1</v>
      </c>
      <c r="G35" s="812">
        <v>230</v>
      </c>
      <c r="H35" s="812"/>
      <c r="I35" s="812">
        <v>230</v>
      </c>
      <c r="J35" s="812"/>
      <c r="K35" s="812"/>
      <c r="L35" s="812"/>
      <c r="M35" s="812"/>
      <c r="N35" s="812"/>
      <c r="O35" s="812"/>
      <c r="P35" s="800"/>
      <c r="Q35" s="813"/>
    </row>
    <row r="36" spans="1:17" ht="14.4" customHeight="1" x14ac:dyDescent="0.3">
      <c r="A36" s="794" t="s">
        <v>4641</v>
      </c>
      <c r="B36" s="795" t="s">
        <v>4642</v>
      </c>
      <c r="C36" s="795" t="s">
        <v>3374</v>
      </c>
      <c r="D36" s="795" t="s">
        <v>4643</v>
      </c>
      <c r="E36" s="795" t="s">
        <v>4644</v>
      </c>
      <c r="F36" s="812">
        <v>214</v>
      </c>
      <c r="G36" s="812">
        <v>5778</v>
      </c>
      <c r="H36" s="812">
        <v>1.329192546583851</v>
      </c>
      <c r="I36" s="812">
        <v>27</v>
      </c>
      <c r="J36" s="812">
        <v>161</v>
      </c>
      <c r="K36" s="812">
        <v>4347</v>
      </c>
      <c r="L36" s="812">
        <v>1</v>
      </c>
      <c r="M36" s="812">
        <v>27</v>
      </c>
      <c r="N36" s="812">
        <v>202</v>
      </c>
      <c r="O36" s="812">
        <v>5454</v>
      </c>
      <c r="P36" s="800">
        <v>1.2546583850931676</v>
      </c>
      <c r="Q36" s="813">
        <v>27</v>
      </c>
    </row>
    <row r="37" spans="1:17" ht="14.4" customHeight="1" x14ac:dyDescent="0.3">
      <c r="A37" s="794" t="s">
        <v>4641</v>
      </c>
      <c r="B37" s="795" t="s">
        <v>4642</v>
      </c>
      <c r="C37" s="795" t="s">
        <v>3374</v>
      </c>
      <c r="D37" s="795" t="s">
        <v>4645</v>
      </c>
      <c r="E37" s="795" t="s">
        <v>4646</v>
      </c>
      <c r="F37" s="812">
        <v>133</v>
      </c>
      <c r="G37" s="812">
        <v>7182</v>
      </c>
      <c r="H37" s="812">
        <v>1.0813008130081301</v>
      </c>
      <c r="I37" s="812">
        <v>54</v>
      </c>
      <c r="J37" s="812">
        <v>123</v>
      </c>
      <c r="K37" s="812">
        <v>6642</v>
      </c>
      <c r="L37" s="812">
        <v>1</v>
      </c>
      <c r="M37" s="812">
        <v>54</v>
      </c>
      <c r="N37" s="812">
        <v>131</v>
      </c>
      <c r="O37" s="812">
        <v>7074</v>
      </c>
      <c r="P37" s="800">
        <v>1.065040650406504</v>
      </c>
      <c r="Q37" s="813">
        <v>54</v>
      </c>
    </row>
    <row r="38" spans="1:17" ht="14.4" customHeight="1" x14ac:dyDescent="0.3">
      <c r="A38" s="794" t="s">
        <v>4641</v>
      </c>
      <c r="B38" s="795" t="s">
        <v>4642</v>
      </c>
      <c r="C38" s="795" t="s">
        <v>3374</v>
      </c>
      <c r="D38" s="795" t="s">
        <v>4647</v>
      </c>
      <c r="E38" s="795" t="s">
        <v>4648</v>
      </c>
      <c r="F38" s="812">
        <v>190</v>
      </c>
      <c r="G38" s="812">
        <v>4560</v>
      </c>
      <c r="H38" s="812">
        <v>1.2925170068027212</v>
      </c>
      <c r="I38" s="812">
        <v>24</v>
      </c>
      <c r="J38" s="812">
        <v>147</v>
      </c>
      <c r="K38" s="812">
        <v>3528</v>
      </c>
      <c r="L38" s="812">
        <v>1</v>
      </c>
      <c r="M38" s="812">
        <v>24</v>
      </c>
      <c r="N38" s="812">
        <v>186</v>
      </c>
      <c r="O38" s="812">
        <v>4464</v>
      </c>
      <c r="P38" s="800">
        <v>1.2653061224489797</v>
      </c>
      <c r="Q38" s="813">
        <v>24</v>
      </c>
    </row>
    <row r="39" spans="1:17" ht="14.4" customHeight="1" x14ac:dyDescent="0.3">
      <c r="A39" s="794" t="s">
        <v>4641</v>
      </c>
      <c r="B39" s="795" t="s">
        <v>4642</v>
      </c>
      <c r="C39" s="795" t="s">
        <v>3374</v>
      </c>
      <c r="D39" s="795" t="s">
        <v>4649</v>
      </c>
      <c r="E39" s="795" t="s">
        <v>4650</v>
      </c>
      <c r="F39" s="812">
        <v>240</v>
      </c>
      <c r="G39" s="812">
        <v>6480</v>
      </c>
      <c r="H39" s="812">
        <v>1.4634146341463414</v>
      </c>
      <c r="I39" s="812">
        <v>27</v>
      </c>
      <c r="J39" s="812">
        <v>164</v>
      </c>
      <c r="K39" s="812">
        <v>4428</v>
      </c>
      <c r="L39" s="812">
        <v>1</v>
      </c>
      <c r="M39" s="812">
        <v>27</v>
      </c>
      <c r="N39" s="812">
        <v>224</v>
      </c>
      <c r="O39" s="812">
        <v>6048</v>
      </c>
      <c r="P39" s="800">
        <v>1.3658536585365855</v>
      </c>
      <c r="Q39" s="813">
        <v>27</v>
      </c>
    </row>
    <row r="40" spans="1:17" ht="14.4" customHeight="1" x14ac:dyDescent="0.3">
      <c r="A40" s="794" t="s">
        <v>4641</v>
      </c>
      <c r="B40" s="795" t="s">
        <v>4642</v>
      </c>
      <c r="C40" s="795" t="s">
        <v>3374</v>
      </c>
      <c r="D40" s="795" t="s">
        <v>4651</v>
      </c>
      <c r="E40" s="795" t="s">
        <v>4652</v>
      </c>
      <c r="F40" s="812">
        <v>115</v>
      </c>
      <c r="G40" s="812">
        <v>3105</v>
      </c>
      <c r="H40" s="812">
        <v>1.4743589743589745</v>
      </c>
      <c r="I40" s="812">
        <v>27</v>
      </c>
      <c r="J40" s="812">
        <v>78</v>
      </c>
      <c r="K40" s="812">
        <v>2106</v>
      </c>
      <c r="L40" s="812">
        <v>1</v>
      </c>
      <c r="M40" s="812">
        <v>27</v>
      </c>
      <c r="N40" s="812">
        <v>90</v>
      </c>
      <c r="O40" s="812">
        <v>2430</v>
      </c>
      <c r="P40" s="800">
        <v>1.1538461538461537</v>
      </c>
      <c r="Q40" s="813">
        <v>27</v>
      </c>
    </row>
    <row r="41" spans="1:17" ht="14.4" customHeight="1" x14ac:dyDescent="0.3">
      <c r="A41" s="794" t="s">
        <v>4641</v>
      </c>
      <c r="B41" s="795" t="s">
        <v>4642</v>
      </c>
      <c r="C41" s="795" t="s">
        <v>3374</v>
      </c>
      <c r="D41" s="795" t="s">
        <v>4653</v>
      </c>
      <c r="E41" s="795" t="s">
        <v>4654</v>
      </c>
      <c r="F41" s="812">
        <v>440</v>
      </c>
      <c r="G41" s="812">
        <v>9680</v>
      </c>
      <c r="H41" s="812">
        <v>1.5714285714285714</v>
      </c>
      <c r="I41" s="812">
        <v>22</v>
      </c>
      <c r="J41" s="812">
        <v>280</v>
      </c>
      <c r="K41" s="812">
        <v>6160</v>
      </c>
      <c r="L41" s="812">
        <v>1</v>
      </c>
      <c r="M41" s="812">
        <v>22</v>
      </c>
      <c r="N41" s="812">
        <v>456</v>
      </c>
      <c r="O41" s="812">
        <v>10032</v>
      </c>
      <c r="P41" s="800">
        <v>1.6285714285714286</v>
      </c>
      <c r="Q41" s="813">
        <v>22</v>
      </c>
    </row>
    <row r="42" spans="1:17" ht="14.4" customHeight="1" x14ac:dyDescent="0.3">
      <c r="A42" s="794" t="s">
        <v>4641</v>
      </c>
      <c r="B42" s="795" t="s">
        <v>4642</v>
      </c>
      <c r="C42" s="795" t="s">
        <v>3374</v>
      </c>
      <c r="D42" s="795" t="s">
        <v>4655</v>
      </c>
      <c r="E42" s="795" t="s">
        <v>4656</v>
      </c>
      <c r="F42" s="812"/>
      <c r="G42" s="812"/>
      <c r="H42" s="812"/>
      <c r="I42" s="812"/>
      <c r="J42" s="812">
        <v>1</v>
      </c>
      <c r="K42" s="812">
        <v>68</v>
      </c>
      <c r="L42" s="812">
        <v>1</v>
      </c>
      <c r="M42" s="812">
        <v>68</v>
      </c>
      <c r="N42" s="812"/>
      <c r="O42" s="812"/>
      <c r="P42" s="800"/>
      <c r="Q42" s="813"/>
    </row>
    <row r="43" spans="1:17" ht="14.4" customHeight="1" x14ac:dyDescent="0.3">
      <c r="A43" s="794" t="s">
        <v>4641</v>
      </c>
      <c r="B43" s="795" t="s">
        <v>4642</v>
      </c>
      <c r="C43" s="795" t="s">
        <v>3374</v>
      </c>
      <c r="D43" s="795" t="s">
        <v>4657</v>
      </c>
      <c r="E43" s="795" t="s">
        <v>4658</v>
      </c>
      <c r="F43" s="812">
        <v>1</v>
      </c>
      <c r="G43" s="812">
        <v>62</v>
      </c>
      <c r="H43" s="812"/>
      <c r="I43" s="812">
        <v>62</v>
      </c>
      <c r="J43" s="812"/>
      <c r="K43" s="812"/>
      <c r="L43" s="812"/>
      <c r="M43" s="812"/>
      <c r="N43" s="812"/>
      <c r="O43" s="812"/>
      <c r="P43" s="800"/>
      <c r="Q43" s="813"/>
    </row>
    <row r="44" spans="1:17" ht="14.4" customHeight="1" x14ac:dyDescent="0.3">
      <c r="A44" s="794" t="s">
        <v>4641</v>
      </c>
      <c r="B44" s="795" t="s">
        <v>4642</v>
      </c>
      <c r="C44" s="795" t="s">
        <v>3374</v>
      </c>
      <c r="D44" s="795" t="s">
        <v>4659</v>
      </c>
      <c r="E44" s="795" t="s">
        <v>4660</v>
      </c>
      <c r="F44" s="812">
        <v>31</v>
      </c>
      <c r="G44" s="812">
        <v>1922</v>
      </c>
      <c r="H44" s="812">
        <v>0.86111111111111116</v>
      </c>
      <c r="I44" s="812">
        <v>62</v>
      </c>
      <c r="J44" s="812">
        <v>36</v>
      </c>
      <c r="K44" s="812">
        <v>2232</v>
      </c>
      <c r="L44" s="812">
        <v>1</v>
      </c>
      <c r="M44" s="812">
        <v>62</v>
      </c>
      <c r="N44" s="812">
        <v>67</v>
      </c>
      <c r="O44" s="812">
        <v>4154</v>
      </c>
      <c r="P44" s="800">
        <v>1.8611111111111112</v>
      </c>
      <c r="Q44" s="813">
        <v>62</v>
      </c>
    </row>
    <row r="45" spans="1:17" ht="14.4" customHeight="1" x14ac:dyDescent="0.3">
      <c r="A45" s="794" t="s">
        <v>4641</v>
      </c>
      <c r="B45" s="795" t="s">
        <v>4642</v>
      </c>
      <c r="C45" s="795" t="s">
        <v>3374</v>
      </c>
      <c r="D45" s="795" t="s">
        <v>4661</v>
      </c>
      <c r="E45" s="795" t="s">
        <v>4662</v>
      </c>
      <c r="F45" s="812">
        <v>2</v>
      </c>
      <c r="G45" s="812">
        <v>164</v>
      </c>
      <c r="H45" s="812">
        <v>1</v>
      </c>
      <c r="I45" s="812">
        <v>82</v>
      </c>
      <c r="J45" s="812">
        <v>2</v>
      </c>
      <c r="K45" s="812">
        <v>164</v>
      </c>
      <c r="L45" s="812">
        <v>1</v>
      </c>
      <c r="M45" s="812">
        <v>82</v>
      </c>
      <c r="N45" s="812">
        <v>2</v>
      </c>
      <c r="O45" s="812">
        <v>164</v>
      </c>
      <c r="P45" s="800">
        <v>1</v>
      </c>
      <c r="Q45" s="813">
        <v>82</v>
      </c>
    </row>
    <row r="46" spans="1:17" ht="14.4" customHeight="1" x14ac:dyDescent="0.3">
      <c r="A46" s="794" t="s">
        <v>4641</v>
      </c>
      <c r="B46" s="795" t="s">
        <v>4642</v>
      </c>
      <c r="C46" s="795" t="s">
        <v>3374</v>
      </c>
      <c r="D46" s="795" t="s">
        <v>4663</v>
      </c>
      <c r="E46" s="795" t="s">
        <v>4664</v>
      </c>
      <c r="F46" s="812">
        <v>18</v>
      </c>
      <c r="G46" s="812">
        <v>17766</v>
      </c>
      <c r="H46" s="812">
        <v>2.568825910931174</v>
      </c>
      <c r="I46" s="812">
        <v>987</v>
      </c>
      <c r="J46" s="812">
        <v>7</v>
      </c>
      <c r="K46" s="812">
        <v>6916</v>
      </c>
      <c r="L46" s="812">
        <v>1</v>
      </c>
      <c r="M46" s="812">
        <v>988</v>
      </c>
      <c r="N46" s="812">
        <v>17</v>
      </c>
      <c r="O46" s="812">
        <v>16796</v>
      </c>
      <c r="P46" s="800">
        <v>2.4285714285714284</v>
      </c>
      <c r="Q46" s="813">
        <v>988</v>
      </c>
    </row>
    <row r="47" spans="1:17" ht="14.4" customHeight="1" x14ac:dyDescent="0.3">
      <c r="A47" s="794" t="s">
        <v>4641</v>
      </c>
      <c r="B47" s="795" t="s">
        <v>4642</v>
      </c>
      <c r="C47" s="795" t="s">
        <v>3374</v>
      </c>
      <c r="D47" s="795" t="s">
        <v>4665</v>
      </c>
      <c r="E47" s="795" t="s">
        <v>4666</v>
      </c>
      <c r="F47" s="812"/>
      <c r="G47" s="812"/>
      <c r="H47" s="812"/>
      <c r="I47" s="812"/>
      <c r="J47" s="812"/>
      <c r="K47" s="812"/>
      <c r="L47" s="812"/>
      <c r="M47" s="812"/>
      <c r="N47" s="812">
        <v>2</v>
      </c>
      <c r="O47" s="812">
        <v>34</v>
      </c>
      <c r="P47" s="800"/>
      <c r="Q47" s="813">
        <v>17</v>
      </c>
    </row>
    <row r="48" spans="1:17" ht="14.4" customHeight="1" x14ac:dyDescent="0.3">
      <c r="A48" s="794" t="s">
        <v>4641</v>
      </c>
      <c r="B48" s="795" t="s">
        <v>4642</v>
      </c>
      <c r="C48" s="795" t="s">
        <v>3374</v>
      </c>
      <c r="D48" s="795" t="s">
        <v>4667</v>
      </c>
      <c r="E48" s="795" t="s">
        <v>4668</v>
      </c>
      <c r="F48" s="812">
        <v>1</v>
      </c>
      <c r="G48" s="812">
        <v>47</v>
      </c>
      <c r="H48" s="812">
        <v>1</v>
      </c>
      <c r="I48" s="812">
        <v>47</v>
      </c>
      <c r="J48" s="812">
        <v>1</v>
      </c>
      <c r="K48" s="812">
        <v>47</v>
      </c>
      <c r="L48" s="812">
        <v>1</v>
      </c>
      <c r="M48" s="812">
        <v>47</v>
      </c>
      <c r="N48" s="812"/>
      <c r="O48" s="812"/>
      <c r="P48" s="800"/>
      <c r="Q48" s="813"/>
    </row>
    <row r="49" spans="1:17" ht="14.4" customHeight="1" x14ac:dyDescent="0.3">
      <c r="A49" s="794" t="s">
        <v>4641</v>
      </c>
      <c r="B49" s="795" t="s">
        <v>4642</v>
      </c>
      <c r="C49" s="795" t="s">
        <v>3374</v>
      </c>
      <c r="D49" s="795" t="s">
        <v>4669</v>
      </c>
      <c r="E49" s="795" t="s">
        <v>4670</v>
      </c>
      <c r="F49" s="812"/>
      <c r="G49" s="812"/>
      <c r="H49" s="812"/>
      <c r="I49" s="812"/>
      <c r="J49" s="812">
        <v>1</v>
      </c>
      <c r="K49" s="812">
        <v>60</v>
      </c>
      <c r="L49" s="812">
        <v>1</v>
      </c>
      <c r="M49" s="812">
        <v>60</v>
      </c>
      <c r="N49" s="812"/>
      <c r="O49" s="812"/>
      <c r="P49" s="800"/>
      <c r="Q49" s="813"/>
    </row>
    <row r="50" spans="1:17" ht="14.4" customHeight="1" x14ac:dyDescent="0.3">
      <c r="A50" s="794" t="s">
        <v>4641</v>
      </c>
      <c r="B50" s="795" t="s">
        <v>4642</v>
      </c>
      <c r="C50" s="795" t="s">
        <v>3374</v>
      </c>
      <c r="D50" s="795" t="s">
        <v>4671</v>
      </c>
      <c r="E50" s="795" t="s">
        <v>4672</v>
      </c>
      <c r="F50" s="812">
        <v>4</v>
      </c>
      <c r="G50" s="812">
        <v>3408</v>
      </c>
      <c r="H50" s="812">
        <v>0.57075866688996812</v>
      </c>
      <c r="I50" s="812">
        <v>852</v>
      </c>
      <c r="J50" s="812">
        <v>7</v>
      </c>
      <c r="K50" s="812">
        <v>5971</v>
      </c>
      <c r="L50" s="812">
        <v>1</v>
      </c>
      <c r="M50" s="812">
        <v>853</v>
      </c>
      <c r="N50" s="812">
        <v>5</v>
      </c>
      <c r="O50" s="812">
        <v>4265</v>
      </c>
      <c r="P50" s="800">
        <v>0.7142857142857143</v>
      </c>
      <c r="Q50" s="813">
        <v>853</v>
      </c>
    </row>
    <row r="51" spans="1:17" ht="14.4" customHeight="1" x14ac:dyDescent="0.3">
      <c r="A51" s="794" t="s">
        <v>4641</v>
      </c>
      <c r="B51" s="795" t="s">
        <v>4642</v>
      </c>
      <c r="C51" s="795" t="s">
        <v>3374</v>
      </c>
      <c r="D51" s="795" t="s">
        <v>4673</v>
      </c>
      <c r="E51" s="795" t="s">
        <v>4674</v>
      </c>
      <c r="F51" s="812"/>
      <c r="G51" s="812"/>
      <c r="H51" s="812"/>
      <c r="I51" s="812"/>
      <c r="J51" s="812"/>
      <c r="K51" s="812"/>
      <c r="L51" s="812"/>
      <c r="M51" s="812"/>
      <c r="N51" s="812">
        <v>1</v>
      </c>
      <c r="O51" s="812">
        <v>167</v>
      </c>
      <c r="P51" s="800"/>
      <c r="Q51" s="813">
        <v>167</v>
      </c>
    </row>
    <row r="52" spans="1:17" ht="14.4" customHeight="1" x14ac:dyDescent="0.3">
      <c r="A52" s="794" t="s">
        <v>4641</v>
      </c>
      <c r="B52" s="795" t="s">
        <v>4642</v>
      </c>
      <c r="C52" s="795" t="s">
        <v>3374</v>
      </c>
      <c r="D52" s="795" t="s">
        <v>4675</v>
      </c>
      <c r="E52" s="795" t="s">
        <v>4676</v>
      </c>
      <c r="F52" s="812">
        <v>2</v>
      </c>
      <c r="G52" s="812">
        <v>1572</v>
      </c>
      <c r="H52" s="812"/>
      <c r="I52" s="812">
        <v>786</v>
      </c>
      <c r="J52" s="812"/>
      <c r="K52" s="812"/>
      <c r="L52" s="812"/>
      <c r="M52" s="812"/>
      <c r="N52" s="812">
        <v>1</v>
      </c>
      <c r="O52" s="812">
        <v>788</v>
      </c>
      <c r="P52" s="800"/>
      <c r="Q52" s="813">
        <v>788</v>
      </c>
    </row>
    <row r="53" spans="1:17" ht="14.4" customHeight="1" x14ac:dyDescent="0.3">
      <c r="A53" s="794" t="s">
        <v>4641</v>
      </c>
      <c r="B53" s="795" t="s">
        <v>4642</v>
      </c>
      <c r="C53" s="795" t="s">
        <v>3374</v>
      </c>
      <c r="D53" s="795" t="s">
        <v>4677</v>
      </c>
      <c r="E53" s="795" t="s">
        <v>4678</v>
      </c>
      <c r="F53" s="812">
        <v>1</v>
      </c>
      <c r="G53" s="812">
        <v>461</v>
      </c>
      <c r="H53" s="812"/>
      <c r="I53" s="812">
        <v>461</v>
      </c>
      <c r="J53" s="812"/>
      <c r="K53" s="812"/>
      <c r="L53" s="812"/>
      <c r="M53" s="812"/>
      <c r="N53" s="812"/>
      <c r="O53" s="812"/>
      <c r="P53" s="800"/>
      <c r="Q53" s="813"/>
    </row>
    <row r="54" spans="1:17" ht="14.4" customHeight="1" x14ac:dyDescent="0.3">
      <c r="A54" s="794" t="s">
        <v>4641</v>
      </c>
      <c r="B54" s="795" t="s">
        <v>4642</v>
      </c>
      <c r="C54" s="795" t="s">
        <v>3374</v>
      </c>
      <c r="D54" s="795" t="s">
        <v>4679</v>
      </c>
      <c r="E54" s="795" t="s">
        <v>4680</v>
      </c>
      <c r="F54" s="812"/>
      <c r="G54" s="812"/>
      <c r="H54" s="812"/>
      <c r="I54" s="812"/>
      <c r="J54" s="812">
        <v>1</v>
      </c>
      <c r="K54" s="812">
        <v>179</v>
      </c>
      <c r="L54" s="812">
        <v>1</v>
      </c>
      <c r="M54" s="812">
        <v>179</v>
      </c>
      <c r="N54" s="812"/>
      <c r="O54" s="812"/>
      <c r="P54" s="800"/>
      <c r="Q54" s="813"/>
    </row>
    <row r="55" spans="1:17" ht="14.4" customHeight="1" x14ac:dyDescent="0.3">
      <c r="A55" s="794" t="s">
        <v>4641</v>
      </c>
      <c r="B55" s="795" t="s">
        <v>4642</v>
      </c>
      <c r="C55" s="795" t="s">
        <v>3374</v>
      </c>
      <c r="D55" s="795" t="s">
        <v>4681</v>
      </c>
      <c r="E55" s="795" t="s">
        <v>4682</v>
      </c>
      <c r="F55" s="812">
        <v>1</v>
      </c>
      <c r="G55" s="812">
        <v>940</v>
      </c>
      <c r="H55" s="812"/>
      <c r="I55" s="812">
        <v>940</v>
      </c>
      <c r="J55" s="812"/>
      <c r="K55" s="812"/>
      <c r="L55" s="812"/>
      <c r="M55" s="812"/>
      <c r="N55" s="812"/>
      <c r="O55" s="812"/>
      <c r="P55" s="800"/>
      <c r="Q55" s="813"/>
    </row>
    <row r="56" spans="1:17" ht="14.4" customHeight="1" x14ac:dyDescent="0.3">
      <c r="A56" s="794" t="s">
        <v>4641</v>
      </c>
      <c r="B56" s="795" t="s">
        <v>4642</v>
      </c>
      <c r="C56" s="795" t="s">
        <v>3374</v>
      </c>
      <c r="D56" s="795" t="s">
        <v>4683</v>
      </c>
      <c r="E56" s="795" t="s">
        <v>4684</v>
      </c>
      <c r="F56" s="812">
        <v>441</v>
      </c>
      <c r="G56" s="812">
        <v>13230</v>
      </c>
      <c r="H56" s="812">
        <v>1.575</v>
      </c>
      <c r="I56" s="812">
        <v>30</v>
      </c>
      <c r="J56" s="812">
        <v>280</v>
      </c>
      <c r="K56" s="812">
        <v>8400</v>
      </c>
      <c r="L56" s="812">
        <v>1</v>
      </c>
      <c r="M56" s="812">
        <v>30</v>
      </c>
      <c r="N56" s="812">
        <v>458</v>
      </c>
      <c r="O56" s="812">
        <v>13740</v>
      </c>
      <c r="P56" s="800">
        <v>1.6357142857142857</v>
      </c>
      <c r="Q56" s="813">
        <v>30</v>
      </c>
    </row>
    <row r="57" spans="1:17" ht="14.4" customHeight="1" x14ac:dyDescent="0.3">
      <c r="A57" s="794" t="s">
        <v>4641</v>
      </c>
      <c r="B57" s="795" t="s">
        <v>4642</v>
      </c>
      <c r="C57" s="795" t="s">
        <v>3374</v>
      </c>
      <c r="D57" s="795" t="s">
        <v>4685</v>
      </c>
      <c r="E57" s="795" t="s">
        <v>4686</v>
      </c>
      <c r="F57" s="812"/>
      <c r="G57" s="812"/>
      <c r="H57" s="812"/>
      <c r="I57" s="812"/>
      <c r="J57" s="812">
        <v>1</v>
      </c>
      <c r="K57" s="812">
        <v>50</v>
      </c>
      <c r="L57" s="812">
        <v>1</v>
      </c>
      <c r="M57" s="812">
        <v>50</v>
      </c>
      <c r="N57" s="812"/>
      <c r="O57" s="812"/>
      <c r="P57" s="800"/>
      <c r="Q57" s="813"/>
    </row>
    <row r="58" spans="1:17" ht="14.4" customHeight="1" x14ac:dyDescent="0.3">
      <c r="A58" s="794" t="s">
        <v>4641</v>
      </c>
      <c r="B58" s="795" t="s">
        <v>4642</v>
      </c>
      <c r="C58" s="795" t="s">
        <v>3374</v>
      </c>
      <c r="D58" s="795" t="s">
        <v>4687</v>
      </c>
      <c r="E58" s="795" t="s">
        <v>4688</v>
      </c>
      <c r="F58" s="812">
        <v>45</v>
      </c>
      <c r="G58" s="812">
        <v>540</v>
      </c>
      <c r="H58" s="812">
        <v>1.0975609756097562</v>
      </c>
      <c r="I58" s="812">
        <v>12</v>
      </c>
      <c r="J58" s="812">
        <v>41</v>
      </c>
      <c r="K58" s="812">
        <v>492</v>
      </c>
      <c r="L58" s="812">
        <v>1</v>
      </c>
      <c r="M58" s="812">
        <v>12</v>
      </c>
      <c r="N58" s="812">
        <v>51</v>
      </c>
      <c r="O58" s="812">
        <v>612</v>
      </c>
      <c r="P58" s="800">
        <v>1.2439024390243902</v>
      </c>
      <c r="Q58" s="813">
        <v>12</v>
      </c>
    </row>
    <row r="59" spans="1:17" ht="14.4" customHeight="1" x14ac:dyDescent="0.3">
      <c r="A59" s="794" t="s">
        <v>4641</v>
      </c>
      <c r="B59" s="795" t="s">
        <v>4642</v>
      </c>
      <c r="C59" s="795" t="s">
        <v>3374</v>
      </c>
      <c r="D59" s="795" t="s">
        <v>4689</v>
      </c>
      <c r="E59" s="795" t="s">
        <v>4690</v>
      </c>
      <c r="F59" s="812">
        <v>2</v>
      </c>
      <c r="G59" s="812">
        <v>364</v>
      </c>
      <c r="H59" s="812"/>
      <c r="I59" s="812">
        <v>182</v>
      </c>
      <c r="J59" s="812"/>
      <c r="K59" s="812"/>
      <c r="L59" s="812"/>
      <c r="M59" s="812"/>
      <c r="N59" s="812"/>
      <c r="O59" s="812"/>
      <c r="P59" s="800"/>
      <c r="Q59" s="813"/>
    </row>
    <row r="60" spans="1:17" ht="14.4" customHeight="1" x14ac:dyDescent="0.3">
      <c r="A60" s="794" t="s">
        <v>4641</v>
      </c>
      <c r="B60" s="795" t="s">
        <v>4642</v>
      </c>
      <c r="C60" s="795" t="s">
        <v>3374</v>
      </c>
      <c r="D60" s="795" t="s">
        <v>4691</v>
      </c>
      <c r="E60" s="795" t="s">
        <v>4692</v>
      </c>
      <c r="F60" s="812">
        <v>2</v>
      </c>
      <c r="G60" s="812">
        <v>144</v>
      </c>
      <c r="H60" s="812">
        <v>0.98630136986301364</v>
      </c>
      <c r="I60" s="812">
        <v>72</v>
      </c>
      <c r="J60" s="812">
        <v>2</v>
      </c>
      <c r="K60" s="812">
        <v>146</v>
      </c>
      <c r="L60" s="812">
        <v>1</v>
      </c>
      <c r="M60" s="812">
        <v>73</v>
      </c>
      <c r="N60" s="812">
        <v>2</v>
      </c>
      <c r="O60" s="812">
        <v>146</v>
      </c>
      <c r="P60" s="800">
        <v>1</v>
      </c>
      <c r="Q60" s="813">
        <v>73</v>
      </c>
    </row>
    <row r="61" spans="1:17" ht="14.4" customHeight="1" x14ac:dyDescent="0.3">
      <c r="A61" s="794" t="s">
        <v>4641</v>
      </c>
      <c r="B61" s="795" t="s">
        <v>4642</v>
      </c>
      <c r="C61" s="795" t="s">
        <v>3374</v>
      </c>
      <c r="D61" s="795" t="s">
        <v>4693</v>
      </c>
      <c r="E61" s="795" t="s">
        <v>4694</v>
      </c>
      <c r="F61" s="812">
        <v>2</v>
      </c>
      <c r="G61" s="812">
        <v>366</v>
      </c>
      <c r="H61" s="812"/>
      <c r="I61" s="812">
        <v>183</v>
      </c>
      <c r="J61" s="812"/>
      <c r="K61" s="812"/>
      <c r="L61" s="812"/>
      <c r="M61" s="812"/>
      <c r="N61" s="812"/>
      <c r="O61" s="812"/>
      <c r="P61" s="800"/>
      <c r="Q61" s="813"/>
    </row>
    <row r="62" spans="1:17" ht="14.4" customHeight="1" x14ac:dyDescent="0.3">
      <c r="A62" s="794" t="s">
        <v>4641</v>
      </c>
      <c r="B62" s="795" t="s">
        <v>4642</v>
      </c>
      <c r="C62" s="795" t="s">
        <v>3374</v>
      </c>
      <c r="D62" s="795" t="s">
        <v>4695</v>
      </c>
      <c r="E62" s="795" t="s">
        <v>4696</v>
      </c>
      <c r="F62" s="812">
        <v>224</v>
      </c>
      <c r="G62" s="812">
        <v>33152</v>
      </c>
      <c r="H62" s="812">
        <v>1.3403412306945905</v>
      </c>
      <c r="I62" s="812">
        <v>148</v>
      </c>
      <c r="J62" s="812">
        <v>166</v>
      </c>
      <c r="K62" s="812">
        <v>24734</v>
      </c>
      <c r="L62" s="812">
        <v>1</v>
      </c>
      <c r="M62" s="812">
        <v>149</v>
      </c>
      <c r="N62" s="812">
        <v>207</v>
      </c>
      <c r="O62" s="812">
        <v>30843</v>
      </c>
      <c r="P62" s="800">
        <v>1.2469879518072289</v>
      </c>
      <c r="Q62" s="813">
        <v>149</v>
      </c>
    </row>
    <row r="63" spans="1:17" ht="14.4" customHeight="1" x14ac:dyDescent="0.3">
      <c r="A63" s="794" t="s">
        <v>4641</v>
      </c>
      <c r="B63" s="795" t="s">
        <v>4642</v>
      </c>
      <c r="C63" s="795" t="s">
        <v>3374</v>
      </c>
      <c r="D63" s="795" t="s">
        <v>4697</v>
      </c>
      <c r="E63" s="795" t="s">
        <v>4698</v>
      </c>
      <c r="F63" s="812">
        <v>462</v>
      </c>
      <c r="G63" s="812">
        <v>13860</v>
      </c>
      <c r="H63" s="812">
        <v>1.6097560975609757</v>
      </c>
      <c r="I63" s="812">
        <v>30</v>
      </c>
      <c r="J63" s="812">
        <v>287</v>
      </c>
      <c r="K63" s="812">
        <v>8610</v>
      </c>
      <c r="L63" s="812">
        <v>1</v>
      </c>
      <c r="M63" s="812">
        <v>30</v>
      </c>
      <c r="N63" s="812">
        <v>465</v>
      </c>
      <c r="O63" s="812">
        <v>13950</v>
      </c>
      <c r="P63" s="800">
        <v>1.6202090592334495</v>
      </c>
      <c r="Q63" s="813">
        <v>30</v>
      </c>
    </row>
    <row r="64" spans="1:17" ht="14.4" customHeight="1" x14ac:dyDescent="0.3">
      <c r="A64" s="794" t="s">
        <v>4641</v>
      </c>
      <c r="B64" s="795" t="s">
        <v>4642</v>
      </c>
      <c r="C64" s="795" t="s">
        <v>3374</v>
      </c>
      <c r="D64" s="795" t="s">
        <v>4699</v>
      </c>
      <c r="E64" s="795" t="s">
        <v>4700</v>
      </c>
      <c r="F64" s="812">
        <v>99</v>
      </c>
      <c r="G64" s="812">
        <v>3069</v>
      </c>
      <c r="H64" s="812">
        <v>1.4776119402985075</v>
      </c>
      <c r="I64" s="812">
        <v>31</v>
      </c>
      <c r="J64" s="812">
        <v>67</v>
      </c>
      <c r="K64" s="812">
        <v>2077</v>
      </c>
      <c r="L64" s="812">
        <v>1</v>
      </c>
      <c r="M64" s="812">
        <v>31</v>
      </c>
      <c r="N64" s="812">
        <v>82</v>
      </c>
      <c r="O64" s="812">
        <v>2542</v>
      </c>
      <c r="P64" s="800">
        <v>1.2238805970149254</v>
      </c>
      <c r="Q64" s="813">
        <v>31</v>
      </c>
    </row>
    <row r="65" spans="1:17" ht="14.4" customHeight="1" x14ac:dyDescent="0.3">
      <c r="A65" s="794" t="s">
        <v>4641</v>
      </c>
      <c r="B65" s="795" t="s">
        <v>4642</v>
      </c>
      <c r="C65" s="795" t="s">
        <v>3374</v>
      </c>
      <c r="D65" s="795" t="s">
        <v>4701</v>
      </c>
      <c r="E65" s="795" t="s">
        <v>4702</v>
      </c>
      <c r="F65" s="812">
        <v>218</v>
      </c>
      <c r="G65" s="812">
        <v>5886</v>
      </c>
      <c r="H65" s="812">
        <v>1.3540372670807452</v>
      </c>
      <c r="I65" s="812">
        <v>27</v>
      </c>
      <c r="J65" s="812">
        <v>161</v>
      </c>
      <c r="K65" s="812">
        <v>4347</v>
      </c>
      <c r="L65" s="812">
        <v>1</v>
      </c>
      <c r="M65" s="812">
        <v>27</v>
      </c>
      <c r="N65" s="812">
        <v>202</v>
      </c>
      <c r="O65" s="812">
        <v>5454</v>
      </c>
      <c r="P65" s="800">
        <v>1.2546583850931676</v>
      </c>
      <c r="Q65" s="813">
        <v>27</v>
      </c>
    </row>
    <row r="66" spans="1:17" ht="14.4" customHeight="1" x14ac:dyDescent="0.3">
      <c r="A66" s="794" t="s">
        <v>4641</v>
      </c>
      <c r="B66" s="795" t="s">
        <v>4642</v>
      </c>
      <c r="C66" s="795" t="s">
        <v>3374</v>
      </c>
      <c r="D66" s="795" t="s">
        <v>4703</v>
      </c>
      <c r="E66" s="795" t="s">
        <v>4704</v>
      </c>
      <c r="F66" s="812">
        <v>1</v>
      </c>
      <c r="G66" s="812">
        <v>255</v>
      </c>
      <c r="H66" s="812">
        <v>0.99609375</v>
      </c>
      <c r="I66" s="812">
        <v>255</v>
      </c>
      <c r="J66" s="812">
        <v>1</v>
      </c>
      <c r="K66" s="812">
        <v>256</v>
      </c>
      <c r="L66" s="812">
        <v>1</v>
      </c>
      <c r="M66" s="812">
        <v>256</v>
      </c>
      <c r="N66" s="812"/>
      <c r="O66" s="812"/>
      <c r="P66" s="800"/>
      <c r="Q66" s="813"/>
    </row>
    <row r="67" spans="1:17" ht="14.4" customHeight="1" x14ac:dyDescent="0.3">
      <c r="A67" s="794" t="s">
        <v>4641</v>
      </c>
      <c r="B67" s="795" t="s">
        <v>4642</v>
      </c>
      <c r="C67" s="795" t="s">
        <v>3374</v>
      </c>
      <c r="D67" s="795" t="s">
        <v>4705</v>
      </c>
      <c r="E67" s="795" t="s">
        <v>4706</v>
      </c>
      <c r="F67" s="812">
        <v>1</v>
      </c>
      <c r="G67" s="812">
        <v>22</v>
      </c>
      <c r="H67" s="812"/>
      <c r="I67" s="812">
        <v>22</v>
      </c>
      <c r="J67" s="812"/>
      <c r="K67" s="812"/>
      <c r="L67" s="812"/>
      <c r="M67" s="812"/>
      <c r="N67" s="812"/>
      <c r="O67" s="812"/>
      <c r="P67" s="800"/>
      <c r="Q67" s="813"/>
    </row>
    <row r="68" spans="1:17" ht="14.4" customHeight="1" x14ac:dyDescent="0.3">
      <c r="A68" s="794" t="s">
        <v>4641</v>
      </c>
      <c r="B68" s="795" t="s">
        <v>4642</v>
      </c>
      <c r="C68" s="795" t="s">
        <v>3374</v>
      </c>
      <c r="D68" s="795" t="s">
        <v>4707</v>
      </c>
      <c r="E68" s="795" t="s">
        <v>4708</v>
      </c>
      <c r="F68" s="812">
        <v>239</v>
      </c>
      <c r="G68" s="812">
        <v>5975</v>
      </c>
      <c r="H68" s="812">
        <v>1.4484848484848485</v>
      </c>
      <c r="I68" s="812">
        <v>25</v>
      </c>
      <c r="J68" s="812">
        <v>165</v>
      </c>
      <c r="K68" s="812">
        <v>4125</v>
      </c>
      <c r="L68" s="812">
        <v>1</v>
      </c>
      <c r="M68" s="812">
        <v>25</v>
      </c>
      <c r="N68" s="812">
        <v>224</v>
      </c>
      <c r="O68" s="812">
        <v>5600</v>
      </c>
      <c r="P68" s="800">
        <v>1.3575757575757577</v>
      </c>
      <c r="Q68" s="813">
        <v>25</v>
      </c>
    </row>
    <row r="69" spans="1:17" ht="14.4" customHeight="1" x14ac:dyDescent="0.3">
      <c r="A69" s="794" t="s">
        <v>4641</v>
      </c>
      <c r="B69" s="795" t="s">
        <v>4642</v>
      </c>
      <c r="C69" s="795" t="s">
        <v>3374</v>
      </c>
      <c r="D69" s="795" t="s">
        <v>4709</v>
      </c>
      <c r="E69" s="795" t="s">
        <v>4710</v>
      </c>
      <c r="F69" s="812"/>
      <c r="G69" s="812"/>
      <c r="H69" s="812"/>
      <c r="I69" s="812"/>
      <c r="J69" s="812">
        <v>1</v>
      </c>
      <c r="K69" s="812">
        <v>30</v>
      </c>
      <c r="L69" s="812">
        <v>1</v>
      </c>
      <c r="M69" s="812">
        <v>30</v>
      </c>
      <c r="N69" s="812"/>
      <c r="O69" s="812"/>
      <c r="P69" s="800"/>
      <c r="Q69" s="813"/>
    </row>
    <row r="70" spans="1:17" ht="14.4" customHeight="1" x14ac:dyDescent="0.3">
      <c r="A70" s="794" t="s">
        <v>4641</v>
      </c>
      <c r="B70" s="795" t="s">
        <v>4642</v>
      </c>
      <c r="C70" s="795" t="s">
        <v>3374</v>
      </c>
      <c r="D70" s="795" t="s">
        <v>4711</v>
      </c>
      <c r="E70" s="795" t="s">
        <v>4712</v>
      </c>
      <c r="F70" s="812">
        <v>1</v>
      </c>
      <c r="G70" s="812">
        <v>26</v>
      </c>
      <c r="H70" s="812">
        <v>1</v>
      </c>
      <c r="I70" s="812">
        <v>26</v>
      </c>
      <c r="J70" s="812">
        <v>1</v>
      </c>
      <c r="K70" s="812">
        <v>26</v>
      </c>
      <c r="L70" s="812">
        <v>1</v>
      </c>
      <c r="M70" s="812">
        <v>26</v>
      </c>
      <c r="N70" s="812"/>
      <c r="O70" s="812"/>
      <c r="P70" s="800"/>
      <c r="Q70" s="813"/>
    </row>
    <row r="71" spans="1:17" ht="14.4" customHeight="1" x14ac:dyDescent="0.3">
      <c r="A71" s="794" t="s">
        <v>4641</v>
      </c>
      <c r="B71" s="795" t="s">
        <v>4642</v>
      </c>
      <c r="C71" s="795" t="s">
        <v>3374</v>
      </c>
      <c r="D71" s="795" t="s">
        <v>4713</v>
      </c>
      <c r="E71" s="795" t="s">
        <v>4714</v>
      </c>
      <c r="F71" s="812">
        <v>26</v>
      </c>
      <c r="G71" s="812">
        <v>2184</v>
      </c>
      <c r="H71" s="812">
        <v>0.83870967741935487</v>
      </c>
      <c r="I71" s="812">
        <v>84</v>
      </c>
      <c r="J71" s="812">
        <v>31</v>
      </c>
      <c r="K71" s="812">
        <v>2604</v>
      </c>
      <c r="L71" s="812">
        <v>1</v>
      </c>
      <c r="M71" s="812">
        <v>84</v>
      </c>
      <c r="N71" s="812">
        <v>20</v>
      </c>
      <c r="O71" s="812">
        <v>1680</v>
      </c>
      <c r="P71" s="800">
        <v>0.64516129032258063</v>
      </c>
      <c r="Q71" s="813">
        <v>84</v>
      </c>
    </row>
    <row r="72" spans="1:17" ht="14.4" customHeight="1" x14ac:dyDescent="0.3">
      <c r="A72" s="794" t="s">
        <v>4641</v>
      </c>
      <c r="B72" s="795" t="s">
        <v>4642</v>
      </c>
      <c r="C72" s="795" t="s">
        <v>3374</v>
      </c>
      <c r="D72" s="795" t="s">
        <v>4715</v>
      </c>
      <c r="E72" s="795" t="s">
        <v>4716</v>
      </c>
      <c r="F72" s="812">
        <v>4</v>
      </c>
      <c r="G72" s="812">
        <v>700</v>
      </c>
      <c r="H72" s="812">
        <v>3.9772727272727271</v>
      </c>
      <c r="I72" s="812">
        <v>175</v>
      </c>
      <c r="J72" s="812">
        <v>1</v>
      </c>
      <c r="K72" s="812">
        <v>176</v>
      </c>
      <c r="L72" s="812">
        <v>1</v>
      </c>
      <c r="M72" s="812">
        <v>176</v>
      </c>
      <c r="N72" s="812"/>
      <c r="O72" s="812"/>
      <c r="P72" s="800"/>
      <c r="Q72" s="813"/>
    </row>
    <row r="73" spans="1:17" ht="14.4" customHeight="1" x14ac:dyDescent="0.3">
      <c r="A73" s="794" t="s">
        <v>4641</v>
      </c>
      <c r="B73" s="795" t="s">
        <v>4642</v>
      </c>
      <c r="C73" s="795" t="s">
        <v>3374</v>
      </c>
      <c r="D73" s="795" t="s">
        <v>4717</v>
      </c>
      <c r="E73" s="795" t="s">
        <v>4718</v>
      </c>
      <c r="F73" s="812">
        <v>1</v>
      </c>
      <c r="G73" s="812">
        <v>15</v>
      </c>
      <c r="H73" s="812">
        <v>1</v>
      </c>
      <c r="I73" s="812">
        <v>15</v>
      </c>
      <c r="J73" s="812">
        <v>1</v>
      </c>
      <c r="K73" s="812">
        <v>15</v>
      </c>
      <c r="L73" s="812">
        <v>1</v>
      </c>
      <c r="M73" s="812">
        <v>15</v>
      </c>
      <c r="N73" s="812">
        <v>1</v>
      </c>
      <c r="O73" s="812">
        <v>15</v>
      </c>
      <c r="P73" s="800">
        <v>1</v>
      </c>
      <c r="Q73" s="813">
        <v>15</v>
      </c>
    </row>
    <row r="74" spans="1:17" ht="14.4" customHeight="1" x14ac:dyDescent="0.3">
      <c r="A74" s="794" t="s">
        <v>4641</v>
      </c>
      <c r="B74" s="795" t="s">
        <v>4642</v>
      </c>
      <c r="C74" s="795" t="s">
        <v>3374</v>
      </c>
      <c r="D74" s="795" t="s">
        <v>4719</v>
      </c>
      <c r="E74" s="795" t="s">
        <v>4720</v>
      </c>
      <c r="F74" s="812">
        <v>2</v>
      </c>
      <c r="G74" s="812">
        <v>46</v>
      </c>
      <c r="H74" s="812">
        <v>2</v>
      </c>
      <c r="I74" s="812">
        <v>23</v>
      </c>
      <c r="J74" s="812">
        <v>1</v>
      </c>
      <c r="K74" s="812">
        <v>23</v>
      </c>
      <c r="L74" s="812">
        <v>1</v>
      </c>
      <c r="M74" s="812">
        <v>23</v>
      </c>
      <c r="N74" s="812">
        <v>4</v>
      </c>
      <c r="O74" s="812">
        <v>92</v>
      </c>
      <c r="P74" s="800">
        <v>4</v>
      </c>
      <c r="Q74" s="813">
        <v>23</v>
      </c>
    </row>
    <row r="75" spans="1:17" ht="14.4" customHeight="1" x14ac:dyDescent="0.3">
      <c r="A75" s="794" t="s">
        <v>4641</v>
      </c>
      <c r="B75" s="795" t="s">
        <v>4642</v>
      </c>
      <c r="C75" s="795" t="s">
        <v>3374</v>
      </c>
      <c r="D75" s="795" t="s">
        <v>4721</v>
      </c>
      <c r="E75" s="795" t="s">
        <v>4722</v>
      </c>
      <c r="F75" s="812"/>
      <c r="G75" s="812"/>
      <c r="H75" s="812"/>
      <c r="I75" s="812"/>
      <c r="J75" s="812">
        <v>2</v>
      </c>
      <c r="K75" s="812">
        <v>74</v>
      </c>
      <c r="L75" s="812">
        <v>1</v>
      </c>
      <c r="M75" s="812">
        <v>37</v>
      </c>
      <c r="N75" s="812"/>
      <c r="O75" s="812"/>
      <c r="P75" s="800"/>
      <c r="Q75" s="813"/>
    </row>
    <row r="76" spans="1:17" ht="14.4" customHeight="1" x14ac:dyDescent="0.3">
      <c r="A76" s="794" t="s">
        <v>4641</v>
      </c>
      <c r="B76" s="795" t="s">
        <v>4642</v>
      </c>
      <c r="C76" s="795" t="s">
        <v>3374</v>
      </c>
      <c r="D76" s="795" t="s">
        <v>4723</v>
      </c>
      <c r="E76" s="795" t="s">
        <v>4724</v>
      </c>
      <c r="F76" s="812">
        <v>235</v>
      </c>
      <c r="G76" s="812">
        <v>5405</v>
      </c>
      <c r="H76" s="812">
        <v>1.1989795918367347</v>
      </c>
      <c r="I76" s="812">
        <v>23</v>
      </c>
      <c r="J76" s="812">
        <v>196</v>
      </c>
      <c r="K76" s="812">
        <v>4508</v>
      </c>
      <c r="L76" s="812">
        <v>1</v>
      </c>
      <c r="M76" s="812">
        <v>23</v>
      </c>
      <c r="N76" s="812">
        <v>275</v>
      </c>
      <c r="O76" s="812">
        <v>6325</v>
      </c>
      <c r="P76" s="800">
        <v>1.403061224489796</v>
      </c>
      <c r="Q76" s="813">
        <v>23</v>
      </c>
    </row>
    <row r="77" spans="1:17" ht="14.4" customHeight="1" x14ac:dyDescent="0.3">
      <c r="A77" s="794" t="s">
        <v>4641</v>
      </c>
      <c r="B77" s="795" t="s">
        <v>4642</v>
      </c>
      <c r="C77" s="795" t="s">
        <v>3374</v>
      </c>
      <c r="D77" s="795" t="s">
        <v>4725</v>
      </c>
      <c r="E77" s="795" t="s">
        <v>4726</v>
      </c>
      <c r="F77" s="812">
        <v>1</v>
      </c>
      <c r="G77" s="812">
        <v>331</v>
      </c>
      <c r="H77" s="812"/>
      <c r="I77" s="812">
        <v>331</v>
      </c>
      <c r="J77" s="812"/>
      <c r="K77" s="812"/>
      <c r="L77" s="812"/>
      <c r="M77" s="812"/>
      <c r="N77" s="812"/>
      <c r="O77" s="812"/>
      <c r="P77" s="800"/>
      <c r="Q77" s="813"/>
    </row>
    <row r="78" spans="1:17" ht="14.4" customHeight="1" x14ac:dyDescent="0.3">
      <c r="A78" s="794" t="s">
        <v>4641</v>
      </c>
      <c r="B78" s="795" t="s">
        <v>4642</v>
      </c>
      <c r="C78" s="795" t="s">
        <v>3374</v>
      </c>
      <c r="D78" s="795" t="s">
        <v>4727</v>
      </c>
      <c r="E78" s="795" t="s">
        <v>4728</v>
      </c>
      <c r="F78" s="812">
        <v>6</v>
      </c>
      <c r="G78" s="812">
        <v>174</v>
      </c>
      <c r="H78" s="812">
        <v>1.2</v>
      </c>
      <c r="I78" s="812">
        <v>29</v>
      </c>
      <c r="J78" s="812">
        <v>5</v>
      </c>
      <c r="K78" s="812">
        <v>145</v>
      </c>
      <c r="L78" s="812">
        <v>1</v>
      </c>
      <c r="M78" s="812">
        <v>29</v>
      </c>
      <c r="N78" s="812">
        <v>2</v>
      </c>
      <c r="O78" s="812">
        <v>58</v>
      </c>
      <c r="P78" s="800">
        <v>0.4</v>
      </c>
      <c r="Q78" s="813">
        <v>29</v>
      </c>
    </row>
    <row r="79" spans="1:17" ht="14.4" customHeight="1" x14ac:dyDescent="0.3">
      <c r="A79" s="794" t="s">
        <v>4641</v>
      </c>
      <c r="B79" s="795" t="s">
        <v>4642</v>
      </c>
      <c r="C79" s="795" t="s">
        <v>3374</v>
      </c>
      <c r="D79" s="795" t="s">
        <v>4729</v>
      </c>
      <c r="E79" s="795" t="s">
        <v>4730</v>
      </c>
      <c r="F79" s="812">
        <v>1</v>
      </c>
      <c r="G79" s="812">
        <v>177</v>
      </c>
      <c r="H79" s="812">
        <v>0.9943820224719101</v>
      </c>
      <c r="I79" s="812">
        <v>177</v>
      </c>
      <c r="J79" s="812">
        <v>1</v>
      </c>
      <c r="K79" s="812">
        <v>178</v>
      </c>
      <c r="L79" s="812">
        <v>1</v>
      </c>
      <c r="M79" s="812">
        <v>178</v>
      </c>
      <c r="N79" s="812">
        <v>2</v>
      </c>
      <c r="O79" s="812">
        <v>356</v>
      </c>
      <c r="P79" s="800">
        <v>2</v>
      </c>
      <c r="Q79" s="813">
        <v>178</v>
      </c>
    </row>
    <row r="80" spans="1:17" ht="14.4" customHeight="1" x14ac:dyDescent="0.3">
      <c r="A80" s="794" t="s">
        <v>4641</v>
      </c>
      <c r="B80" s="795" t="s">
        <v>4642</v>
      </c>
      <c r="C80" s="795" t="s">
        <v>3374</v>
      </c>
      <c r="D80" s="795" t="s">
        <v>4731</v>
      </c>
      <c r="E80" s="795" t="s">
        <v>4732</v>
      </c>
      <c r="F80" s="812">
        <v>7</v>
      </c>
      <c r="G80" s="812">
        <v>140</v>
      </c>
      <c r="H80" s="812"/>
      <c r="I80" s="812">
        <v>20</v>
      </c>
      <c r="J80" s="812"/>
      <c r="K80" s="812"/>
      <c r="L80" s="812"/>
      <c r="M80" s="812"/>
      <c r="N80" s="812">
        <v>4</v>
      </c>
      <c r="O80" s="812">
        <v>80</v>
      </c>
      <c r="P80" s="800"/>
      <c r="Q80" s="813">
        <v>20</v>
      </c>
    </row>
    <row r="81" spans="1:17" ht="14.4" customHeight="1" x14ac:dyDescent="0.3">
      <c r="A81" s="794" t="s">
        <v>4641</v>
      </c>
      <c r="B81" s="795" t="s">
        <v>4642</v>
      </c>
      <c r="C81" s="795" t="s">
        <v>3374</v>
      </c>
      <c r="D81" s="795" t="s">
        <v>4733</v>
      </c>
      <c r="E81" s="795" t="s">
        <v>4734</v>
      </c>
      <c r="F81" s="812">
        <v>1</v>
      </c>
      <c r="G81" s="812">
        <v>185</v>
      </c>
      <c r="H81" s="812"/>
      <c r="I81" s="812">
        <v>185</v>
      </c>
      <c r="J81" s="812"/>
      <c r="K81" s="812"/>
      <c r="L81" s="812"/>
      <c r="M81" s="812"/>
      <c r="N81" s="812"/>
      <c r="O81" s="812"/>
      <c r="P81" s="800"/>
      <c r="Q81" s="813"/>
    </row>
    <row r="82" spans="1:17" ht="14.4" customHeight="1" x14ac:dyDescent="0.3">
      <c r="A82" s="794" t="s">
        <v>4641</v>
      </c>
      <c r="B82" s="795" t="s">
        <v>4642</v>
      </c>
      <c r="C82" s="795" t="s">
        <v>3374</v>
      </c>
      <c r="D82" s="795" t="s">
        <v>4735</v>
      </c>
      <c r="E82" s="795" t="s">
        <v>4736</v>
      </c>
      <c r="F82" s="812">
        <v>1</v>
      </c>
      <c r="G82" s="812">
        <v>187</v>
      </c>
      <c r="H82" s="812"/>
      <c r="I82" s="812">
        <v>187</v>
      </c>
      <c r="J82" s="812"/>
      <c r="K82" s="812"/>
      <c r="L82" s="812"/>
      <c r="M82" s="812"/>
      <c r="N82" s="812"/>
      <c r="O82" s="812"/>
      <c r="P82" s="800"/>
      <c r="Q82" s="813"/>
    </row>
    <row r="83" spans="1:17" ht="14.4" customHeight="1" x14ac:dyDescent="0.3">
      <c r="A83" s="794" t="s">
        <v>4641</v>
      </c>
      <c r="B83" s="795" t="s">
        <v>4642</v>
      </c>
      <c r="C83" s="795" t="s">
        <v>3374</v>
      </c>
      <c r="D83" s="795" t="s">
        <v>4737</v>
      </c>
      <c r="E83" s="795" t="s">
        <v>4738</v>
      </c>
      <c r="F83" s="812">
        <v>1</v>
      </c>
      <c r="G83" s="812">
        <v>84</v>
      </c>
      <c r="H83" s="812">
        <v>0.5</v>
      </c>
      <c r="I83" s="812">
        <v>84</v>
      </c>
      <c r="J83" s="812">
        <v>2</v>
      </c>
      <c r="K83" s="812">
        <v>168</v>
      </c>
      <c r="L83" s="812">
        <v>1</v>
      </c>
      <c r="M83" s="812">
        <v>84</v>
      </c>
      <c r="N83" s="812"/>
      <c r="O83" s="812"/>
      <c r="P83" s="800"/>
      <c r="Q83" s="813"/>
    </row>
    <row r="84" spans="1:17" ht="14.4" customHeight="1" x14ac:dyDescent="0.3">
      <c r="A84" s="794" t="s">
        <v>4641</v>
      </c>
      <c r="B84" s="795" t="s">
        <v>4642</v>
      </c>
      <c r="C84" s="795" t="s">
        <v>3374</v>
      </c>
      <c r="D84" s="795" t="s">
        <v>4739</v>
      </c>
      <c r="E84" s="795" t="s">
        <v>4740</v>
      </c>
      <c r="F84" s="812">
        <v>5</v>
      </c>
      <c r="G84" s="812">
        <v>110</v>
      </c>
      <c r="H84" s="812"/>
      <c r="I84" s="812">
        <v>22</v>
      </c>
      <c r="J84" s="812"/>
      <c r="K84" s="812"/>
      <c r="L84" s="812"/>
      <c r="M84" s="812"/>
      <c r="N84" s="812">
        <v>2</v>
      </c>
      <c r="O84" s="812">
        <v>44</v>
      </c>
      <c r="P84" s="800"/>
      <c r="Q84" s="813">
        <v>22</v>
      </c>
    </row>
    <row r="85" spans="1:17" ht="14.4" customHeight="1" x14ac:dyDescent="0.3">
      <c r="A85" s="794" t="s">
        <v>4641</v>
      </c>
      <c r="B85" s="795" t="s">
        <v>4642</v>
      </c>
      <c r="C85" s="795" t="s">
        <v>3374</v>
      </c>
      <c r="D85" s="795" t="s">
        <v>4741</v>
      </c>
      <c r="E85" s="795" t="s">
        <v>4742</v>
      </c>
      <c r="F85" s="812">
        <v>1</v>
      </c>
      <c r="G85" s="812">
        <v>495</v>
      </c>
      <c r="H85" s="812"/>
      <c r="I85" s="812">
        <v>495</v>
      </c>
      <c r="J85" s="812"/>
      <c r="K85" s="812"/>
      <c r="L85" s="812"/>
      <c r="M85" s="812"/>
      <c r="N85" s="812"/>
      <c r="O85" s="812"/>
      <c r="P85" s="800"/>
      <c r="Q85" s="813"/>
    </row>
    <row r="86" spans="1:17" ht="14.4" customHeight="1" x14ac:dyDescent="0.3">
      <c r="A86" s="794" t="s">
        <v>4641</v>
      </c>
      <c r="B86" s="795" t="s">
        <v>4642</v>
      </c>
      <c r="C86" s="795" t="s">
        <v>3374</v>
      </c>
      <c r="D86" s="795" t="s">
        <v>4743</v>
      </c>
      <c r="E86" s="795" t="s">
        <v>4744</v>
      </c>
      <c r="F86" s="812"/>
      <c r="G86" s="812"/>
      <c r="H86" s="812"/>
      <c r="I86" s="812"/>
      <c r="J86" s="812">
        <v>1</v>
      </c>
      <c r="K86" s="812">
        <v>205</v>
      </c>
      <c r="L86" s="812">
        <v>1</v>
      </c>
      <c r="M86" s="812">
        <v>205</v>
      </c>
      <c r="N86" s="812"/>
      <c r="O86" s="812"/>
      <c r="P86" s="800"/>
      <c r="Q86" s="813"/>
    </row>
    <row r="87" spans="1:17" ht="14.4" customHeight="1" x14ac:dyDescent="0.3">
      <c r="A87" s="794" t="s">
        <v>4641</v>
      </c>
      <c r="B87" s="795" t="s">
        <v>4642</v>
      </c>
      <c r="C87" s="795" t="s">
        <v>3374</v>
      </c>
      <c r="D87" s="795" t="s">
        <v>4745</v>
      </c>
      <c r="E87" s="795" t="s">
        <v>4746</v>
      </c>
      <c r="F87" s="812">
        <v>1</v>
      </c>
      <c r="G87" s="812">
        <v>23</v>
      </c>
      <c r="H87" s="812"/>
      <c r="I87" s="812">
        <v>23</v>
      </c>
      <c r="J87" s="812"/>
      <c r="K87" s="812"/>
      <c r="L87" s="812"/>
      <c r="M87" s="812"/>
      <c r="N87" s="812"/>
      <c r="O87" s="812"/>
      <c r="P87" s="800"/>
      <c r="Q87" s="813"/>
    </row>
    <row r="88" spans="1:17" ht="14.4" customHeight="1" x14ac:dyDescent="0.3">
      <c r="A88" s="794" t="s">
        <v>4641</v>
      </c>
      <c r="B88" s="795" t="s">
        <v>4642</v>
      </c>
      <c r="C88" s="795" t="s">
        <v>3374</v>
      </c>
      <c r="D88" s="795" t="s">
        <v>4747</v>
      </c>
      <c r="E88" s="795" t="s">
        <v>4748</v>
      </c>
      <c r="F88" s="812">
        <v>1</v>
      </c>
      <c r="G88" s="812">
        <v>650</v>
      </c>
      <c r="H88" s="812"/>
      <c r="I88" s="812">
        <v>650</v>
      </c>
      <c r="J88" s="812"/>
      <c r="K88" s="812"/>
      <c r="L88" s="812"/>
      <c r="M88" s="812"/>
      <c r="N88" s="812"/>
      <c r="O88" s="812"/>
      <c r="P88" s="800"/>
      <c r="Q88" s="813"/>
    </row>
    <row r="89" spans="1:17" ht="14.4" customHeight="1" x14ac:dyDescent="0.3">
      <c r="A89" s="794" t="s">
        <v>4641</v>
      </c>
      <c r="B89" s="795" t="s">
        <v>4642</v>
      </c>
      <c r="C89" s="795" t="s">
        <v>3374</v>
      </c>
      <c r="D89" s="795" t="s">
        <v>4749</v>
      </c>
      <c r="E89" s="795" t="s">
        <v>4750</v>
      </c>
      <c r="F89" s="812">
        <v>12</v>
      </c>
      <c r="G89" s="812">
        <v>3516</v>
      </c>
      <c r="H89" s="812">
        <v>0.37372448979591838</v>
      </c>
      <c r="I89" s="812">
        <v>293</v>
      </c>
      <c r="J89" s="812">
        <v>32</v>
      </c>
      <c r="K89" s="812">
        <v>9408</v>
      </c>
      <c r="L89" s="812">
        <v>1</v>
      </c>
      <c r="M89" s="812">
        <v>294</v>
      </c>
      <c r="N89" s="812">
        <v>21</v>
      </c>
      <c r="O89" s="812">
        <v>6174</v>
      </c>
      <c r="P89" s="800">
        <v>0.65625</v>
      </c>
      <c r="Q89" s="813">
        <v>294</v>
      </c>
    </row>
    <row r="90" spans="1:17" ht="14.4" customHeight="1" x14ac:dyDescent="0.3">
      <c r="A90" s="794" t="s">
        <v>4641</v>
      </c>
      <c r="B90" s="795" t="s">
        <v>4642</v>
      </c>
      <c r="C90" s="795" t="s">
        <v>3374</v>
      </c>
      <c r="D90" s="795" t="s">
        <v>4751</v>
      </c>
      <c r="E90" s="795" t="s">
        <v>4752</v>
      </c>
      <c r="F90" s="812"/>
      <c r="G90" s="812"/>
      <c r="H90" s="812"/>
      <c r="I90" s="812"/>
      <c r="J90" s="812">
        <v>2</v>
      </c>
      <c r="K90" s="812">
        <v>90</v>
      </c>
      <c r="L90" s="812">
        <v>1</v>
      </c>
      <c r="M90" s="812">
        <v>45</v>
      </c>
      <c r="N90" s="812"/>
      <c r="O90" s="812"/>
      <c r="P90" s="800"/>
      <c r="Q90" s="813"/>
    </row>
    <row r="91" spans="1:17" ht="14.4" customHeight="1" x14ac:dyDescent="0.3">
      <c r="A91" s="794" t="s">
        <v>4641</v>
      </c>
      <c r="B91" s="795" t="s">
        <v>4642</v>
      </c>
      <c r="C91" s="795" t="s">
        <v>3374</v>
      </c>
      <c r="D91" s="795" t="s">
        <v>4753</v>
      </c>
      <c r="E91" s="795" t="s">
        <v>4754</v>
      </c>
      <c r="F91" s="812">
        <v>2</v>
      </c>
      <c r="G91" s="812">
        <v>92</v>
      </c>
      <c r="H91" s="812">
        <v>1</v>
      </c>
      <c r="I91" s="812">
        <v>46</v>
      </c>
      <c r="J91" s="812">
        <v>2</v>
      </c>
      <c r="K91" s="812">
        <v>92</v>
      </c>
      <c r="L91" s="812">
        <v>1</v>
      </c>
      <c r="M91" s="812">
        <v>46</v>
      </c>
      <c r="N91" s="812">
        <v>2</v>
      </c>
      <c r="O91" s="812">
        <v>92</v>
      </c>
      <c r="P91" s="800">
        <v>1</v>
      </c>
      <c r="Q91" s="813">
        <v>46</v>
      </c>
    </row>
    <row r="92" spans="1:17" ht="14.4" customHeight="1" x14ac:dyDescent="0.3">
      <c r="A92" s="794" t="s">
        <v>4641</v>
      </c>
      <c r="B92" s="795" t="s">
        <v>4642</v>
      </c>
      <c r="C92" s="795" t="s">
        <v>3374</v>
      </c>
      <c r="D92" s="795" t="s">
        <v>4755</v>
      </c>
      <c r="E92" s="795" t="s">
        <v>4756</v>
      </c>
      <c r="F92" s="812"/>
      <c r="G92" s="812"/>
      <c r="H92" s="812"/>
      <c r="I92" s="812"/>
      <c r="J92" s="812">
        <v>1</v>
      </c>
      <c r="K92" s="812">
        <v>26</v>
      </c>
      <c r="L92" s="812">
        <v>1</v>
      </c>
      <c r="M92" s="812">
        <v>26</v>
      </c>
      <c r="N92" s="812"/>
      <c r="O92" s="812"/>
      <c r="P92" s="800"/>
      <c r="Q92" s="813"/>
    </row>
    <row r="93" spans="1:17" ht="14.4" customHeight="1" x14ac:dyDescent="0.3">
      <c r="A93" s="794" t="s">
        <v>4641</v>
      </c>
      <c r="B93" s="795" t="s">
        <v>4642</v>
      </c>
      <c r="C93" s="795" t="s">
        <v>3374</v>
      </c>
      <c r="D93" s="795" t="s">
        <v>4757</v>
      </c>
      <c r="E93" s="795" t="s">
        <v>4758</v>
      </c>
      <c r="F93" s="812"/>
      <c r="G93" s="812"/>
      <c r="H93" s="812"/>
      <c r="I93" s="812"/>
      <c r="J93" s="812"/>
      <c r="K93" s="812"/>
      <c r="L93" s="812"/>
      <c r="M93" s="812"/>
      <c r="N93" s="812">
        <v>1</v>
      </c>
      <c r="O93" s="812">
        <v>133</v>
      </c>
      <c r="P93" s="800"/>
      <c r="Q93" s="813">
        <v>133</v>
      </c>
    </row>
    <row r="94" spans="1:17" ht="14.4" customHeight="1" x14ac:dyDescent="0.3">
      <c r="A94" s="794" t="s">
        <v>4641</v>
      </c>
      <c r="B94" s="795" t="s">
        <v>4642</v>
      </c>
      <c r="C94" s="795" t="s">
        <v>3374</v>
      </c>
      <c r="D94" s="795" t="s">
        <v>4759</v>
      </c>
      <c r="E94" s="795" t="s">
        <v>4760</v>
      </c>
      <c r="F94" s="812"/>
      <c r="G94" s="812"/>
      <c r="H94" s="812"/>
      <c r="I94" s="812"/>
      <c r="J94" s="812">
        <v>82</v>
      </c>
      <c r="K94" s="812">
        <v>3034</v>
      </c>
      <c r="L94" s="812">
        <v>1</v>
      </c>
      <c r="M94" s="812">
        <v>37</v>
      </c>
      <c r="N94" s="812">
        <v>113</v>
      </c>
      <c r="O94" s="812">
        <v>4181</v>
      </c>
      <c r="P94" s="800">
        <v>1.3780487804878048</v>
      </c>
      <c r="Q94" s="813">
        <v>37</v>
      </c>
    </row>
    <row r="95" spans="1:17" ht="14.4" customHeight="1" x14ac:dyDescent="0.3">
      <c r="A95" s="794" t="s">
        <v>4641</v>
      </c>
      <c r="B95" s="795" t="s">
        <v>4761</v>
      </c>
      <c r="C95" s="795" t="s">
        <v>3374</v>
      </c>
      <c r="D95" s="795" t="s">
        <v>4762</v>
      </c>
      <c r="E95" s="795" t="s">
        <v>4763</v>
      </c>
      <c r="F95" s="812">
        <v>1</v>
      </c>
      <c r="G95" s="812">
        <v>1037</v>
      </c>
      <c r="H95" s="812"/>
      <c r="I95" s="812">
        <v>1037</v>
      </c>
      <c r="J95" s="812"/>
      <c r="K95" s="812"/>
      <c r="L95" s="812"/>
      <c r="M95" s="812"/>
      <c r="N95" s="812"/>
      <c r="O95" s="812"/>
      <c r="P95" s="800"/>
      <c r="Q95" s="813"/>
    </row>
    <row r="96" spans="1:17" ht="14.4" customHeight="1" x14ac:dyDescent="0.3">
      <c r="A96" s="794" t="s">
        <v>4764</v>
      </c>
      <c r="B96" s="795" t="s">
        <v>4765</v>
      </c>
      <c r="C96" s="795" t="s">
        <v>3365</v>
      </c>
      <c r="D96" s="795" t="s">
        <v>4766</v>
      </c>
      <c r="E96" s="795" t="s">
        <v>4767</v>
      </c>
      <c r="F96" s="812">
        <v>3.0999999999999996</v>
      </c>
      <c r="G96" s="812">
        <v>2949.1400000000003</v>
      </c>
      <c r="H96" s="812">
        <v>3.8749917878775935</v>
      </c>
      <c r="I96" s="812">
        <v>951.33548387096801</v>
      </c>
      <c r="J96" s="812">
        <v>0.8</v>
      </c>
      <c r="K96" s="812">
        <v>761.07</v>
      </c>
      <c r="L96" s="812">
        <v>1</v>
      </c>
      <c r="M96" s="812">
        <v>951.33749999999998</v>
      </c>
      <c r="N96" s="812">
        <v>3.9000000000000004</v>
      </c>
      <c r="O96" s="812">
        <v>3918.82</v>
      </c>
      <c r="P96" s="800">
        <v>5.1490927247165175</v>
      </c>
      <c r="Q96" s="813">
        <v>1004.8256410256409</v>
      </c>
    </row>
    <row r="97" spans="1:17" ht="14.4" customHeight="1" x14ac:dyDescent="0.3">
      <c r="A97" s="794" t="s">
        <v>4764</v>
      </c>
      <c r="B97" s="795" t="s">
        <v>4765</v>
      </c>
      <c r="C97" s="795" t="s">
        <v>3365</v>
      </c>
      <c r="D97" s="795" t="s">
        <v>4768</v>
      </c>
      <c r="E97" s="795" t="s">
        <v>4769</v>
      </c>
      <c r="F97" s="812">
        <v>0.26</v>
      </c>
      <c r="G97" s="812">
        <v>2570.86</v>
      </c>
      <c r="H97" s="812"/>
      <c r="I97" s="812">
        <v>9887.9230769230762</v>
      </c>
      <c r="J97" s="812"/>
      <c r="K97" s="812"/>
      <c r="L97" s="812"/>
      <c r="M97" s="812"/>
      <c r="N97" s="812">
        <v>0.01</v>
      </c>
      <c r="O97" s="812">
        <v>98.87</v>
      </c>
      <c r="P97" s="800"/>
      <c r="Q97" s="813">
        <v>9887</v>
      </c>
    </row>
    <row r="98" spans="1:17" ht="14.4" customHeight="1" x14ac:dyDescent="0.3">
      <c r="A98" s="794" t="s">
        <v>4764</v>
      </c>
      <c r="B98" s="795" t="s">
        <v>4765</v>
      </c>
      <c r="C98" s="795" t="s">
        <v>3365</v>
      </c>
      <c r="D98" s="795" t="s">
        <v>4770</v>
      </c>
      <c r="E98" s="795" t="s">
        <v>4771</v>
      </c>
      <c r="F98" s="812"/>
      <c r="G98" s="812"/>
      <c r="H98" s="812"/>
      <c r="I98" s="812"/>
      <c r="J98" s="812">
        <v>1</v>
      </c>
      <c r="K98" s="812">
        <v>932.82</v>
      </c>
      <c r="L98" s="812">
        <v>1</v>
      </c>
      <c r="M98" s="812">
        <v>932.82</v>
      </c>
      <c r="N98" s="812"/>
      <c r="O98" s="812"/>
      <c r="P98" s="800"/>
      <c r="Q98" s="813"/>
    </row>
    <row r="99" spans="1:17" ht="14.4" customHeight="1" x14ac:dyDescent="0.3">
      <c r="A99" s="794" t="s">
        <v>4764</v>
      </c>
      <c r="B99" s="795" t="s">
        <v>4765</v>
      </c>
      <c r="C99" s="795" t="s">
        <v>3365</v>
      </c>
      <c r="D99" s="795" t="s">
        <v>4772</v>
      </c>
      <c r="E99" s="795" t="s">
        <v>4588</v>
      </c>
      <c r="F99" s="812">
        <v>0.44</v>
      </c>
      <c r="G99" s="812">
        <v>3895.7599999999998</v>
      </c>
      <c r="H99" s="812">
        <v>6.2857142857142856</v>
      </c>
      <c r="I99" s="812">
        <v>8854</v>
      </c>
      <c r="J99" s="812">
        <v>7.0000000000000007E-2</v>
      </c>
      <c r="K99" s="812">
        <v>619.78</v>
      </c>
      <c r="L99" s="812">
        <v>1</v>
      </c>
      <c r="M99" s="812">
        <v>8853.9999999999982</v>
      </c>
      <c r="N99" s="812">
        <v>0.08</v>
      </c>
      <c r="O99" s="812">
        <v>727.61</v>
      </c>
      <c r="P99" s="800">
        <v>1.1739810900642165</v>
      </c>
      <c r="Q99" s="813">
        <v>9095.125</v>
      </c>
    </row>
    <row r="100" spans="1:17" ht="14.4" customHeight="1" x14ac:dyDescent="0.3">
      <c r="A100" s="794" t="s">
        <v>4764</v>
      </c>
      <c r="B100" s="795" t="s">
        <v>4765</v>
      </c>
      <c r="C100" s="795" t="s">
        <v>3365</v>
      </c>
      <c r="D100" s="795" t="s">
        <v>4587</v>
      </c>
      <c r="E100" s="795" t="s">
        <v>4588</v>
      </c>
      <c r="F100" s="812">
        <v>3.95</v>
      </c>
      <c r="G100" s="812">
        <v>6994.6599999999989</v>
      </c>
      <c r="H100" s="812">
        <v>1.5192307692307689</v>
      </c>
      <c r="I100" s="812">
        <v>1770.7999999999997</v>
      </c>
      <c r="J100" s="812">
        <v>2.6</v>
      </c>
      <c r="K100" s="812">
        <v>4604.08</v>
      </c>
      <c r="L100" s="812">
        <v>1</v>
      </c>
      <c r="M100" s="812">
        <v>1770.8</v>
      </c>
      <c r="N100" s="812">
        <v>5</v>
      </c>
      <c r="O100" s="812">
        <v>9095.2200000000012</v>
      </c>
      <c r="P100" s="800">
        <v>1.9754695834998526</v>
      </c>
      <c r="Q100" s="813">
        <v>1819.0440000000003</v>
      </c>
    </row>
    <row r="101" spans="1:17" ht="14.4" customHeight="1" x14ac:dyDescent="0.3">
      <c r="A101" s="794" t="s">
        <v>4764</v>
      </c>
      <c r="B101" s="795" t="s">
        <v>4765</v>
      </c>
      <c r="C101" s="795" t="s">
        <v>3365</v>
      </c>
      <c r="D101" s="795" t="s">
        <v>4773</v>
      </c>
      <c r="E101" s="795" t="s">
        <v>4588</v>
      </c>
      <c r="F101" s="812">
        <v>0.21999999999999997</v>
      </c>
      <c r="G101" s="812">
        <v>7508.2</v>
      </c>
      <c r="H101" s="812">
        <v>0.9814820140499303</v>
      </c>
      <c r="I101" s="812">
        <v>34128.181818181823</v>
      </c>
      <c r="J101" s="812">
        <v>0.21999999999999997</v>
      </c>
      <c r="K101" s="812">
        <v>7649.86</v>
      </c>
      <c r="L101" s="812">
        <v>1</v>
      </c>
      <c r="M101" s="812">
        <v>34772.090909090912</v>
      </c>
      <c r="N101" s="812">
        <v>0.14000000000000001</v>
      </c>
      <c r="O101" s="812">
        <v>4802.2299999999996</v>
      </c>
      <c r="P101" s="800">
        <v>0.62775397196811444</v>
      </c>
      <c r="Q101" s="813">
        <v>34301.642857142848</v>
      </c>
    </row>
    <row r="102" spans="1:17" ht="14.4" customHeight="1" x14ac:dyDescent="0.3">
      <c r="A102" s="794" t="s">
        <v>4764</v>
      </c>
      <c r="B102" s="795" t="s">
        <v>4765</v>
      </c>
      <c r="C102" s="795" t="s">
        <v>3612</v>
      </c>
      <c r="D102" s="795" t="s">
        <v>4774</v>
      </c>
      <c r="E102" s="795" t="s">
        <v>4775</v>
      </c>
      <c r="F102" s="812">
        <v>2</v>
      </c>
      <c r="G102" s="812">
        <v>1944.64</v>
      </c>
      <c r="H102" s="812"/>
      <c r="I102" s="812">
        <v>972.32</v>
      </c>
      <c r="J102" s="812"/>
      <c r="K102" s="812"/>
      <c r="L102" s="812"/>
      <c r="M102" s="812"/>
      <c r="N102" s="812"/>
      <c r="O102" s="812"/>
      <c r="P102" s="800"/>
      <c r="Q102" s="813"/>
    </row>
    <row r="103" spans="1:17" ht="14.4" customHeight="1" x14ac:dyDescent="0.3">
      <c r="A103" s="794" t="s">
        <v>4764</v>
      </c>
      <c r="B103" s="795" t="s">
        <v>4765</v>
      </c>
      <c r="C103" s="795" t="s">
        <v>3612</v>
      </c>
      <c r="D103" s="795" t="s">
        <v>4776</v>
      </c>
      <c r="E103" s="795" t="s">
        <v>4777</v>
      </c>
      <c r="F103" s="812">
        <v>2</v>
      </c>
      <c r="G103" s="812">
        <v>2055.52</v>
      </c>
      <c r="H103" s="812"/>
      <c r="I103" s="812">
        <v>1027.76</v>
      </c>
      <c r="J103" s="812"/>
      <c r="K103" s="812"/>
      <c r="L103" s="812"/>
      <c r="M103" s="812"/>
      <c r="N103" s="812"/>
      <c r="O103" s="812"/>
      <c r="P103" s="800"/>
      <c r="Q103" s="813"/>
    </row>
    <row r="104" spans="1:17" ht="14.4" customHeight="1" x14ac:dyDescent="0.3">
      <c r="A104" s="794" t="s">
        <v>4764</v>
      </c>
      <c r="B104" s="795" t="s">
        <v>4765</v>
      </c>
      <c r="C104" s="795" t="s">
        <v>3612</v>
      </c>
      <c r="D104" s="795" t="s">
        <v>4778</v>
      </c>
      <c r="E104" s="795" t="s">
        <v>4779</v>
      </c>
      <c r="F104" s="812">
        <v>2</v>
      </c>
      <c r="G104" s="812">
        <v>2005.6</v>
      </c>
      <c r="H104" s="812"/>
      <c r="I104" s="812">
        <v>1002.8</v>
      </c>
      <c r="J104" s="812"/>
      <c r="K104" s="812"/>
      <c r="L104" s="812"/>
      <c r="M104" s="812"/>
      <c r="N104" s="812"/>
      <c r="O104" s="812"/>
      <c r="P104" s="800"/>
      <c r="Q104" s="813"/>
    </row>
    <row r="105" spans="1:17" ht="14.4" customHeight="1" x14ac:dyDescent="0.3">
      <c r="A105" s="794" t="s">
        <v>4764</v>
      </c>
      <c r="B105" s="795" t="s">
        <v>4765</v>
      </c>
      <c r="C105" s="795" t="s">
        <v>3612</v>
      </c>
      <c r="D105" s="795" t="s">
        <v>4780</v>
      </c>
      <c r="E105" s="795" t="s">
        <v>4781</v>
      </c>
      <c r="F105" s="812">
        <v>2</v>
      </c>
      <c r="G105" s="812">
        <v>2994.88</v>
      </c>
      <c r="H105" s="812"/>
      <c r="I105" s="812">
        <v>1497.44</v>
      </c>
      <c r="J105" s="812"/>
      <c r="K105" s="812"/>
      <c r="L105" s="812"/>
      <c r="M105" s="812"/>
      <c r="N105" s="812"/>
      <c r="O105" s="812"/>
      <c r="P105" s="800"/>
      <c r="Q105" s="813"/>
    </row>
    <row r="106" spans="1:17" ht="14.4" customHeight="1" x14ac:dyDescent="0.3">
      <c r="A106" s="794" t="s">
        <v>4764</v>
      </c>
      <c r="B106" s="795" t="s">
        <v>4765</v>
      </c>
      <c r="C106" s="795" t="s">
        <v>3612</v>
      </c>
      <c r="D106" s="795" t="s">
        <v>4782</v>
      </c>
      <c r="E106" s="795" t="s">
        <v>4783</v>
      </c>
      <c r="F106" s="812">
        <v>6</v>
      </c>
      <c r="G106" s="812">
        <v>21867.48</v>
      </c>
      <c r="H106" s="812"/>
      <c r="I106" s="812">
        <v>3644.58</v>
      </c>
      <c r="J106" s="812"/>
      <c r="K106" s="812"/>
      <c r="L106" s="812"/>
      <c r="M106" s="812"/>
      <c r="N106" s="812"/>
      <c r="O106" s="812"/>
      <c r="P106" s="800"/>
      <c r="Q106" s="813"/>
    </row>
    <row r="107" spans="1:17" ht="14.4" customHeight="1" x14ac:dyDescent="0.3">
      <c r="A107" s="794" t="s">
        <v>4764</v>
      </c>
      <c r="B107" s="795" t="s">
        <v>4765</v>
      </c>
      <c r="C107" s="795" t="s">
        <v>3374</v>
      </c>
      <c r="D107" s="795" t="s">
        <v>4784</v>
      </c>
      <c r="E107" s="795" t="s">
        <v>4785</v>
      </c>
      <c r="F107" s="812">
        <v>3</v>
      </c>
      <c r="G107" s="812">
        <v>621</v>
      </c>
      <c r="H107" s="812">
        <v>0.58309859154929577</v>
      </c>
      <c r="I107" s="812">
        <v>207</v>
      </c>
      <c r="J107" s="812">
        <v>5</v>
      </c>
      <c r="K107" s="812">
        <v>1065</v>
      </c>
      <c r="L107" s="812">
        <v>1</v>
      </c>
      <c r="M107" s="812">
        <v>213</v>
      </c>
      <c r="N107" s="812">
        <v>2</v>
      </c>
      <c r="O107" s="812">
        <v>426</v>
      </c>
      <c r="P107" s="800">
        <v>0.4</v>
      </c>
      <c r="Q107" s="813">
        <v>213</v>
      </c>
    </row>
    <row r="108" spans="1:17" ht="14.4" customHeight="1" x14ac:dyDescent="0.3">
      <c r="A108" s="794" t="s">
        <v>4764</v>
      </c>
      <c r="B108" s="795" t="s">
        <v>4765</v>
      </c>
      <c r="C108" s="795" t="s">
        <v>3374</v>
      </c>
      <c r="D108" s="795" t="s">
        <v>4786</v>
      </c>
      <c r="E108" s="795" t="s">
        <v>4787</v>
      </c>
      <c r="F108" s="812">
        <v>23</v>
      </c>
      <c r="G108" s="812">
        <v>3473</v>
      </c>
      <c r="H108" s="812">
        <v>1.1203225806451613</v>
      </c>
      <c r="I108" s="812">
        <v>151</v>
      </c>
      <c r="J108" s="812">
        <v>20</v>
      </c>
      <c r="K108" s="812">
        <v>3100</v>
      </c>
      <c r="L108" s="812">
        <v>1</v>
      </c>
      <c r="M108" s="812">
        <v>155</v>
      </c>
      <c r="N108" s="812">
        <v>13</v>
      </c>
      <c r="O108" s="812">
        <v>2015</v>
      </c>
      <c r="P108" s="800">
        <v>0.65</v>
      </c>
      <c r="Q108" s="813">
        <v>155</v>
      </c>
    </row>
    <row r="109" spans="1:17" ht="14.4" customHeight="1" x14ac:dyDescent="0.3">
      <c r="A109" s="794" t="s">
        <v>4764</v>
      </c>
      <c r="B109" s="795" t="s">
        <v>4765</v>
      </c>
      <c r="C109" s="795" t="s">
        <v>3374</v>
      </c>
      <c r="D109" s="795" t="s">
        <v>4788</v>
      </c>
      <c r="E109" s="795" t="s">
        <v>4789</v>
      </c>
      <c r="F109" s="812">
        <v>17</v>
      </c>
      <c r="G109" s="812">
        <v>3111</v>
      </c>
      <c r="H109" s="812">
        <v>0.61616161616161613</v>
      </c>
      <c r="I109" s="812">
        <v>183</v>
      </c>
      <c r="J109" s="812">
        <v>27</v>
      </c>
      <c r="K109" s="812">
        <v>5049</v>
      </c>
      <c r="L109" s="812">
        <v>1</v>
      </c>
      <c r="M109" s="812">
        <v>187</v>
      </c>
      <c r="N109" s="812">
        <v>10</v>
      </c>
      <c r="O109" s="812">
        <v>1870</v>
      </c>
      <c r="P109" s="800">
        <v>0.37037037037037035</v>
      </c>
      <c r="Q109" s="813">
        <v>187</v>
      </c>
    </row>
    <row r="110" spans="1:17" ht="14.4" customHeight="1" x14ac:dyDescent="0.3">
      <c r="A110" s="794" t="s">
        <v>4764</v>
      </c>
      <c r="B110" s="795" t="s">
        <v>4765</v>
      </c>
      <c r="C110" s="795" t="s">
        <v>3374</v>
      </c>
      <c r="D110" s="795" t="s">
        <v>4790</v>
      </c>
      <c r="E110" s="795" t="s">
        <v>4791</v>
      </c>
      <c r="F110" s="812">
        <v>139</v>
      </c>
      <c r="G110" s="812">
        <v>17375</v>
      </c>
      <c r="H110" s="812">
        <v>0.69611378205128205</v>
      </c>
      <c r="I110" s="812">
        <v>125</v>
      </c>
      <c r="J110" s="812">
        <v>195</v>
      </c>
      <c r="K110" s="812">
        <v>24960</v>
      </c>
      <c r="L110" s="812">
        <v>1</v>
      </c>
      <c r="M110" s="812">
        <v>128</v>
      </c>
      <c r="N110" s="812">
        <v>108</v>
      </c>
      <c r="O110" s="812">
        <v>13824</v>
      </c>
      <c r="P110" s="800">
        <v>0.55384615384615388</v>
      </c>
      <c r="Q110" s="813">
        <v>128</v>
      </c>
    </row>
    <row r="111" spans="1:17" ht="14.4" customHeight="1" x14ac:dyDescent="0.3">
      <c r="A111" s="794" t="s">
        <v>4764</v>
      </c>
      <c r="B111" s="795" t="s">
        <v>4765</v>
      </c>
      <c r="C111" s="795" t="s">
        <v>3374</v>
      </c>
      <c r="D111" s="795" t="s">
        <v>4792</v>
      </c>
      <c r="E111" s="795" t="s">
        <v>4793</v>
      </c>
      <c r="F111" s="812">
        <v>442</v>
      </c>
      <c r="G111" s="812">
        <v>96798</v>
      </c>
      <c r="H111" s="812">
        <v>0.92552611701263066</v>
      </c>
      <c r="I111" s="812">
        <v>219</v>
      </c>
      <c r="J111" s="812">
        <v>469</v>
      </c>
      <c r="K111" s="812">
        <v>104587</v>
      </c>
      <c r="L111" s="812">
        <v>1</v>
      </c>
      <c r="M111" s="812">
        <v>223</v>
      </c>
      <c r="N111" s="812">
        <v>436</v>
      </c>
      <c r="O111" s="812">
        <v>97228</v>
      </c>
      <c r="P111" s="800">
        <v>0.92963752665245203</v>
      </c>
      <c r="Q111" s="813">
        <v>223</v>
      </c>
    </row>
    <row r="112" spans="1:17" ht="14.4" customHeight="1" x14ac:dyDescent="0.3">
      <c r="A112" s="794" t="s">
        <v>4764</v>
      </c>
      <c r="B112" s="795" t="s">
        <v>4765</v>
      </c>
      <c r="C112" s="795" t="s">
        <v>3374</v>
      </c>
      <c r="D112" s="795" t="s">
        <v>4794</v>
      </c>
      <c r="E112" s="795" t="s">
        <v>4795</v>
      </c>
      <c r="F112" s="812">
        <v>22</v>
      </c>
      <c r="G112" s="812">
        <v>4818</v>
      </c>
      <c r="H112" s="812">
        <v>2.4005979073243648</v>
      </c>
      <c r="I112" s="812">
        <v>219</v>
      </c>
      <c r="J112" s="812">
        <v>9</v>
      </c>
      <c r="K112" s="812">
        <v>2007</v>
      </c>
      <c r="L112" s="812">
        <v>1</v>
      </c>
      <c r="M112" s="812">
        <v>223</v>
      </c>
      <c r="N112" s="812">
        <v>12</v>
      </c>
      <c r="O112" s="812">
        <v>2676</v>
      </c>
      <c r="P112" s="800">
        <v>1.3333333333333333</v>
      </c>
      <c r="Q112" s="813">
        <v>223</v>
      </c>
    </row>
    <row r="113" spans="1:17" ht="14.4" customHeight="1" x14ac:dyDescent="0.3">
      <c r="A113" s="794" t="s">
        <v>4764</v>
      </c>
      <c r="B113" s="795" t="s">
        <v>4765</v>
      </c>
      <c r="C113" s="795" t="s">
        <v>3374</v>
      </c>
      <c r="D113" s="795" t="s">
        <v>4796</v>
      </c>
      <c r="E113" s="795" t="s">
        <v>4797</v>
      </c>
      <c r="F113" s="812"/>
      <c r="G113" s="812"/>
      <c r="H113" s="812"/>
      <c r="I113" s="812"/>
      <c r="J113" s="812">
        <v>1</v>
      </c>
      <c r="K113" s="812">
        <v>353</v>
      </c>
      <c r="L113" s="812">
        <v>1</v>
      </c>
      <c r="M113" s="812">
        <v>353</v>
      </c>
      <c r="N113" s="812">
        <v>1</v>
      </c>
      <c r="O113" s="812">
        <v>353</v>
      </c>
      <c r="P113" s="800">
        <v>1</v>
      </c>
      <c r="Q113" s="813">
        <v>353</v>
      </c>
    </row>
    <row r="114" spans="1:17" ht="14.4" customHeight="1" x14ac:dyDescent="0.3">
      <c r="A114" s="794" t="s">
        <v>4764</v>
      </c>
      <c r="B114" s="795" t="s">
        <v>4765</v>
      </c>
      <c r="C114" s="795" t="s">
        <v>3374</v>
      </c>
      <c r="D114" s="795" t="s">
        <v>4798</v>
      </c>
      <c r="E114" s="795" t="s">
        <v>4799</v>
      </c>
      <c r="F114" s="812">
        <v>2</v>
      </c>
      <c r="G114" s="812">
        <v>660</v>
      </c>
      <c r="H114" s="812"/>
      <c r="I114" s="812">
        <v>330</v>
      </c>
      <c r="J114" s="812"/>
      <c r="K114" s="812"/>
      <c r="L114" s="812"/>
      <c r="M114" s="812"/>
      <c r="N114" s="812"/>
      <c r="O114" s="812"/>
      <c r="P114" s="800"/>
      <c r="Q114" s="813"/>
    </row>
    <row r="115" spans="1:17" ht="14.4" customHeight="1" x14ac:dyDescent="0.3">
      <c r="A115" s="794" t="s">
        <v>4764</v>
      </c>
      <c r="B115" s="795" t="s">
        <v>4765</v>
      </c>
      <c r="C115" s="795" t="s">
        <v>3374</v>
      </c>
      <c r="D115" s="795" t="s">
        <v>4800</v>
      </c>
      <c r="E115" s="795" t="s">
        <v>4801</v>
      </c>
      <c r="F115" s="812">
        <v>2</v>
      </c>
      <c r="G115" s="812">
        <v>8278</v>
      </c>
      <c r="H115" s="812"/>
      <c r="I115" s="812">
        <v>4139</v>
      </c>
      <c r="J115" s="812"/>
      <c r="K115" s="812"/>
      <c r="L115" s="812"/>
      <c r="M115" s="812"/>
      <c r="N115" s="812"/>
      <c r="O115" s="812"/>
      <c r="P115" s="800"/>
      <c r="Q115" s="813"/>
    </row>
    <row r="116" spans="1:17" ht="14.4" customHeight="1" x14ac:dyDescent="0.3">
      <c r="A116" s="794" t="s">
        <v>4764</v>
      </c>
      <c r="B116" s="795" t="s">
        <v>4765</v>
      </c>
      <c r="C116" s="795" t="s">
        <v>3374</v>
      </c>
      <c r="D116" s="795" t="s">
        <v>4802</v>
      </c>
      <c r="E116" s="795" t="s">
        <v>4803</v>
      </c>
      <c r="F116" s="812">
        <v>2</v>
      </c>
      <c r="G116" s="812">
        <v>7648</v>
      </c>
      <c r="H116" s="812"/>
      <c r="I116" s="812">
        <v>3824</v>
      </c>
      <c r="J116" s="812"/>
      <c r="K116" s="812"/>
      <c r="L116" s="812"/>
      <c r="M116" s="812"/>
      <c r="N116" s="812"/>
      <c r="O116" s="812"/>
      <c r="P116" s="800"/>
      <c r="Q116" s="813"/>
    </row>
    <row r="117" spans="1:17" ht="14.4" customHeight="1" x14ac:dyDescent="0.3">
      <c r="A117" s="794" t="s">
        <v>4764</v>
      </c>
      <c r="B117" s="795" t="s">
        <v>4765</v>
      </c>
      <c r="C117" s="795" t="s">
        <v>3374</v>
      </c>
      <c r="D117" s="795" t="s">
        <v>4804</v>
      </c>
      <c r="E117" s="795" t="s">
        <v>4805</v>
      </c>
      <c r="F117" s="812"/>
      <c r="G117" s="812"/>
      <c r="H117" s="812"/>
      <c r="I117" s="812"/>
      <c r="J117" s="812"/>
      <c r="K117" s="812"/>
      <c r="L117" s="812"/>
      <c r="M117" s="812"/>
      <c r="N117" s="812">
        <v>1</v>
      </c>
      <c r="O117" s="812">
        <v>5210</v>
      </c>
      <c r="P117" s="800"/>
      <c r="Q117" s="813">
        <v>5210</v>
      </c>
    </row>
    <row r="118" spans="1:17" ht="14.4" customHeight="1" x14ac:dyDescent="0.3">
      <c r="A118" s="794" t="s">
        <v>4764</v>
      </c>
      <c r="B118" s="795" t="s">
        <v>4765</v>
      </c>
      <c r="C118" s="795" t="s">
        <v>3374</v>
      </c>
      <c r="D118" s="795" t="s">
        <v>4806</v>
      </c>
      <c r="E118" s="795" t="s">
        <v>4807</v>
      </c>
      <c r="F118" s="812">
        <v>4</v>
      </c>
      <c r="G118" s="812">
        <v>5124</v>
      </c>
      <c r="H118" s="812">
        <v>1.9814385150812064</v>
      </c>
      <c r="I118" s="812">
        <v>1281</v>
      </c>
      <c r="J118" s="812">
        <v>2</v>
      </c>
      <c r="K118" s="812">
        <v>2586</v>
      </c>
      <c r="L118" s="812">
        <v>1</v>
      </c>
      <c r="M118" s="812">
        <v>1293</v>
      </c>
      <c r="N118" s="812"/>
      <c r="O118" s="812"/>
      <c r="P118" s="800"/>
      <c r="Q118" s="813"/>
    </row>
    <row r="119" spans="1:17" ht="14.4" customHeight="1" x14ac:dyDescent="0.3">
      <c r="A119" s="794" t="s">
        <v>4764</v>
      </c>
      <c r="B119" s="795" t="s">
        <v>4765</v>
      </c>
      <c r="C119" s="795" t="s">
        <v>3374</v>
      </c>
      <c r="D119" s="795" t="s">
        <v>4808</v>
      </c>
      <c r="E119" s="795" t="s">
        <v>4809</v>
      </c>
      <c r="F119" s="812">
        <v>7</v>
      </c>
      <c r="G119" s="812">
        <v>35532</v>
      </c>
      <c r="H119" s="812">
        <v>1.1483420593368237</v>
      </c>
      <c r="I119" s="812">
        <v>5076</v>
      </c>
      <c r="J119" s="812">
        <v>6</v>
      </c>
      <c r="K119" s="812">
        <v>30942</v>
      </c>
      <c r="L119" s="812">
        <v>1</v>
      </c>
      <c r="M119" s="812">
        <v>5157</v>
      </c>
      <c r="N119" s="812">
        <v>6</v>
      </c>
      <c r="O119" s="812">
        <v>30942</v>
      </c>
      <c r="P119" s="800">
        <v>1</v>
      </c>
      <c r="Q119" s="813">
        <v>5157</v>
      </c>
    </row>
    <row r="120" spans="1:17" ht="14.4" customHeight="1" x14ac:dyDescent="0.3">
      <c r="A120" s="794" t="s">
        <v>4764</v>
      </c>
      <c r="B120" s="795" t="s">
        <v>4765</v>
      </c>
      <c r="C120" s="795" t="s">
        <v>3374</v>
      </c>
      <c r="D120" s="795" t="s">
        <v>4810</v>
      </c>
      <c r="E120" s="795" t="s">
        <v>4811</v>
      </c>
      <c r="F120" s="812">
        <v>148</v>
      </c>
      <c r="G120" s="812">
        <v>25900</v>
      </c>
      <c r="H120" s="812">
        <v>0.95639008899228239</v>
      </c>
      <c r="I120" s="812">
        <v>175</v>
      </c>
      <c r="J120" s="812">
        <v>153</v>
      </c>
      <c r="K120" s="812">
        <v>27081</v>
      </c>
      <c r="L120" s="812">
        <v>1</v>
      </c>
      <c r="M120" s="812">
        <v>177</v>
      </c>
      <c r="N120" s="812">
        <v>154</v>
      </c>
      <c r="O120" s="812">
        <v>27258</v>
      </c>
      <c r="P120" s="800">
        <v>1.0065359477124183</v>
      </c>
      <c r="Q120" s="813">
        <v>177</v>
      </c>
    </row>
    <row r="121" spans="1:17" ht="14.4" customHeight="1" x14ac:dyDescent="0.3">
      <c r="A121" s="794" t="s">
        <v>4764</v>
      </c>
      <c r="B121" s="795" t="s">
        <v>4765</v>
      </c>
      <c r="C121" s="795" t="s">
        <v>3374</v>
      </c>
      <c r="D121" s="795" t="s">
        <v>4812</v>
      </c>
      <c r="E121" s="795" t="s">
        <v>4813</v>
      </c>
      <c r="F121" s="812">
        <v>82</v>
      </c>
      <c r="G121" s="812">
        <v>164082</v>
      </c>
      <c r="H121" s="812">
        <v>0.77784625303398058</v>
      </c>
      <c r="I121" s="812">
        <v>2001</v>
      </c>
      <c r="J121" s="812">
        <v>103</v>
      </c>
      <c r="K121" s="812">
        <v>210944</v>
      </c>
      <c r="L121" s="812">
        <v>1</v>
      </c>
      <c r="M121" s="812">
        <v>2048</v>
      </c>
      <c r="N121" s="812">
        <v>60</v>
      </c>
      <c r="O121" s="812">
        <v>122940</v>
      </c>
      <c r="P121" s="800">
        <v>0.58280870752427183</v>
      </c>
      <c r="Q121" s="813">
        <v>2049</v>
      </c>
    </row>
    <row r="122" spans="1:17" ht="14.4" customHeight="1" x14ac:dyDescent="0.3">
      <c r="A122" s="794" t="s">
        <v>4764</v>
      </c>
      <c r="B122" s="795" t="s">
        <v>4765</v>
      </c>
      <c r="C122" s="795" t="s">
        <v>3374</v>
      </c>
      <c r="D122" s="795" t="s">
        <v>4814</v>
      </c>
      <c r="E122" s="795" t="s">
        <v>4815</v>
      </c>
      <c r="F122" s="812"/>
      <c r="G122" s="812"/>
      <c r="H122" s="812"/>
      <c r="I122" s="812"/>
      <c r="J122" s="812">
        <v>1</v>
      </c>
      <c r="K122" s="812">
        <v>2736</v>
      </c>
      <c r="L122" s="812">
        <v>1</v>
      </c>
      <c r="M122" s="812">
        <v>2736</v>
      </c>
      <c r="N122" s="812"/>
      <c r="O122" s="812"/>
      <c r="P122" s="800"/>
      <c r="Q122" s="813"/>
    </row>
    <row r="123" spans="1:17" ht="14.4" customHeight="1" x14ac:dyDescent="0.3">
      <c r="A123" s="794" t="s">
        <v>4764</v>
      </c>
      <c r="B123" s="795" t="s">
        <v>4765</v>
      </c>
      <c r="C123" s="795" t="s">
        <v>3374</v>
      </c>
      <c r="D123" s="795" t="s">
        <v>4816</v>
      </c>
      <c r="E123" s="795" t="s">
        <v>4817</v>
      </c>
      <c r="F123" s="812"/>
      <c r="G123" s="812"/>
      <c r="H123" s="812"/>
      <c r="I123" s="812"/>
      <c r="J123" s="812">
        <v>2</v>
      </c>
      <c r="K123" s="812">
        <v>10538</v>
      </c>
      <c r="L123" s="812">
        <v>1</v>
      </c>
      <c r="M123" s="812">
        <v>5269</v>
      </c>
      <c r="N123" s="812"/>
      <c r="O123" s="812"/>
      <c r="P123" s="800"/>
      <c r="Q123" s="813"/>
    </row>
    <row r="124" spans="1:17" ht="14.4" customHeight="1" x14ac:dyDescent="0.3">
      <c r="A124" s="794" t="s">
        <v>4764</v>
      </c>
      <c r="B124" s="795" t="s">
        <v>4765</v>
      </c>
      <c r="C124" s="795" t="s">
        <v>3374</v>
      </c>
      <c r="D124" s="795" t="s">
        <v>4818</v>
      </c>
      <c r="E124" s="795" t="s">
        <v>4819</v>
      </c>
      <c r="F124" s="812">
        <v>65</v>
      </c>
      <c r="G124" s="812">
        <v>9815</v>
      </c>
      <c r="H124" s="812">
        <v>1.241619228336496</v>
      </c>
      <c r="I124" s="812">
        <v>151</v>
      </c>
      <c r="J124" s="812">
        <v>51</v>
      </c>
      <c r="K124" s="812">
        <v>7905</v>
      </c>
      <c r="L124" s="812">
        <v>1</v>
      </c>
      <c r="M124" s="812">
        <v>155</v>
      </c>
      <c r="N124" s="812">
        <v>71</v>
      </c>
      <c r="O124" s="812">
        <v>11005</v>
      </c>
      <c r="P124" s="800">
        <v>1.392156862745098</v>
      </c>
      <c r="Q124" s="813">
        <v>155</v>
      </c>
    </row>
    <row r="125" spans="1:17" ht="14.4" customHeight="1" x14ac:dyDescent="0.3">
      <c r="A125" s="794" t="s">
        <v>4764</v>
      </c>
      <c r="B125" s="795" t="s">
        <v>4765</v>
      </c>
      <c r="C125" s="795" t="s">
        <v>3374</v>
      </c>
      <c r="D125" s="795" t="s">
        <v>4820</v>
      </c>
      <c r="E125" s="795" t="s">
        <v>4821</v>
      </c>
      <c r="F125" s="812">
        <v>60</v>
      </c>
      <c r="G125" s="812">
        <v>11700</v>
      </c>
      <c r="H125" s="812">
        <v>1.0689812699862951</v>
      </c>
      <c r="I125" s="812">
        <v>195</v>
      </c>
      <c r="J125" s="812">
        <v>55</v>
      </c>
      <c r="K125" s="812">
        <v>10945</v>
      </c>
      <c r="L125" s="812">
        <v>1</v>
      </c>
      <c r="M125" s="812">
        <v>199</v>
      </c>
      <c r="N125" s="812">
        <v>49</v>
      </c>
      <c r="O125" s="812">
        <v>9751</v>
      </c>
      <c r="P125" s="800">
        <v>0.89090909090909087</v>
      </c>
      <c r="Q125" s="813">
        <v>199</v>
      </c>
    </row>
    <row r="126" spans="1:17" ht="14.4" customHeight="1" x14ac:dyDescent="0.3">
      <c r="A126" s="794" t="s">
        <v>4764</v>
      </c>
      <c r="B126" s="795" t="s">
        <v>4765</v>
      </c>
      <c r="C126" s="795" t="s">
        <v>3374</v>
      </c>
      <c r="D126" s="795" t="s">
        <v>4822</v>
      </c>
      <c r="E126" s="795" t="s">
        <v>4823</v>
      </c>
      <c r="F126" s="812">
        <v>808</v>
      </c>
      <c r="G126" s="812">
        <v>161600</v>
      </c>
      <c r="H126" s="812">
        <v>0.91684822076978945</v>
      </c>
      <c r="I126" s="812">
        <v>200</v>
      </c>
      <c r="J126" s="812">
        <v>864</v>
      </c>
      <c r="K126" s="812">
        <v>176256</v>
      </c>
      <c r="L126" s="812">
        <v>1</v>
      </c>
      <c r="M126" s="812">
        <v>204</v>
      </c>
      <c r="N126" s="812">
        <v>811</v>
      </c>
      <c r="O126" s="812">
        <v>165444</v>
      </c>
      <c r="P126" s="800">
        <v>0.93865740740740744</v>
      </c>
      <c r="Q126" s="813">
        <v>204</v>
      </c>
    </row>
    <row r="127" spans="1:17" ht="14.4" customHeight="1" x14ac:dyDescent="0.3">
      <c r="A127" s="794" t="s">
        <v>4764</v>
      </c>
      <c r="B127" s="795" t="s">
        <v>4765</v>
      </c>
      <c r="C127" s="795" t="s">
        <v>3374</v>
      </c>
      <c r="D127" s="795" t="s">
        <v>4824</v>
      </c>
      <c r="E127" s="795" t="s">
        <v>4825</v>
      </c>
      <c r="F127" s="812">
        <v>12</v>
      </c>
      <c r="G127" s="812">
        <v>1908</v>
      </c>
      <c r="H127" s="812">
        <v>0.83610867659947419</v>
      </c>
      <c r="I127" s="812">
        <v>159</v>
      </c>
      <c r="J127" s="812">
        <v>14</v>
      </c>
      <c r="K127" s="812">
        <v>2282</v>
      </c>
      <c r="L127" s="812">
        <v>1</v>
      </c>
      <c r="M127" s="812">
        <v>163</v>
      </c>
      <c r="N127" s="812">
        <v>9</v>
      </c>
      <c r="O127" s="812">
        <v>1467</v>
      </c>
      <c r="P127" s="800">
        <v>0.6428571428571429</v>
      </c>
      <c r="Q127" s="813">
        <v>163</v>
      </c>
    </row>
    <row r="128" spans="1:17" ht="14.4" customHeight="1" x14ac:dyDescent="0.3">
      <c r="A128" s="794" t="s">
        <v>4764</v>
      </c>
      <c r="B128" s="795" t="s">
        <v>4765</v>
      </c>
      <c r="C128" s="795" t="s">
        <v>3374</v>
      </c>
      <c r="D128" s="795" t="s">
        <v>4826</v>
      </c>
      <c r="E128" s="795" t="s">
        <v>4827</v>
      </c>
      <c r="F128" s="812">
        <v>51</v>
      </c>
      <c r="G128" s="812">
        <v>108273</v>
      </c>
      <c r="H128" s="812">
        <v>1.3962782420303312</v>
      </c>
      <c r="I128" s="812">
        <v>2123</v>
      </c>
      <c r="J128" s="812">
        <v>36</v>
      </c>
      <c r="K128" s="812">
        <v>77544</v>
      </c>
      <c r="L128" s="812">
        <v>1</v>
      </c>
      <c r="M128" s="812">
        <v>2154</v>
      </c>
      <c r="N128" s="812">
        <v>52</v>
      </c>
      <c r="O128" s="812">
        <v>112060</v>
      </c>
      <c r="P128" s="800">
        <v>1.4451150314660064</v>
      </c>
      <c r="Q128" s="813">
        <v>2155</v>
      </c>
    </row>
    <row r="129" spans="1:17" ht="14.4" customHeight="1" x14ac:dyDescent="0.3">
      <c r="A129" s="794" t="s">
        <v>4764</v>
      </c>
      <c r="B129" s="795" t="s">
        <v>4765</v>
      </c>
      <c r="C129" s="795" t="s">
        <v>3374</v>
      </c>
      <c r="D129" s="795" t="s">
        <v>4828</v>
      </c>
      <c r="E129" s="795" t="s">
        <v>4803</v>
      </c>
      <c r="F129" s="812">
        <v>4</v>
      </c>
      <c r="G129" s="812">
        <v>7476</v>
      </c>
      <c r="H129" s="812"/>
      <c r="I129" s="812">
        <v>1869</v>
      </c>
      <c r="J129" s="812"/>
      <c r="K129" s="812"/>
      <c r="L129" s="812"/>
      <c r="M129" s="812"/>
      <c r="N129" s="812"/>
      <c r="O129" s="812"/>
      <c r="P129" s="800"/>
      <c r="Q129" s="813"/>
    </row>
    <row r="130" spans="1:17" ht="14.4" customHeight="1" x14ac:dyDescent="0.3">
      <c r="A130" s="794" t="s">
        <v>4764</v>
      </c>
      <c r="B130" s="795" t="s">
        <v>4765</v>
      </c>
      <c r="C130" s="795" t="s">
        <v>3374</v>
      </c>
      <c r="D130" s="795" t="s">
        <v>4829</v>
      </c>
      <c r="E130" s="795" t="s">
        <v>4830</v>
      </c>
      <c r="F130" s="812"/>
      <c r="G130" s="812"/>
      <c r="H130" s="812"/>
      <c r="I130" s="812"/>
      <c r="J130" s="812">
        <v>2</v>
      </c>
      <c r="K130" s="812">
        <v>326</v>
      </c>
      <c r="L130" s="812">
        <v>1</v>
      </c>
      <c r="M130" s="812">
        <v>163</v>
      </c>
      <c r="N130" s="812"/>
      <c r="O130" s="812"/>
      <c r="P130" s="800"/>
      <c r="Q130" s="813"/>
    </row>
    <row r="131" spans="1:17" ht="14.4" customHeight="1" x14ac:dyDescent="0.3">
      <c r="A131" s="794" t="s">
        <v>4764</v>
      </c>
      <c r="B131" s="795" t="s">
        <v>4765</v>
      </c>
      <c r="C131" s="795" t="s">
        <v>3374</v>
      </c>
      <c r="D131" s="795" t="s">
        <v>4831</v>
      </c>
      <c r="E131" s="795" t="s">
        <v>4832</v>
      </c>
      <c r="F131" s="812">
        <v>2</v>
      </c>
      <c r="G131" s="812">
        <v>16798</v>
      </c>
      <c r="H131" s="812"/>
      <c r="I131" s="812">
        <v>8399</v>
      </c>
      <c r="J131" s="812"/>
      <c r="K131" s="812"/>
      <c r="L131" s="812"/>
      <c r="M131" s="812"/>
      <c r="N131" s="812"/>
      <c r="O131" s="812"/>
      <c r="P131" s="800"/>
      <c r="Q131" s="813"/>
    </row>
    <row r="132" spans="1:17" ht="14.4" customHeight="1" x14ac:dyDescent="0.3">
      <c r="A132" s="794" t="s">
        <v>4764</v>
      </c>
      <c r="B132" s="795" t="s">
        <v>4765</v>
      </c>
      <c r="C132" s="795" t="s">
        <v>3374</v>
      </c>
      <c r="D132" s="795" t="s">
        <v>4833</v>
      </c>
      <c r="E132" s="795" t="s">
        <v>4834</v>
      </c>
      <c r="F132" s="812"/>
      <c r="G132" s="812"/>
      <c r="H132" s="812"/>
      <c r="I132" s="812"/>
      <c r="J132" s="812">
        <v>4</v>
      </c>
      <c r="K132" s="812">
        <v>1132</v>
      </c>
      <c r="L132" s="812">
        <v>1</v>
      </c>
      <c r="M132" s="812">
        <v>283</v>
      </c>
      <c r="N132" s="812">
        <v>9</v>
      </c>
      <c r="O132" s="812">
        <v>2547</v>
      </c>
      <c r="P132" s="800">
        <v>2.25</v>
      </c>
      <c r="Q132" s="813">
        <v>283</v>
      </c>
    </row>
    <row r="133" spans="1:17" ht="14.4" customHeight="1" x14ac:dyDescent="0.3">
      <c r="A133" s="794" t="s">
        <v>4835</v>
      </c>
      <c r="B133" s="795" t="s">
        <v>4836</v>
      </c>
      <c r="C133" s="795" t="s">
        <v>3374</v>
      </c>
      <c r="D133" s="795" t="s">
        <v>4837</v>
      </c>
      <c r="E133" s="795" t="s">
        <v>4838</v>
      </c>
      <c r="F133" s="812">
        <v>119</v>
      </c>
      <c r="G133" s="812">
        <v>24514</v>
      </c>
      <c r="H133" s="812">
        <v>0.86701563273678994</v>
      </c>
      <c r="I133" s="812">
        <v>206</v>
      </c>
      <c r="J133" s="812">
        <v>134</v>
      </c>
      <c r="K133" s="812">
        <v>28274</v>
      </c>
      <c r="L133" s="812">
        <v>1</v>
      </c>
      <c r="M133" s="812">
        <v>211</v>
      </c>
      <c r="N133" s="812">
        <v>128</v>
      </c>
      <c r="O133" s="812">
        <v>27008</v>
      </c>
      <c r="P133" s="800">
        <v>0.95522388059701491</v>
      </c>
      <c r="Q133" s="813">
        <v>211</v>
      </c>
    </row>
    <row r="134" spans="1:17" ht="14.4" customHeight="1" x14ac:dyDescent="0.3">
      <c r="A134" s="794" t="s">
        <v>4835</v>
      </c>
      <c r="B134" s="795" t="s">
        <v>4836</v>
      </c>
      <c r="C134" s="795" t="s">
        <v>3374</v>
      </c>
      <c r="D134" s="795" t="s">
        <v>4839</v>
      </c>
      <c r="E134" s="795" t="s">
        <v>4840</v>
      </c>
      <c r="F134" s="812">
        <v>17</v>
      </c>
      <c r="G134" s="812">
        <v>5015</v>
      </c>
      <c r="H134" s="812">
        <v>0.79338712229077679</v>
      </c>
      <c r="I134" s="812">
        <v>295</v>
      </c>
      <c r="J134" s="812">
        <v>21</v>
      </c>
      <c r="K134" s="812">
        <v>6321</v>
      </c>
      <c r="L134" s="812">
        <v>1</v>
      </c>
      <c r="M134" s="812">
        <v>301</v>
      </c>
      <c r="N134" s="812">
        <v>35</v>
      </c>
      <c r="O134" s="812">
        <v>10535</v>
      </c>
      <c r="P134" s="800">
        <v>1.6666666666666667</v>
      </c>
      <c r="Q134" s="813">
        <v>301</v>
      </c>
    </row>
    <row r="135" spans="1:17" ht="14.4" customHeight="1" x14ac:dyDescent="0.3">
      <c r="A135" s="794" t="s">
        <v>4835</v>
      </c>
      <c r="B135" s="795" t="s">
        <v>4836</v>
      </c>
      <c r="C135" s="795" t="s">
        <v>3374</v>
      </c>
      <c r="D135" s="795" t="s">
        <v>4841</v>
      </c>
      <c r="E135" s="795" t="s">
        <v>4842</v>
      </c>
      <c r="F135" s="812">
        <v>4</v>
      </c>
      <c r="G135" s="812">
        <v>540</v>
      </c>
      <c r="H135" s="812">
        <v>0.56308654848800832</v>
      </c>
      <c r="I135" s="812">
        <v>135</v>
      </c>
      <c r="J135" s="812">
        <v>7</v>
      </c>
      <c r="K135" s="812">
        <v>959</v>
      </c>
      <c r="L135" s="812">
        <v>1</v>
      </c>
      <c r="M135" s="812">
        <v>137</v>
      </c>
      <c r="N135" s="812">
        <v>7</v>
      </c>
      <c r="O135" s="812">
        <v>959</v>
      </c>
      <c r="P135" s="800">
        <v>1</v>
      </c>
      <c r="Q135" s="813">
        <v>137</v>
      </c>
    </row>
    <row r="136" spans="1:17" ht="14.4" customHeight="1" x14ac:dyDescent="0.3">
      <c r="A136" s="794" t="s">
        <v>4835</v>
      </c>
      <c r="B136" s="795" t="s">
        <v>4836</v>
      </c>
      <c r="C136" s="795" t="s">
        <v>3374</v>
      </c>
      <c r="D136" s="795" t="s">
        <v>4843</v>
      </c>
      <c r="E136" s="795" t="s">
        <v>4844</v>
      </c>
      <c r="F136" s="812">
        <v>1</v>
      </c>
      <c r="G136" s="812">
        <v>161</v>
      </c>
      <c r="H136" s="812">
        <v>0.93063583815028905</v>
      </c>
      <c r="I136" s="812">
        <v>161</v>
      </c>
      <c r="J136" s="812">
        <v>1</v>
      </c>
      <c r="K136" s="812">
        <v>173</v>
      </c>
      <c r="L136" s="812">
        <v>1</v>
      </c>
      <c r="M136" s="812">
        <v>173</v>
      </c>
      <c r="N136" s="812">
        <v>3</v>
      </c>
      <c r="O136" s="812">
        <v>519</v>
      </c>
      <c r="P136" s="800">
        <v>3</v>
      </c>
      <c r="Q136" s="813">
        <v>173</v>
      </c>
    </row>
    <row r="137" spans="1:17" ht="14.4" customHeight="1" x14ac:dyDescent="0.3">
      <c r="A137" s="794" t="s">
        <v>4835</v>
      </c>
      <c r="B137" s="795" t="s">
        <v>4836</v>
      </c>
      <c r="C137" s="795" t="s">
        <v>3374</v>
      </c>
      <c r="D137" s="795" t="s">
        <v>4845</v>
      </c>
      <c r="E137" s="795" t="s">
        <v>4846</v>
      </c>
      <c r="F137" s="812">
        <v>37</v>
      </c>
      <c r="G137" s="812">
        <v>9842</v>
      </c>
      <c r="H137" s="812">
        <v>1.0603318250377074</v>
      </c>
      <c r="I137" s="812">
        <v>266</v>
      </c>
      <c r="J137" s="812">
        <v>34</v>
      </c>
      <c r="K137" s="812">
        <v>9282</v>
      </c>
      <c r="L137" s="812">
        <v>1</v>
      </c>
      <c r="M137" s="812">
        <v>273</v>
      </c>
      <c r="N137" s="812"/>
      <c r="O137" s="812"/>
      <c r="P137" s="800"/>
      <c r="Q137" s="813"/>
    </row>
    <row r="138" spans="1:17" ht="14.4" customHeight="1" x14ac:dyDescent="0.3">
      <c r="A138" s="794" t="s">
        <v>4835</v>
      </c>
      <c r="B138" s="795" t="s">
        <v>4836</v>
      </c>
      <c r="C138" s="795" t="s">
        <v>3374</v>
      </c>
      <c r="D138" s="795" t="s">
        <v>4847</v>
      </c>
      <c r="E138" s="795" t="s">
        <v>4848</v>
      </c>
      <c r="F138" s="812">
        <v>46</v>
      </c>
      <c r="G138" s="812">
        <v>6486</v>
      </c>
      <c r="H138" s="812">
        <v>1.0380921895006403</v>
      </c>
      <c r="I138" s="812">
        <v>141</v>
      </c>
      <c r="J138" s="812">
        <v>44</v>
      </c>
      <c r="K138" s="812">
        <v>6248</v>
      </c>
      <c r="L138" s="812">
        <v>1</v>
      </c>
      <c r="M138" s="812">
        <v>142</v>
      </c>
      <c r="N138" s="812">
        <v>49</v>
      </c>
      <c r="O138" s="812">
        <v>6958</v>
      </c>
      <c r="P138" s="800">
        <v>1.1136363636363635</v>
      </c>
      <c r="Q138" s="813">
        <v>142</v>
      </c>
    </row>
    <row r="139" spans="1:17" ht="14.4" customHeight="1" x14ac:dyDescent="0.3">
      <c r="A139" s="794" t="s">
        <v>4835</v>
      </c>
      <c r="B139" s="795" t="s">
        <v>4836</v>
      </c>
      <c r="C139" s="795" t="s">
        <v>3374</v>
      </c>
      <c r="D139" s="795" t="s">
        <v>4849</v>
      </c>
      <c r="E139" s="795" t="s">
        <v>4848</v>
      </c>
      <c r="F139" s="812">
        <v>4</v>
      </c>
      <c r="G139" s="812">
        <v>312</v>
      </c>
      <c r="H139" s="812">
        <v>0.5714285714285714</v>
      </c>
      <c r="I139" s="812">
        <v>78</v>
      </c>
      <c r="J139" s="812">
        <v>7</v>
      </c>
      <c r="K139" s="812">
        <v>546</v>
      </c>
      <c r="L139" s="812">
        <v>1</v>
      </c>
      <c r="M139" s="812">
        <v>78</v>
      </c>
      <c r="N139" s="812">
        <v>7</v>
      </c>
      <c r="O139" s="812">
        <v>546</v>
      </c>
      <c r="P139" s="800">
        <v>1</v>
      </c>
      <c r="Q139" s="813">
        <v>78</v>
      </c>
    </row>
    <row r="140" spans="1:17" ht="14.4" customHeight="1" x14ac:dyDescent="0.3">
      <c r="A140" s="794" t="s">
        <v>4835</v>
      </c>
      <c r="B140" s="795" t="s">
        <v>4836</v>
      </c>
      <c r="C140" s="795" t="s">
        <v>3374</v>
      </c>
      <c r="D140" s="795" t="s">
        <v>4850</v>
      </c>
      <c r="E140" s="795" t="s">
        <v>4851</v>
      </c>
      <c r="F140" s="812">
        <v>46</v>
      </c>
      <c r="G140" s="812">
        <v>14122</v>
      </c>
      <c r="H140" s="812">
        <v>1.0254138832413593</v>
      </c>
      <c r="I140" s="812">
        <v>307</v>
      </c>
      <c r="J140" s="812">
        <v>44</v>
      </c>
      <c r="K140" s="812">
        <v>13772</v>
      </c>
      <c r="L140" s="812">
        <v>1</v>
      </c>
      <c r="M140" s="812">
        <v>313</v>
      </c>
      <c r="N140" s="812">
        <v>48</v>
      </c>
      <c r="O140" s="812">
        <v>15072</v>
      </c>
      <c r="P140" s="800">
        <v>1.0943944234679059</v>
      </c>
      <c r="Q140" s="813">
        <v>314</v>
      </c>
    </row>
    <row r="141" spans="1:17" ht="14.4" customHeight="1" x14ac:dyDescent="0.3">
      <c r="A141" s="794" t="s">
        <v>4835</v>
      </c>
      <c r="B141" s="795" t="s">
        <v>4836</v>
      </c>
      <c r="C141" s="795" t="s">
        <v>3374</v>
      </c>
      <c r="D141" s="795" t="s">
        <v>4852</v>
      </c>
      <c r="E141" s="795" t="s">
        <v>4853</v>
      </c>
      <c r="F141" s="812">
        <v>4</v>
      </c>
      <c r="G141" s="812">
        <v>644</v>
      </c>
      <c r="H141" s="812">
        <v>1.3169734151329244</v>
      </c>
      <c r="I141" s="812">
        <v>161</v>
      </c>
      <c r="J141" s="812">
        <v>3</v>
      </c>
      <c r="K141" s="812">
        <v>489</v>
      </c>
      <c r="L141" s="812">
        <v>1</v>
      </c>
      <c r="M141" s="812">
        <v>163</v>
      </c>
      <c r="N141" s="812">
        <v>46</v>
      </c>
      <c r="O141" s="812">
        <v>7498</v>
      </c>
      <c r="P141" s="800">
        <v>15.333333333333334</v>
      </c>
      <c r="Q141" s="813">
        <v>163</v>
      </c>
    </row>
    <row r="142" spans="1:17" ht="14.4" customHeight="1" x14ac:dyDescent="0.3">
      <c r="A142" s="794" t="s">
        <v>4835</v>
      </c>
      <c r="B142" s="795" t="s">
        <v>4836</v>
      </c>
      <c r="C142" s="795" t="s">
        <v>3374</v>
      </c>
      <c r="D142" s="795" t="s">
        <v>4854</v>
      </c>
      <c r="E142" s="795" t="s">
        <v>4838</v>
      </c>
      <c r="F142" s="812">
        <v>24</v>
      </c>
      <c r="G142" s="812">
        <v>1704</v>
      </c>
      <c r="H142" s="812">
        <v>1.0289855072463767</v>
      </c>
      <c r="I142" s="812">
        <v>71</v>
      </c>
      <c r="J142" s="812">
        <v>23</v>
      </c>
      <c r="K142" s="812">
        <v>1656</v>
      </c>
      <c r="L142" s="812">
        <v>1</v>
      </c>
      <c r="M142" s="812">
        <v>72</v>
      </c>
      <c r="N142" s="812">
        <v>23</v>
      </c>
      <c r="O142" s="812">
        <v>1656</v>
      </c>
      <c r="P142" s="800">
        <v>1</v>
      </c>
      <c r="Q142" s="813">
        <v>72</v>
      </c>
    </row>
    <row r="143" spans="1:17" ht="14.4" customHeight="1" x14ac:dyDescent="0.3">
      <c r="A143" s="794" t="s">
        <v>4835</v>
      </c>
      <c r="B143" s="795" t="s">
        <v>4836</v>
      </c>
      <c r="C143" s="795" t="s">
        <v>3374</v>
      </c>
      <c r="D143" s="795" t="s">
        <v>4855</v>
      </c>
      <c r="E143" s="795" t="s">
        <v>4856</v>
      </c>
      <c r="F143" s="812">
        <v>1</v>
      </c>
      <c r="G143" s="812">
        <v>1195</v>
      </c>
      <c r="H143" s="812"/>
      <c r="I143" s="812">
        <v>1195</v>
      </c>
      <c r="J143" s="812"/>
      <c r="K143" s="812"/>
      <c r="L143" s="812"/>
      <c r="M143" s="812"/>
      <c r="N143" s="812">
        <v>2</v>
      </c>
      <c r="O143" s="812">
        <v>2422</v>
      </c>
      <c r="P143" s="800"/>
      <c r="Q143" s="813">
        <v>1211</v>
      </c>
    </row>
    <row r="144" spans="1:17" ht="14.4" customHeight="1" x14ac:dyDescent="0.3">
      <c r="A144" s="794" t="s">
        <v>4835</v>
      </c>
      <c r="B144" s="795" t="s">
        <v>4836</v>
      </c>
      <c r="C144" s="795" t="s">
        <v>3374</v>
      </c>
      <c r="D144" s="795" t="s">
        <v>4857</v>
      </c>
      <c r="E144" s="795" t="s">
        <v>4858</v>
      </c>
      <c r="F144" s="812">
        <v>1</v>
      </c>
      <c r="G144" s="812">
        <v>110</v>
      </c>
      <c r="H144" s="812"/>
      <c r="I144" s="812">
        <v>110</v>
      </c>
      <c r="J144" s="812"/>
      <c r="K144" s="812"/>
      <c r="L144" s="812"/>
      <c r="M144" s="812"/>
      <c r="N144" s="812">
        <v>3</v>
      </c>
      <c r="O144" s="812">
        <v>342</v>
      </c>
      <c r="P144" s="800"/>
      <c r="Q144" s="813">
        <v>114</v>
      </c>
    </row>
    <row r="145" spans="1:17" ht="14.4" customHeight="1" x14ac:dyDescent="0.3">
      <c r="A145" s="794" t="s">
        <v>4859</v>
      </c>
      <c r="B145" s="795" t="s">
        <v>4860</v>
      </c>
      <c r="C145" s="795" t="s">
        <v>3374</v>
      </c>
      <c r="D145" s="795" t="s">
        <v>4861</v>
      </c>
      <c r="E145" s="795" t="s">
        <v>4862</v>
      </c>
      <c r="F145" s="812">
        <v>14</v>
      </c>
      <c r="G145" s="812">
        <v>756</v>
      </c>
      <c r="H145" s="812"/>
      <c r="I145" s="812">
        <v>54</v>
      </c>
      <c r="J145" s="812"/>
      <c r="K145" s="812"/>
      <c r="L145" s="812"/>
      <c r="M145" s="812"/>
      <c r="N145" s="812">
        <v>6</v>
      </c>
      <c r="O145" s="812">
        <v>348</v>
      </c>
      <c r="P145" s="800"/>
      <c r="Q145" s="813">
        <v>58</v>
      </c>
    </row>
    <row r="146" spans="1:17" ht="14.4" customHeight="1" x14ac:dyDescent="0.3">
      <c r="A146" s="794" t="s">
        <v>4859</v>
      </c>
      <c r="B146" s="795" t="s">
        <v>4860</v>
      </c>
      <c r="C146" s="795" t="s">
        <v>3374</v>
      </c>
      <c r="D146" s="795" t="s">
        <v>4863</v>
      </c>
      <c r="E146" s="795" t="s">
        <v>4864</v>
      </c>
      <c r="F146" s="812">
        <v>4</v>
      </c>
      <c r="G146" s="812">
        <v>492</v>
      </c>
      <c r="H146" s="812">
        <v>0.93893129770992367</v>
      </c>
      <c r="I146" s="812">
        <v>123</v>
      </c>
      <c r="J146" s="812">
        <v>4</v>
      </c>
      <c r="K146" s="812">
        <v>524</v>
      </c>
      <c r="L146" s="812">
        <v>1</v>
      </c>
      <c r="M146" s="812">
        <v>131</v>
      </c>
      <c r="N146" s="812">
        <v>1</v>
      </c>
      <c r="O146" s="812">
        <v>131</v>
      </c>
      <c r="P146" s="800">
        <v>0.25</v>
      </c>
      <c r="Q146" s="813">
        <v>131</v>
      </c>
    </row>
    <row r="147" spans="1:17" ht="14.4" customHeight="1" x14ac:dyDescent="0.3">
      <c r="A147" s="794" t="s">
        <v>4859</v>
      </c>
      <c r="B147" s="795" t="s">
        <v>4860</v>
      </c>
      <c r="C147" s="795" t="s">
        <v>3374</v>
      </c>
      <c r="D147" s="795" t="s">
        <v>4865</v>
      </c>
      <c r="E147" s="795" t="s">
        <v>4866</v>
      </c>
      <c r="F147" s="812"/>
      <c r="G147" s="812"/>
      <c r="H147" s="812"/>
      <c r="I147" s="812"/>
      <c r="J147" s="812"/>
      <c r="K147" s="812"/>
      <c r="L147" s="812"/>
      <c r="M147" s="812"/>
      <c r="N147" s="812">
        <v>1</v>
      </c>
      <c r="O147" s="812">
        <v>189</v>
      </c>
      <c r="P147" s="800"/>
      <c r="Q147" s="813">
        <v>189</v>
      </c>
    </row>
    <row r="148" spans="1:17" ht="14.4" customHeight="1" x14ac:dyDescent="0.3">
      <c r="A148" s="794" t="s">
        <v>4859</v>
      </c>
      <c r="B148" s="795" t="s">
        <v>4860</v>
      </c>
      <c r="C148" s="795" t="s">
        <v>3374</v>
      </c>
      <c r="D148" s="795" t="s">
        <v>4867</v>
      </c>
      <c r="E148" s="795" t="s">
        <v>4868</v>
      </c>
      <c r="F148" s="812">
        <v>4</v>
      </c>
      <c r="G148" s="812">
        <v>688</v>
      </c>
      <c r="H148" s="812"/>
      <c r="I148" s="812">
        <v>172</v>
      </c>
      <c r="J148" s="812"/>
      <c r="K148" s="812"/>
      <c r="L148" s="812"/>
      <c r="M148" s="812"/>
      <c r="N148" s="812"/>
      <c r="O148" s="812"/>
      <c r="P148" s="800"/>
      <c r="Q148" s="813"/>
    </row>
    <row r="149" spans="1:17" ht="14.4" customHeight="1" x14ac:dyDescent="0.3">
      <c r="A149" s="794" t="s">
        <v>4859</v>
      </c>
      <c r="B149" s="795" t="s">
        <v>4860</v>
      </c>
      <c r="C149" s="795" t="s">
        <v>3374</v>
      </c>
      <c r="D149" s="795" t="s">
        <v>4869</v>
      </c>
      <c r="E149" s="795" t="s">
        <v>4870</v>
      </c>
      <c r="F149" s="812">
        <v>2</v>
      </c>
      <c r="G149" s="812">
        <v>644</v>
      </c>
      <c r="H149" s="812"/>
      <c r="I149" s="812">
        <v>322</v>
      </c>
      <c r="J149" s="812"/>
      <c r="K149" s="812"/>
      <c r="L149" s="812"/>
      <c r="M149" s="812"/>
      <c r="N149" s="812"/>
      <c r="O149" s="812"/>
      <c r="P149" s="800"/>
      <c r="Q149" s="813"/>
    </row>
    <row r="150" spans="1:17" ht="14.4" customHeight="1" x14ac:dyDescent="0.3">
      <c r="A150" s="794" t="s">
        <v>4859</v>
      </c>
      <c r="B150" s="795" t="s">
        <v>4860</v>
      </c>
      <c r="C150" s="795" t="s">
        <v>3374</v>
      </c>
      <c r="D150" s="795" t="s">
        <v>4871</v>
      </c>
      <c r="E150" s="795" t="s">
        <v>4872</v>
      </c>
      <c r="F150" s="812">
        <v>1</v>
      </c>
      <c r="G150" s="812">
        <v>439</v>
      </c>
      <c r="H150" s="812"/>
      <c r="I150" s="812">
        <v>439</v>
      </c>
      <c r="J150" s="812"/>
      <c r="K150" s="812"/>
      <c r="L150" s="812"/>
      <c r="M150" s="812"/>
      <c r="N150" s="812"/>
      <c r="O150" s="812"/>
      <c r="P150" s="800"/>
      <c r="Q150" s="813"/>
    </row>
    <row r="151" spans="1:17" ht="14.4" customHeight="1" x14ac:dyDescent="0.3">
      <c r="A151" s="794" t="s">
        <v>4859</v>
      </c>
      <c r="B151" s="795" t="s">
        <v>4860</v>
      </c>
      <c r="C151" s="795" t="s">
        <v>3374</v>
      </c>
      <c r="D151" s="795" t="s">
        <v>4873</v>
      </c>
      <c r="E151" s="795" t="s">
        <v>4874</v>
      </c>
      <c r="F151" s="812">
        <v>11</v>
      </c>
      <c r="G151" s="812">
        <v>3751</v>
      </c>
      <c r="H151" s="812"/>
      <c r="I151" s="812">
        <v>341</v>
      </c>
      <c r="J151" s="812"/>
      <c r="K151" s="812"/>
      <c r="L151" s="812"/>
      <c r="M151" s="812"/>
      <c r="N151" s="812"/>
      <c r="O151" s="812"/>
      <c r="P151" s="800"/>
      <c r="Q151" s="813"/>
    </row>
    <row r="152" spans="1:17" ht="14.4" customHeight="1" x14ac:dyDescent="0.3">
      <c r="A152" s="794" t="s">
        <v>4859</v>
      </c>
      <c r="B152" s="795" t="s">
        <v>4860</v>
      </c>
      <c r="C152" s="795" t="s">
        <v>3374</v>
      </c>
      <c r="D152" s="795" t="s">
        <v>4875</v>
      </c>
      <c r="E152" s="795" t="s">
        <v>4876</v>
      </c>
      <c r="F152" s="812">
        <v>6</v>
      </c>
      <c r="G152" s="812">
        <v>1710</v>
      </c>
      <c r="H152" s="812">
        <v>1.875</v>
      </c>
      <c r="I152" s="812">
        <v>285</v>
      </c>
      <c r="J152" s="812">
        <v>3</v>
      </c>
      <c r="K152" s="812">
        <v>912</v>
      </c>
      <c r="L152" s="812">
        <v>1</v>
      </c>
      <c r="M152" s="812">
        <v>304</v>
      </c>
      <c r="N152" s="812">
        <v>5</v>
      </c>
      <c r="O152" s="812">
        <v>1525</v>
      </c>
      <c r="P152" s="800">
        <v>1.6721491228070176</v>
      </c>
      <c r="Q152" s="813">
        <v>305</v>
      </c>
    </row>
    <row r="153" spans="1:17" ht="14.4" customHeight="1" x14ac:dyDescent="0.3">
      <c r="A153" s="794" t="s">
        <v>4859</v>
      </c>
      <c r="B153" s="795" t="s">
        <v>4860</v>
      </c>
      <c r="C153" s="795" t="s">
        <v>3374</v>
      </c>
      <c r="D153" s="795" t="s">
        <v>4877</v>
      </c>
      <c r="E153" s="795" t="s">
        <v>4878</v>
      </c>
      <c r="F153" s="812">
        <v>2</v>
      </c>
      <c r="G153" s="812">
        <v>924</v>
      </c>
      <c r="H153" s="812"/>
      <c r="I153" s="812">
        <v>462</v>
      </c>
      <c r="J153" s="812"/>
      <c r="K153" s="812"/>
      <c r="L153" s="812"/>
      <c r="M153" s="812"/>
      <c r="N153" s="812"/>
      <c r="O153" s="812"/>
      <c r="P153" s="800"/>
      <c r="Q153" s="813"/>
    </row>
    <row r="154" spans="1:17" ht="14.4" customHeight="1" x14ac:dyDescent="0.3">
      <c r="A154" s="794" t="s">
        <v>4859</v>
      </c>
      <c r="B154" s="795" t="s">
        <v>4860</v>
      </c>
      <c r="C154" s="795" t="s">
        <v>3374</v>
      </c>
      <c r="D154" s="795" t="s">
        <v>4879</v>
      </c>
      <c r="E154" s="795" t="s">
        <v>4880</v>
      </c>
      <c r="F154" s="812">
        <v>8</v>
      </c>
      <c r="G154" s="812">
        <v>2848</v>
      </c>
      <c r="H154" s="812">
        <v>2.5657657657657658</v>
      </c>
      <c r="I154" s="812">
        <v>356</v>
      </c>
      <c r="J154" s="812">
        <v>3</v>
      </c>
      <c r="K154" s="812">
        <v>1110</v>
      </c>
      <c r="L154" s="812">
        <v>1</v>
      </c>
      <c r="M154" s="812">
        <v>370</v>
      </c>
      <c r="N154" s="812">
        <v>7</v>
      </c>
      <c r="O154" s="812">
        <v>2590</v>
      </c>
      <c r="P154" s="800">
        <v>2.3333333333333335</v>
      </c>
      <c r="Q154" s="813">
        <v>370</v>
      </c>
    </row>
    <row r="155" spans="1:17" ht="14.4" customHeight="1" x14ac:dyDescent="0.3">
      <c r="A155" s="794" t="s">
        <v>4859</v>
      </c>
      <c r="B155" s="795" t="s">
        <v>4860</v>
      </c>
      <c r="C155" s="795" t="s">
        <v>3374</v>
      </c>
      <c r="D155" s="795" t="s">
        <v>4881</v>
      </c>
      <c r="E155" s="795" t="s">
        <v>4882</v>
      </c>
      <c r="F155" s="812"/>
      <c r="G155" s="812"/>
      <c r="H155" s="812"/>
      <c r="I155" s="812"/>
      <c r="J155" s="812"/>
      <c r="K155" s="812"/>
      <c r="L155" s="812"/>
      <c r="M155" s="812"/>
      <c r="N155" s="812">
        <v>1</v>
      </c>
      <c r="O155" s="812">
        <v>125</v>
      </c>
      <c r="P155" s="800"/>
      <c r="Q155" s="813">
        <v>125</v>
      </c>
    </row>
    <row r="156" spans="1:17" ht="14.4" customHeight="1" x14ac:dyDescent="0.3">
      <c r="A156" s="794" t="s">
        <v>4859</v>
      </c>
      <c r="B156" s="795" t="s">
        <v>4860</v>
      </c>
      <c r="C156" s="795" t="s">
        <v>3374</v>
      </c>
      <c r="D156" s="795" t="s">
        <v>1743</v>
      </c>
      <c r="E156" s="795" t="s">
        <v>4883</v>
      </c>
      <c r="F156" s="812">
        <v>2</v>
      </c>
      <c r="G156" s="812">
        <v>874</v>
      </c>
      <c r="H156" s="812"/>
      <c r="I156" s="812">
        <v>437</v>
      </c>
      <c r="J156" s="812"/>
      <c r="K156" s="812"/>
      <c r="L156" s="812"/>
      <c r="M156" s="812"/>
      <c r="N156" s="812"/>
      <c r="O156" s="812"/>
      <c r="P156" s="800"/>
      <c r="Q156" s="813"/>
    </row>
    <row r="157" spans="1:17" ht="14.4" customHeight="1" x14ac:dyDescent="0.3">
      <c r="A157" s="794" t="s">
        <v>4859</v>
      </c>
      <c r="B157" s="795" t="s">
        <v>4860</v>
      </c>
      <c r="C157" s="795" t="s">
        <v>3374</v>
      </c>
      <c r="D157" s="795" t="s">
        <v>4884</v>
      </c>
      <c r="E157" s="795" t="s">
        <v>4885</v>
      </c>
      <c r="F157" s="812"/>
      <c r="G157" s="812"/>
      <c r="H157" s="812"/>
      <c r="I157" s="812"/>
      <c r="J157" s="812">
        <v>2</v>
      </c>
      <c r="K157" s="812">
        <v>116</v>
      </c>
      <c r="L157" s="812">
        <v>1</v>
      </c>
      <c r="M157" s="812">
        <v>58</v>
      </c>
      <c r="N157" s="812"/>
      <c r="O157" s="812"/>
      <c r="P157" s="800"/>
      <c r="Q157" s="813"/>
    </row>
    <row r="158" spans="1:17" ht="14.4" customHeight="1" x14ac:dyDescent="0.3">
      <c r="A158" s="794" t="s">
        <v>4859</v>
      </c>
      <c r="B158" s="795" t="s">
        <v>4860</v>
      </c>
      <c r="C158" s="795" t="s">
        <v>3374</v>
      </c>
      <c r="D158" s="795" t="s">
        <v>4886</v>
      </c>
      <c r="E158" s="795" t="s">
        <v>4887</v>
      </c>
      <c r="F158" s="812">
        <v>5</v>
      </c>
      <c r="G158" s="812">
        <v>845</v>
      </c>
      <c r="H158" s="812">
        <v>0.80476190476190479</v>
      </c>
      <c r="I158" s="812">
        <v>169</v>
      </c>
      <c r="J158" s="812">
        <v>6</v>
      </c>
      <c r="K158" s="812">
        <v>1050</v>
      </c>
      <c r="L158" s="812">
        <v>1</v>
      </c>
      <c r="M158" s="812">
        <v>175</v>
      </c>
      <c r="N158" s="812">
        <v>7</v>
      </c>
      <c r="O158" s="812">
        <v>1232</v>
      </c>
      <c r="P158" s="800">
        <v>1.1733333333333333</v>
      </c>
      <c r="Q158" s="813">
        <v>176</v>
      </c>
    </row>
    <row r="159" spans="1:17" ht="14.4" customHeight="1" x14ac:dyDescent="0.3">
      <c r="A159" s="794" t="s">
        <v>4859</v>
      </c>
      <c r="B159" s="795" t="s">
        <v>4860</v>
      </c>
      <c r="C159" s="795" t="s">
        <v>3374</v>
      </c>
      <c r="D159" s="795" t="s">
        <v>4888</v>
      </c>
      <c r="E159" s="795" t="s">
        <v>4889</v>
      </c>
      <c r="F159" s="812">
        <v>1</v>
      </c>
      <c r="G159" s="812">
        <v>163</v>
      </c>
      <c r="H159" s="812">
        <v>0.96449704142011838</v>
      </c>
      <c r="I159" s="812">
        <v>163</v>
      </c>
      <c r="J159" s="812">
        <v>1</v>
      </c>
      <c r="K159" s="812">
        <v>169</v>
      </c>
      <c r="L159" s="812">
        <v>1</v>
      </c>
      <c r="M159" s="812">
        <v>169</v>
      </c>
      <c r="N159" s="812"/>
      <c r="O159" s="812"/>
      <c r="P159" s="800"/>
      <c r="Q159" s="813"/>
    </row>
    <row r="160" spans="1:17" ht="14.4" customHeight="1" x14ac:dyDescent="0.3">
      <c r="A160" s="794" t="s">
        <v>4859</v>
      </c>
      <c r="B160" s="795" t="s">
        <v>4860</v>
      </c>
      <c r="C160" s="795" t="s">
        <v>3374</v>
      </c>
      <c r="D160" s="795" t="s">
        <v>4890</v>
      </c>
      <c r="E160" s="795" t="s">
        <v>4891</v>
      </c>
      <c r="F160" s="812">
        <v>1</v>
      </c>
      <c r="G160" s="812">
        <v>2012</v>
      </c>
      <c r="H160" s="812"/>
      <c r="I160" s="812">
        <v>2012</v>
      </c>
      <c r="J160" s="812"/>
      <c r="K160" s="812"/>
      <c r="L160" s="812"/>
      <c r="M160" s="812"/>
      <c r="N160" s="812"/>
      <c r="O160" s="812"/>
      <c r="P160" s="800"/>
      <c r="Q160" s="813"/>
    </row>
    <row r="161" spans="1:17" ht="14.4" customHeight="1" x14ac:dyDescent="0.3">
      <c r="A161" s="794" t="s">
        <v>4892</v>
      </c>
      <c r="B161" s="795" t="s">
        <v>4893</v>
      </c>
      <c r="C161" s="795" t="s">
        <v>3374</v>
      </c>
      <c r="D161" s="795" t="s">
        <v>4894</v>
      </c>
      <c r="E161" s="795" t="s">
        <v>4895</v>
      </c>
      <c r="F161" s="812">
        <v>221</v>
      </c>
      <c r="G161" s="812">
        <v>35581</v>
      </c>
      <c r="H161" s="812">
        <v>1.076809006446146</v>
      </c>
      <c r="I161" s="812">
        <v>161</v>
      </c>
      <c r="J161" s="812">
        <v>191</v>
      </c>
      <c r="K161" s="812">
        <v>33043</v>
      </c>
      <c r="L161" s="812">
        <v>1</v>
      </c>
      <c r="M161" s="812">
        <v>173</v>
      </c>
      <c r="N161" s="812">
        <v>183</v>
      </c>
      <c r="O161" s="812">
        <v>31659</v>
      </c>
      <c r="P161" s="800">
        <v>0.95811518324607325</v>
      </c>
      <c r="Q161" s="813">
        <v>173</v>
      </c>
    </row>
    <row r="162" spans="1:17" ht="14.4" customHeight="1" x14ac:dyDescent="0.3">
      <c r="A162" s="794" t="s">
        <v>4892</v>
      </c>
      <c r="B162" s="795" t="s">
        <v>4893</v>
      </c>
      <c r="C162" s="795" t="s">
        <v>3374</v>
      </c>
      <c r="D162" s="795" t="s">
        <v>4896</v>
      </c>
      <c r="E162" s="795" t="s">
        <v>4897</v>
      </c>
      <c r="F162" s="812">
        <v>15</v>
      </c>
      <c r="G162" s="812">
        <v>600</v>
      </c>
      <c r="H162" s="812">
        <v>1.8292682926829269</v>
      </c>
      <c r="I162" s="812">
        <v>40</v>
      </c>
      <c r="J162" s="812">
        <v>8</v>
      </c>
      <c r="K162" s="812">
        <v>328</v>
      </c>
      <c r="L162" s="812">
        <v>1</v>
      </c>
      <c r="M162" s="812">
        <v>41</v>
      </c>
      <c r="N162" s="812">
        <v>8</v>
      </c>
      <c r="O162" s="812">
        <v>368</v>
      </c>
      <c r="P162" s="800">
        <v>1.1219512195121952</v>
      </c>
      <c r="Q162" s="813">
        <v>46</v>
      </c>
    </row>
    <row r="163" spans="1:17" ht="14.4" customHeight="1" x14ac:dyDescent="0.3">
      <c r="A163" s="794" t="s">
        <v>4892</v>
      </c>
      <c r="B163" s="795" t="s">
        <v>4893</v>
      </c>
      <c r="C163" s="795" t="s">
        <v>3374</v>
      </c>
      <c r="D163" s="795" t="s">
        <v>4898</v>
      </c>
      <c r="E163" s="795" t="s">
        <v>4899</v>
      </c>
      <c r="F163" s="812"/>
      <c r="G163" s="812"/>
      <c r="H163" s="812"/>
      <c r="I163" s="812"/>
      <c r="J163" s="812"/>
      <c r="K163" s="812"/>
      <c r="L163" s="812"/>
      <c r="M163" s="812"/>
      <c r="N163" s="812">
        <v>2</v>
      </c>
      <c r="O163" s="812">
        <v>754</v>
      </c>
      <c r="P163" s="800"/>
      <c r="Q163" s="813">
        <v>377</v>
      </c>
    </row>
    <row r="164" spans="1:17" ht="14.4" customHeight="1" x14ac:dyDescent="0.3">
      <c r="A164" s="794" t="s">
        <v>4892</v>
      </c>
      <c r="B164" s="795" t="s">
        <v>4893</v>
      </c>
      <c r="C164" s="795" t="s">
        <v>3374</v>
      </c>
      <c r="D164" s="795" t="s">
        <v>4900</v>
      </c>
      <c r="E164" s="795" t="s">
        <v>4901</v>
      </c>
      <c r="F164" s="812"/>
      <c r="G164" s="812"/>
      <c r="H164" s="812"/>
      <c r="I164" s="812"/>
      <c r="J164" s="812"/>
      <c r="K164" s="812"/>
      <c r="L164" s="812"/>
      <c r="M164" s="812"/>
      <c r="N164" s="812">
        <v>1</v>
      </c>
      <c r="O164" s="812">
        <v>524</v>
      </c>
      <c r="P164" s="800"/>
      <c r="Q164" s="813">
        <v>524</v>
      </c>
    </row>
    <row r="165" spans="1:17" ht="14.4" customHeight="1" x14ac:dyDescent="0.3">
      <c r="A165" s="794" t="s">
        <v>4892</v>
      </c>
      <c r="B165" s="795" t="s">
        <v>4893</v>
      </c>
      <c r="C165" s="795" t="s">
        <v>3374</v>
      </c>
      <c r="D165" s="795" t="s">
        <v>4902</v>
      </c>
      <c r="E165" s="795" t="s">
        <v>4903</v>
      </c>
      <c r="F165" s="812">
        <v>5</v>
      </c>
      <c r="G165" s="812">
        <v>155</v>
      </c>
      <c r="H165" s="812"/>
      <c r="I165" s="812">
        <v>31</v>
      </c>
      <c r="J165" s="812"/>
      <c r="K165" s="812"/>
      <c r="L165" s="812"/>
      <c r="M165" s="812"/>
      <c r="N165" s="812">
        <v>2</v>
      </c>
      <c r="O165" s="812">
        <v>114</v>
      </c>
      <c r="P165" s="800"/>
      <c r="Q165" s="813">
        <v>57</v>
      </c>
    </row>
    <row r="166" spans="1:17" ht="14.4" customHeight="1" x14ac:dyDescent="0.3">
      <c r="A166" s="794" t="s">
        <v>4892</v>
      </c>
      <c r="B166" s="795" t="s">
        <v>4893</v>
      </c>
      <c r="C166" s="795" t="s">
        <v>3374</v>
      </c>
      <c r="D166" s="795" t="s">
        <v>4904</v>
      </c>
      <c r="E166" s="795" t="s">
        <v>4905</v>
      </c>
      <c r="F166" s="812">
        <v>2</v>
      </c>
      <c r="G166" s="812">
        <v>414</v>
      </c>
      <c r="H166" s="812"/>
      <c r="I166" s="812">
        <v>207</v>
      </c>
      <c r="J166" s="812"/>
      <c r="K166" s="812"/>
      <c r="L166" s="812"/>
      <c r="M166" s="812"/>
      <c r="N166" s="812"/>
      <c r="O166" s="812"/>
      <c r="P166" s="800"/>
      <c r="Q166" s="813"/>
    </row>
    <row r="167" spans="1:17" ht="14.4" customHeight="1" x14ac:dyDescent="0.3">
      <c r="A167" s="794" t="s">
        <v>4892</v>
      </c>
      <c r="B167" s="795" t="s">
        <v>4893</v>
      </c>
      <c r="C167" s="795" t="s">
        <v>3374</v>
      </c>
      <c r="D167" s="795" t="s">
        <v>4906</v>
      </c>
      <c r="E167" s="795" t="s">
        <v>4907</v>
      </c>
      <c r="F167" s="812">
        <v>2</v>
      </c>
      <c r="G167" s="812">
        <v>760</v>
      </c>
      <c r="H167" s="812"/>
      <c r="I167" s="812">
        <v>380</v>
      </c>
      <c r="J167" s="812"/>
      <c r="K167" s="812"/>
      <c r="L167" s="812"/>
      <c r="M167" s="812"/>
      <c r="N167" s="812"/>
      <c r="O167" s="812"/>
      <c r="P167" s="800"/>
      <c r="Q167" s="813"/>
    </row>
    <row r="168" spans="1:17" ht="14.4" customHeight="1" x14ac:dyDescent="0.3">
      <c r="A168" s="794" t="s">
        <v>4892</v>
      </c>
      <c r="B168" s="795" t="s">
        <v>4893</v>
      </c>
      <c r="C168" s="795" t="s">
        <v>3374</v>
      </c>
      <c r="D168" s="795" t="s">
        <v>4908</v>
      </c>
      <c r="E168" s="795" t="s">
        <v>4909</v>
      </c>
      <c r="F168" s="812">
        <v>91</v>
      </c>
      <c r="G168" s="812">
        <v>10556</v>
      </c>
      <c r="H168" s="812">
        <v>2.5777777777777779</v>
      </c>
      <c r="I168" s="812">
        <v>116</v>
      </c>
      <c r="J168" s="812">
        <v>35</v>
      </c>
      <c r="K168" s="812">
        <v>4095</v>
      </c>
      <c r="L168" s="812">
        <v>1</v>
      </c>
      <c r="M168" s="812">
        <v>117</v>
      </c>
      <c r="N168" s="812">
        <v>51</v>
      </c>
      <c r="O168" s="812">
        <v>6936</v>
      </c>
      <c r="P168" s="800">
        <v>1.6937728937728938</v>
      </c>
      <c r="Q168" s="813">
        <v>136</v>
      </c>
    </row>
    <row r="169" spans="1:17" ht="14.4" customHeight="1" x14ac:dyDescent="0.3">
      <c r="A169" s="794" t="s">
        <v>4892</v>
      </c>
      <c r="B169" s="795" t="s">
        <v>4893</v>
      </c>
      <c r="C169" s="795" t="s">
        <v>3374</v>
      </c>
      <c r="D169" s="795" t="s">
        <v>4910</v>
      </c>
      <c r="E169" s="795" t="s">
        <v>4911</v>
      </c>
      <c r="F169" s="812">
        <v>34</v>
      </c>
      <c r="G169" s="812">
        <v>2890</v>
      </c>
      <c r="H169" s="812">
        <v>3.1758241758241756</v>
      </c>
      <c r="I169" s="812">
        <v>85</v>
      </c>
      <c r="J169" s="812">
        <v>10</v>
      </c>
      <c r="K169" s="812">
        <v>910</v>
      </c>
      <c r="L169" s="812">
        <v>1</v>
      </c>
      <c r="M169" s="812">
        <v>91</v>
      </c>
      <c r="N169" s="812">
        <v>12</v>
      </c>
      <c r="O169" s="812">
        <v>1092</v>
      </c>
      <c r="P169" s="800">
        <v>1.2</v>
      </c>
      <c r="Q169" s="813">
        <v>91</v>
      </c>
    </row>
    <row r="170" spans="1:17" ht="14.4" customHeight="1" x14ac:dyDescent="0.3">
      <c r="A170" s="794" t="s">
        <v>4892</v>
      </c>
      <c r="B170" s="795" t="s">
        <v>4893</v>
      </c>
      <c r="C170" s="795" t="s">
        <v>3374</v>
      </c>
      <c r="D170" s="795" t="s">
        <v>4912</v>
      </c>
      <c r="E170" s="795" t="s">
        <v>4913</v>
      </c>
      <c r="F170" s="812">
        <v>6</v>
      </c>
      <c r="G170" s="812">
        <v>126</v>
      </c>
      <c r="H170" s="812">
        <v>3</v>
      </c>
      <c r="I170" s="812">
        <v>21</v>
      </c>
      <c r="J170" s="812">
        <v>2</v>
      </c>
      <c r="K170" s="812">
        <v>42</v>
      </c>
      <c r="L170" s="812">
        <v>1</v>
      </c>
      <c r="M170" s="812">
        <v>21</v>
      </c>
      <c r="N170" s="812"/>
      <c r="O170" s="812"/>
      <c r="P170" s="800"/>
      <c r="Q170" s="813"/>
    </row>
    <row r="171" spans="1:17" ht="14.4" customHeight="1" x14ac:dyDescent="0.3">
      <c r="A171" s="794" t="s">
        <v>4892</v>
      </c>
      <c r="B171" s="795" t="s">
        <v>4893</v>
      </c>
      <c r="C171" s="795" t="s">
        <v>3374</v>
      </c>
      <c r="D171" s="795" t="s">
        <v>4914</v>
      </c>
      <c r="E171" s="795" t="s">
        <v>4915</v>
      </c>
      <c r="F171" s="812">
        <v>10</v>
      </c>
      <c r="G171" s="812">
        <v>410</v>
      </c>
      <c r="H171" s="812">
        <v>2</v>
      </c>
      <c r="I171" s="812">
        <v>41</v>
      </c>
      <c r="J171" s="812">
        <v>5</v>
      </c>
      <c r="K171" s="812">
        <v>205</v>
      </c>
      <c r="L171" s="812">
        <v>1</v>
      </c>
      <c r="M171" s="812">
        <v>41</v>
      </c>
      <c r="N171" s="812">
        <v>5</v>
      </c>
      <c r="O171" s="812">
        <v>255</v>
      </c>
      <c r="P171" s="800">
        <v>1.2439024390243902</v>
      </c>
      <c r="Q171" s="813">
        <v>51</v>
      </c>
    </row>
    <row r="172" spans="1:17" ht="14.4" customHeight="1" x14ac:dyDescent="0.3">
      <c r="A172" s="794" t="s">
        <v>4892</v>
      </c>
      <c r="B172" s="795" t="s">
        <v>4893</v>
      </c>
      <c r="C172" s="795" t="s">
        <v>3374</v>
      </c>
      <c r="D172" s="795" t="s">
        <v>4916</v>
      </c>
      <c r="E172" s="795" t="s">
        <v>4917</v>
      </c>
      <c r="F172" s="812"/>
      <c r="G172" s="812"/>
      <c r="H172" s="812"/>
      <c r="I172" s="812"/>
      <c r="J172" s="812"/>
      <c r="K172" s="812"/>
      <c r="L172" s="812"/>
      <c r="M172" s="812"/>
      <c r="N172" s="812">
        <v>1</v>
      </c>
      <c r="O172" s="812">
        <v>612</v>
      </c>
      <c r="P172" s="800"/>
      <c r="Q172" s="813">
        <v>612</v>
      </c>
    </row>
    <row r="173" spans="1:17" ht="14.4" customHeight="1" x14ac:dyDescent="0.3">
      <c r="A173" s="794" t="s">
        <v>4918</v>
      </c>
      <c r="B173" s="795" t="s">
        <v>4761</v>
      </c>
      <c r="C173" s="795" t="s">
        <v>3374</v>
      </c>
      <c r="D173" s="795" t="s">
        <v>4919</v>
      </c>
      <c r="E173" s="795" t="s">
        <v>4920</v>
      </c>
      <c r="F173" s="812">
        <v>1</v>
      </c>
      <c r="G173" s="812">
        <v>167</v>
      </c>
      <c r="H173" s="812"/>
      <c r="I173" s="812">
        <v>167</v>
      </c>
      <c r="J173" s="812"/>
      <c r="K173" s="812"/>
      <c r="L173" s="812"/>
      <c r="M173" s="812"/>
      <c r="N173" s="812"/>
      <c r="O173" s="812"/>
      <c r="P173" s="800"/>
      <c r="Q173" s="813"/>
    </row>
    <row r="174" spans="1:17" ht="14.4" customHeight="1" x14ac:dyDescent="0.3">
      <c r="A174" s="794" t="s">
        <v>4918</v>
      </c>
      <c r="B174" s="795" t="s">
        <v>4761</v>
      </c>
      <c r="C174" s="795" t="s">
        <v>3374</v>
      </c>
      <c r="D174" s="795" t="s">
        <v>4921</v>
      </c>
      <c r="E174" s="795" t="s">
        <v>4922</v>
      </c>
      <c r="F174" s="812">
        <v>3</v>
      </c>
      <c r="G174" s="812">
        <v>1047</v>
      </c>
      <c r="H174" s="812"/>
      <c r="I174" s="812">
        <v>349</v>
      </c>
      <c r="J174" s="812"/>
      <c r="K174" s="812"/>
      <c r="L174" s="812"/>
      <c r="M174" s="812"/>
      <c r="N174" s="812"/>
      <c r="O174" s="812"/>
      <c r="P174" s="800"/>
      <c r="Q174" s="813"/>
    </row>
    <row r="175" spans="1:17" ht="14.4" customHeight="1" x14ac:dyDescent="0.3">
      <c r="A175" s="794" t="s">
        <v>4918</v>
      </c>
      <c r="B175" s="795" t="s">
        <v>4761</v>
      </c>
      <c r="C175" s="795" t="s">
        <v>3374</v>
      </c>
      <c r="D175" s="795" t="s">
        <v>4923</v>
      </c>
      <c r="E175" s="795" t="s">
        <v>4924</v>
      </c>
      <c r="F175" s="812">
        <v>1</v>
      </c>
      <c r="G175" s="812">
        <v>170</v>
      </c>
      <c r="H175" s="812"/>
      <c r="I175" s="812">
        <v>170</v>
      </c>
      <c r="J175" s="812"/>
      <c r="K175" s="812"/>
      <c r="L175" s="812"/>
      <c r="M175" s="812"/>
      <c r="N175" s="812"/>
      <c r="O175" s="812"/>
      <c r="P175" s="800"/>
      <c r="Q175" s="813"/>
    </row>
    <row r="176" spans="1:17" ht="14.4" customHeight="1" x14ac:dyDescent="0.3">
      <c r="A176" s="794" t="s">
        <v>4918</v>
      </c>
      <c r="B176" s="795" t="s">
        <v>4761</v>
      </c>
      <c r="C176" s="795" t="s">
        <v>3374</v>
      </c>
      <c r="D176" s="795" t="s">
        <v>4925</v>
      </c>
      <c r="E176" s="795" t="s">
        <v>4926</v>
      </c>
      <c r="F176" s="812">
        <v>2</v>
      </c>
      <c r="G176" s="812">
        <v>696</v>
      </c>
      <c r="H176" s="812"/>
      <c r="I176" s="812">
        <v>348</v>
      </c>
      <c r="J176" s="812"/>
      <c r="K176" s="812"/>
      <c r="L176" s="812"/>
      <c r="M176" s="812"/>
      <c r="N176" s="812"/>
      <c r="O176" s="812"/>
      <c r="P176" s="800"/>
      <c r="Q176" s="813"/>
    </row>
    <row r="177" spans="1:17" ht="14.4" customHeight="1" thickBot="1" x14ac:dyDescent="0.35">
      <c r="A177" s="802" t="s">
        <v>4918</v>
      </c>
      <c r="B177" s="803" t="s">
        <v>4761</v>
      </c>
      <c r="C177" s="803" t="s">
        <v>3374</v>
      </c>
      <c r="D177" s="803" t="s">
        <v>4927</v>
      </c>
      <c r="E177" s="803" t="s">
        <v>4928</v>
      </c>
      <c r="F177" s="814">
        <v>1</v>
      </c>
      <c r="G177" s="814">
        <v>173</v>
      </c>
      <c r="H177" s="814"/>
      <c r="I177" s="814">
        <v>173</v>
      </c>
      <c r="J177" s="814"/>
      <c r="K177" s="814"/>
      <c r="L177" s="814"/>
      <c r="M177" s="814"/>
      <c r="N177" s="814"/>
      <c r="O177" s="814"/>
      <c r="P177" s="808"/>
      <c r="Q177" s="815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9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59" t="s">
        <v>181</v>
      </c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  <c r="M1" s="660"/>
      <c r="N1" s="660"/>
    </row>
    <row r="2" spans="1:14" ht="14.4" customHeight="1" thickBot="1" x14ac:dyDescent="0.35">
      <c r="A2" s="374" t="s">
        <v>353</v>
      </c>
      <c r="B2" s="189"/>
      <c r="C2" s="189"/>
      <c r="D2" s="189"/>
      <c r="E2" s="189"/>
      <c r="F2" s="189"/>
      <c r="G2" s="444"/>
      <c r="H2" s="444"/>
      <c r="I2" s="444"/>
      <c r="J2" s="189"/>
      <c r="K2" s="444"/>
      <c r="L2" s="444"/>
      <c r="M2" s="444"/>
      <c r="N2" s="189"/>
    </row>
    <row r="3" spans="1:14" ht="14.4" customHeight="1" thickBot="1" x14ac:dyDescent="0.35">
      <c r="A3" s="190"/>
      <c r="B3" s="191" t="s">
        <v>159</v>
      </c>
      <c r="C3" s="192">
        <f>SUBTOTAL(9,C6:C1048576)</f>
        <v>1252</v>
      </c>
      <c r="D3" s="193">
        <f>SUBTOTAL(9,D6:D1048576)</f>
        <v>1064</v>
      </c>
      <c r="E3" s="193">
        <f>SUBTOTAL(9,E6:E1048576)</f>
        <v>1123</v>
      </c>
      <c r="F3" s="194">
        <f>IF(OR(E3=0,D3=0),"",E3/D3)</f>
        <v>1.0554511278195489</v>
      </c>
      <c r="G3" s="445">
        <f>SUBTOTAL(9,G6:G1048576)</f>
        <v>3005.2070999999996</v>
      </c>
      <c r="H3" s="446">
        <f>SUBTOTAL(9,H6:H1048576)</f>
        <v>2677.2156000000004</v>
      </c>
      <c r="I3" s="446">
        <f>SUBTOTAL(9,I6:I1048576)</f>
        <v>2504.4508000000001</v>
      </c>
      <c r="J3" s="194">
        <f>IF(OR(I3=0,H3=0),"",I3/H3)</f>
        <v>0.93546847702515989</v>
      </c>
      <c r="K3" s="445">
        <f>SUBTOTAL(9,K6:K1048576)</f>
        <v>485.98</v>
      </c>
      <c r="L3" s="446">
        <f>SUBTOTAL(9,L6:L1048576)</f>
        <v>425.06</v>
      </c>
      <c r="M3" s="446">
        <f>SUBTOTAL(9,M6:M1048576)</f>
        <v>388.76</v>
      </c>
      <c r="N3" s="195">
        <f>IF(OR(M3=0,E3=0),"",M3*1000/E3)</f>
        <v>346.17987533392699</v>
      </c>
    </row>
    <row r="4" spans="1:14" ht="14.4" customHeight="1" x14ac:dyDescent="0.3">
      <c r="A4" s="661" t="s">
        <v>90</v>
      </c>
      <c r="B4" s="662" t="s">
        <v>11</v>
      </c>
      <c r="C4" s="663" t="s">
        <v>91</v>
      </c>
      <c r="D4" s="663"/>
      <c r="E4" s="663"/>
      <c r="F4" s="664"/>
      <c r="G4" s="665" t="s">
        <v>352</v>
      </c>
      <c r="H4" s="663"/>
      <c r="I4" s="663"/>
      <c r="J4" s="664"/>
      <c r="K4" s="665" t="s">
        <v>92</v>
      </c>
      <c r="L4" s="663"/>
      <c r="M4" s="663"/>
      <c r="N4" s="666"/>
    </row>
    <row r="5" spans="1:14" ht="14.4" customHeight="1" thickBot="1" x14ac:dyDescent="0.35">
      <c r="A5" s="994"/>
      <c r="B5" s="995"/>
      <c r="C5" s="1002">
        <v>2015</v>
      </c>
      <c r="D5" s="1002">
        <v>2016</v>
      </c>
      <c r="E5" s="1002">
        <v>2017</v>
      </c>
      <c r="F5" s="1003" t="s">
        <v>2</v>
      </c>
      <c r="G5" s="1013">
        <v>2015</v>
      </c>
      <c r="H5" s="1002">
        <v>2016</v>
      </c>
      <c r="I5" s="1002">
        <v>2017</v>
      </c>
      <c r="J5" s="1003" t="s">
        <v>2</v>
      </c>
      <c r="K5" s="1013">
        <v>2015</v>
      </c>
      <c r="L5" s="1002">
        <v>2016</v>
      </c>
      <c r="M5" s="1002">
        <v>2017</v>
      </c>
      <c r="N5" s="1014" t="s">
        <v>93</v>
      </c>
    </row>
    <row r="6" spans="1:14" ht="14.4" customHeight="1" x14ac:dyDescent="0.3">
      <c r="A6" s="996" t="s">
        <v>4146</v>
      </c>
      <c r="B6" s="999" t="s">
        <v>4930</v>
      </c>
      <c r="C6" s="1004">
        <v>1029</v>
      </c>
      <c r="D6" s="1005">
        <v>863</v>
      </c>
      <c r="E6" s="1005">
        <v>948</v>
      </c>
      <c r="F6" s="1010"/>
      <c r="G6" s="1004">
        <v>1003.4901000000001</v>
      </c>
      <c r="H6" s="1005">
        <v>879.19020000000012</v>
      </c>
      <c r="I6" s="1005">
        <v>965.31850000000009</v>
      </c>
      <c r="J6" s="1010"/>
      <c r="K6" s="1004">
        <v>123.48</v>
      </c>
      <c r="L6" s="1005">
        <v>103.56</v>
      </c>
      <c r="M6" s="1005">
        <v>113.76</v>
      </c>
      <c r="N6" s="1015">
        <v>120</v>
      </c>
    </row>
    <row r="7" spans="1:14" ht="14.4" customHeight="1" x14ac:dyDescent="0.3">
      <c r="A7" s="997" t="s">
        <v>4347</v>
      </c>
      <c r="B7" s="1000" t="s">
        <v>4931</v>
      </c>
      <c r="C7" s="1006">
        <v>142</v>
      </c>
      <c r="D7" s="1007">
        <v>130</v>
      </c>
      <c r="E7" s="1007">
        <v>107</v>
      </c>
      <c r="F7" s="1011"/>
      <c r="G7" s="1006">
        <v>1520.4366</v>
      </c>
      <c r="H7" s="1007">
        <v>1391.9490000000003</v>
      </c>
      <c r="I7" s="1007">
        <v>1145.6811</v>
      </c>
      <c r="J7" s="1011"/>
      <c r="K7" s="1006">
        <v>284</v>
      </c>
      <c r="L7" s="1007">
        <v>260</v>
      </c>
      <c r="M7" s="1007">
        <v>214</v>
      </c>
      <c r="N7" s="1016">
        <v>2000</v>
      </c>
    </row>
    <row r="8" spans="1:14" ht="14.4" customHeight="1" x14ac:dyDescent="0.3">
      <c r="A8" s="997" t="s">
        <v>4351</v>
      </c>
      <c r="B8" s="1000" t="s">
        <v>4931</v>
      </c>
      <c r="C8" s="1006">
        <v>76</v>
      </c>
      <c r="D8" s="1007">
        <v>52</v>
      </c>
      <c r="E8" s="1007">
        <v>54</v>
      </c>
      <c r="F8" s="1011"/>
      <c r="G8" s="1006">
        <v>456.63839999999999</v>
      </c>
      <c r="H8" s="1007">
        <v>312.43680000000001</v>
      </c>
      <c r="I8" s="1007">
        <v>324.45359999999999</v>
      </c>
      <c r="J8" s="1011"/>
      <c r="K8" s="1006">
        <v>76</v>
      </c>
      <c r="L8" s="1007">
        <v>52</v>
      </c>
      <c r="M8" s="1007">
        <v>54</v>
      </c>
      <c r="N8" s="1016">
        <v>1000</v>
      </c>
    </row>
    <row r="9" spans="1:14" ht="14.4" customHeight="1" thickBot="1" x14ac:dyDescent="0.35">
      <c r="A9" s="998" t="s">
        <v>4349</v>
      </c>
      <c r="B9" s="1001" t="s">
        <v>4931</v>
      </c>
      <c r="C9" s="1008">
        <v>5</v>
      </c>
      <c r="D9" s="1009">
        <v>19</v>
      </c>
      <c r="E9" s="1009">
        <v>14</v>
      </c>
      <c r="F9" s="1012"/>
      <c r="G9" s="1008">
        <v>24.641999999999999</v>
      </c>
      <c r="H9" s="1009">
        <v>93.639600000000002</v>
      </c>
      <c r="I9" s="1009">
        <v>68.997599999999991</v>
      </c>
      <c r="J9" s="1012"/>
      <c r="K9" s="1008">
        <v>2.5</v>
      </c>
      <c r="L9" s="1009">
        <v>9.5</v>
      </c>
      <c r="M9" s="1009">
        <v>7</v>
      </c>
      <c r="N9" s="1017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8" t="s">
        <v>128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</row>
    <row r="2" spans="1:13" ht="14.4" customHeight="1" x14ac:dyDescent="0.3">
      <c r="A2" s="374" t="s">
        <v>353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103</v>
      </c>
      <c r="C3" s="322" t="s">
        <v>104</v>
      </c>
      <c r="D3" s="322" t="s">
        <v>105</v>
      </c>
      <c r="E3" s="321" t="s">
        <v>106</v>
      </c>
      <c r="F3" s="322" t="s">
        <v>107</v>
      </c>
      <c r="G3" s="322" t="s">
        <v>108</v>
      </c>
      <c r="H3" s="322" t="s">
        <v>109</v>
      </c>
      <c r="I3" s="322" t="s">
        <v>110</v>
      </c>
      <c r="J3" s="322" t="s">
        <v>111</v>
      </c>
      <c r="K3" s="322" t="s">
        <v>112</v>
      </c>
      <c r="L3" s="322" t="s">
        <v>113</v>
      </c>
      <c r="M3" s="322" t="s">
        <v>114</v>
      </c>
    </row>
    <row r="4" spans="1:13" ht="14.4" customHeight="1" x14ac:dyDescent="0.3">
      <c r="A4" s="320" t="s">
        <v>102</v>
      </c>
      <c r="B4" s="323">
        <f>(B10+B8)/B6</f>
        <v>0.77698887918631021</v>
      </c>
      <c r="C4" s="323">
        <f t="shared" ref="C4:M4" si="0">(C10+C8)/C6</f>
        <v>0.87013081808140891</v>
      </c>
      <c r="D4" s="323">
        <f t="shared" si="0"/>
        <v>5.841159139476472E-2</v>
      </c>
      <c r="E4" s="323">
        <f t="shared" si="0"/>
        <v>5.841159139476472E-2</v>
      </c>
      <c r="F4" s="323">
        <f t="shared" si="0"/>
        <v>5.841159139476472E-2</v>
      </c>
      <c r="G4" s="323">
        <f t="shared" si="0"/>
        <v>5.841159139476472E-2</v>
      </c>
      <c r="H4" s="323">
        <f t="shared" si="0"/>
        <v>5.841159139476472E-2</v>
      </c>
      <c r="I4" s="323">
        <f t="shared" si="0"/>
        <v>5.841159139476472E-2</v>
      </c>
      <c r="J4" s="323">
        <f t="shared" si="0"/>
        <v>5.841159139476472E-2</v>
      </c>
      <c r="K4" s="323">
        <f t="shared" si="0"/>
        <v>5.841159139476472E-2</v>
      </c>
      <c r="L4" s="323">
        <f t="shared" si="0"/>
        <v>5.841159139476472E-2</v>
      </c>
      <c r="M4" s="323">
        <f t="shared" si="0"/>
        <v>5.841159139476472E-2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6418.59148</v>
      </c>
      <c r="C5" s="323">
        <f>IF(ISERROR(VLOOKUP($A5,'Man Tab'!$A:$Q,COLUMN()+2,0)),0,VLOOKUP($A5,'Man Tab'!$A:$Q,COLUMN()+2,0))</f>
        <v>5660.7700500000001</v>
      </c>
      <c r="D5" s="323">
        <f>IF(ISERROR(VLOOKUP($A5,'Man Tab'!$A:$Q,COLUMN()+2,0)),0,VLOOKUP($A5,'Man Tab'!$A:$Q,COLUMN()+2,0))</f>
        <v>0</v>
      </c>
      <c r="E5" s="323">
        <f>IF(ISERROR(VLOOKUP($A5,'Man Tab'!$A:$Q,COLUMN()+2,0)),0,VLOOKUP($A5,'Man Tab'!$A:$Q,COLUMN()+2,0))</f>
        <v>0</v>
      </c>
      <c r="F5" s="323">
        <f>IF(ISERROR(VLOOKUP($A5,'Man Tab'!$A:$Q,COLUMN()+2,0)),0,VLOOKUP($A5,'Man Tab'!$A:$Q,COLUMN()+2,0))</f>
        <v>0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98</v>
      </c>
      <c r="B6" s="325">
        <f>B5</f>
        <v>6418.59148</v>
      </c>
      <c r="C6" s="325">
        <f t="shared" ref="C6:M6" si="1">C5+B6</f>
        <v>12079.36153</v>
      </c>
      <c r="D6" s="325">
        <f t="shared" si="1"/>
        <v>12079.36153</v>
      </c>
      <c r="E6" s="325">
        <f t="shared" si="1"/>
        <v>12079.36153</v>
      </c>
      <c r="F6" s="325">
        <f t="shared" si="1"/>
        <v>12079.36153</v>
      </c>
      <c r="G6" s="325">
        <f t="shared" si="1"/>
        <v>12079.36153</v>
      </c>
      <c r="H6" s="325">
        <f t="shared" si="1"/>
        <v>12079.36153</v>
      </c>
      <c r="I6" s="325">
        <f t="shared" si="1"/>
        <v>12079.36153</v>
      </c>
      <c r="J6" s="325">
        <f t="shared" si="1"/>
        <v>12079.36153</v>
      </c>
      <c r="K6" s="325">
        <f t="shared" si="1"/>
        <v>12079.36153</v>
      </c>
      <c r="L6" s="325">
        <f t="shared" si="1"/>
        <v>12079.36153</v>
      </c>
      <c r="M6" s="325">
        <f t="shared" si="1"/>
        <v>12079.36153</v>
      </c>
    </row>
    <row r="7" spans="1:13" ht="14.4" customHeight="1" x14ac:dyDescent="0.3">
      <c r="A7" s="324" t="s">
        <v>126</v>
      </c>
      <c r="B7" s="324">
        <v>154.10900000000001</v>
      </c>
      <c r="C7" s="324">
        <v>326.83499999999998</v>
      </c>
      <c r="D7" s="324"/>
      <c r="E7" s="324"/>
      <c r="F7" s="324"/>
      <c r="G7" s="324"/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99</v>
      </c>
      <c r="B8" s="325">
        <f>B7*30</f>
        <v>4623.2700000000004</v>
      </c>
      <c r="C8" s="325">
        <f t="shared" ref="C8:M8" si="2">C7*30</f>
        <v>9805.0499999999993</v>
      </c>
      <c r="D8" s="325">
        <f t="shared" si="2"/>
        <v>0</v>
      </c>
      <c r="E8" s="325">
        <f t="shared" si="2"/>
        <v>0</v>
      </c>
      <c r="F8" s="325">
        <f t="shared" si="2"/>
        <v>0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127</v>
      </c>
      <c r="B9" s="324">
        <v>363904.2</v>
      </c>
      <c r="C9" s="324">
        <v>341670.53</v>
      </c>
      <c r="D9" s="324">
        <v>0</v>
      </c>
      <c r="E9" s="324">
        <v>0</v>
      </c>
      <c r="F9" s="324">
        <v>0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100</v>
      </c>
      <c r="B10" s="325">
        <f>B9/1000</f>
        <v>363.9042</v>
      </c>
      <c r="C10" s="325">
        <f t="shared" ref="C10:M10" si="3">C9/1000+B10</f>
        <v>705.57473000000005</v>
      </c>
      <c r="D10" s="325">
        <f t="shared" si="3"/>
        <v>705.57473000000005</v>
      </c>
      <c r="E10" s="325">
        <f t="shared" si="3"/>
        <v>705.57473000000005</v>
      </c>
      <c r="F10" s="325">
        <f t="shared" si="3"/>
        <v>705.57473000000005</v>
      </c>
      <c r="G10" s="325">
        <f t="shared" si="3"/>
        <v>705.57473000000005</v>
      </c>
      <c r="H10" s="325">
        <f t="shared" si="3"/>
        <v>705.57473000000005</v>
      </c>
      <c r="I10" s="325">
        <f t="shared" si="3"/>
        <v>705.57473000000005</v>
      </c>
      <c r="J10" s="325">
        <f t="shared" si="3"/>
        <v>705.57473000000005</v>
      </c>
      <c r="K10" s="325">
        <f t="shared" si="3"/>
        <v>705.57473000000005</v>
      </c>
      <c r="L10" s="325">
        <f t="shared" si="3"/>
        <v>705.57473000000005</v>
      </c>
      <c r="M10" s="325">
        <f t="shared" si="3"/>
        <v>705.57473000000005</v>
      </c>
    </row>
    <row r="11" spans="1:13" ht="14.4" customHeight="1" x14ac:dyDescent="0.3">
      <c r="A11" s="320"/>
      <c r="B11" s="320" t="s">
        <v>116</v>
      </c>
      <c r="C11" s="320">
        <f ca="1">IF(MONTH(TODAY())=1,12,MONTH(TODAY())-1)</f>
        <v>2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0.91827903074636807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0.91827903074636807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30" t="s">
        <v>355</v>
      </c>
      <c r="B1" s="530"/>
      <c r="C1" s="530"/>
      <c r="D1" s="530"/>
      <c r="E1" s="530"/>
      <c r="F1" s="530"/>
      <c r="G1" s="530"/>
      <c r="H1" s="518"/>
      <c r="I1" s="518"/>
      <c r="J1" s="518"/>
      <c r="K1" s="518"/>
      <c r="L1" s="518"/>
      <c r="M1" s="518"/>
      <c r="N1" s="518"/>
      <c r="O1" s="518"/>
      <c r="P1" s="518"/>
      <c r="Q1" s="518"/>
    </row>
    <row r="2" spans="1:17" s="326" customFormat="1" ht="14.4" customHeight="1" thickBot="1" x14ac:dyDescent="0.3">
      <c r="A2" s="374" t="s">
        <v>353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31" t="s">
        <v>29</v>
      </c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256"/>
      <c r="Q3" s="258"/>
    </row>
    <row r="4" spans="1:17" ht="14.4" customHeight="1" x14ac:dyDescent="0.3">
      <c r="A4" s="102"/>
      <c r="B4" s="24">
        <v>2017</v>
      </c>
      <c r="C4" s="257" t="s">
        <v>30</v>
      </c>
      <c r="D4" s="471" t="s">
        <v>307</v>
      </c>
      <c r="E4" s="471" t="s">
        <v>308</v>
      </c>
      <c r="F4" s="471" t="s">
        <v>309</v>
      </c>
      <c r="G4" s="471" t="s">
        <v>310</v>
      </c>
      <c r="H4" s="471" t="s">
        <v>311</v>
      </c>
      <c r="I4" s="471" t="s">
        <v>312</v>
      </c>
      <c r="J4" s="471" t="s">
        <v>313</v>
      </c>
      <c r="K4" s="471" t="s">
        <v>314</v>
      </c>
      <c r="L4" s="471" t="s">
        <v>315</v>
      </c>
      <c r="M4" s="471" t="s">
        <v>316</v>
      </c>
      <c r="N4" s="471" t="s">
        <v>317</v>
      </c>
      <c r="O4" s="471" t="s">
        <v>318</v>
      </c>
      <c r="P4" s="533" t="s">
        <v>3</v>
      </c>
      <c r="Q4" s="534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354</v>
      </c>
    </row>
    <row r="7" spans="1:17" ht="14.4" customHeight="1" x14ac:dyDescent="0.3">
      <c r="A7" s="19" t="s">
        <v>35</v>
      </c>
      <c r="B7" s="55">
        <v>2454.6</v>
      </c>
      <c r="C7" s="56">
        <v>204.55</v>
      </c>
      <c r="D7" s="56">
        <v>254.80978999999999</v>
      </c>
      <c r="E7" s="56">
        <v>128.35401999999999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383.16381000000001</v>
      </c>
      <c r="Q7" s="185">
        <v>0.93660183329199997</v>
      </c>
    </row>
    <row r="8" spans="1:17" ht="14.4" customHeight="1" x14ac:dyDescent="0.3">
      <c r="A8" s="19" t="s">
        <v>36</v>
      </c>
      <c r="B8" s="55">
        <v>1584.8416079589999</v>
      </c>
      <c r="C8" s="56">
        <v>132.070133996583</v>
      </c>
      <c r="D8" s="56">
        <v>177.13</v>
      </c>
      <c r="E8" s="56">
        <v>98.155000000000001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275.28500000000003</v>
      </c>
      <c r="Q8" s="185">
        <v>1.042192476336</v>
      </c>
    </row>
    <row r="9" spans="1:17" ht="14.4" customHeight="1" x14ac:dyDescent="0.3">
      <c r="A9" s="19" t="s">
        <v>37</v>
      </c>
      <c r="B9" s="55">
        <v>16042</v>
      </c>
      <c r="C9" s="56">
        <v>1336.8333333333301</v>
      </c>
      <c r="D9" s="56">
        <v>1467.18247</v>
      </c>
      <c r="E9" s="56">
        <v>1070.9355800000001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2538.11805</v>
      </c>
      <c r="Q9" s="185">
        <v>0.94930235008099995</v>
      </c>
    </row>
    <row r="10" spans="1:17" ht="14.4" customHeight="1" x14ac:dyDescent="0.3">
      <c r="A10" s="19" t="s">
        <v>38</v>
      </c>
      <c r="B10" s="55">
        <v>610.27569693016096</v>
      </c>
      <c r="C10" s="56">
        <v>50.856308077512999</v>
      </c>
      <c r="D10" s="56">
        <v>41.112630000000003</v>
      </c>
      <c r="E10" s="56">
        <v>45.049399999999999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86.162030000000001</v>
      </c>
      <c r="Q10" s="185">
        <v>0.84711251423</v>
      </c>
    </row>
    <row r="11" spans="1:17" ht="14.4" customHeight="1" x14ac:dyDescent="0.3">
      <c r="A11" s="19" t="s">
        <v>39</v>
      </c>
      <c r="B11" s="55">
        <v>435.19468155575998</v>
      </c>
      <c r="C11" s="56">
        <v>36.266223462980001</v>
      </c>
      <c r="D11" s="56">
        <v>30.22223</v>
      </c>
      <c r="E11" s="56">
        <v>29.295999999999999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59.518230000000003</v>
      </c>
      <c r="Q11" s="185">
        <v>0.82057386069899996</v>
      </c>
    </row>
    <row r="12" spans="1:17" ht="14.4" customHeight="1" x14ac:dyDescent="0.3">
      <c r="A12" s="19" t="s">
        <v>40</v>
      </c>
      <c r="B12" s="55">
        <v>64.806650600327004</v>
      </c>
      <c r="C12" s="56">
        <v>5.4005542166930001</v>
      </c>
      <c r="D12" s="56">
        <v>4.2682000000000002</v>
      </c>
      <c r="E12" s="56">
        <v>0.71448999999999996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4.9826899999999998</v>
      </c>
      <c r="Q12" s="185">
        <v>0.461312839393</v>
      </c>
    </row>
    <row r="13" spans="1:17" ht="14.4" customHeight="1" x14ac:dyDescent="0.3">
      <c r="A13" s="19" t="s">
        <v>41</v>
      </c>
      <c r="B13" s="55">
        <v>105</v>
      </c>
      <c r="C13" s="56">
        <v>8.75</v>
      </c>
      <c r="D13" s="56">
        <v>6.1983100000000002</v>
      </c>
      <c r="E13" s="56">
        <v>6.2401999999999997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12.438510000000001</v>
      </c>
      <c r="Q13" s="185">
        <v>0.71077199999999996</v>
      </c>
    </row>
    <row r="14" spans="1:17" ht="14.4" customHeight="1" x14ac:dyDescent="0.3">
      <c r="A14" s="19" t="s">
        <v>42</v>
      </c>
      <c r="B14" s="55">
        <v>1176.8171568227001</v>
      </c>
      <c r="C14" s="56">
        <v>98.068096401890998</v>
      </c>
      <c r="D14" s="56">
        <v>141.07499999999999</v>
      </c>
      <c r="E14" s="56">
        <v>114.63500000000001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255.71</v>
      </c>
      <c r="Q14" s="185">
        <v>1.3037369408699999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354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354</v>
      </c>
    </row>
    <row r="17" spans="1:17" ht="14.4" customHeight="1" x14ac:dyDescent="0.3">
      <c r="A17" s="19" t="s">
        <v>45</v>
      </c>
      <c r="B17" s="55">
        <v>239.48257323262001</v>
      </c>
      <c r="C17" s="56">
        <v>19.956881102718</v>
      </c>
      <c r="D17" s="56">
        <v>24.855029999999999</v>
      </c>
      <c r="E17" s="56">
        <v>21.706800000000001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46.56183</v>
      </c>
      <c r="Q17" s="185">
        <v>1.166560790745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0</v>
      </c>
      <c r="Q18" s="185" t="s">
        <v>354</v>
      </c>
    </row>
    <row r="19" spans="1:17" ht="14.4" customHeight="1" x14ac:dyDescent="0.3">
      <c r="A19" s="19" t="s">
        <v>47</v>
      </c>
      <c r="B19" s="55">
        <v>1035.0694227993099</v>
      </c>
      <c r="C19" s="56">
        <v>86.255785233275006</v>
      </c>
      <c r="D19" s="56">
        <v>109.05558000000001</v>
      </c>
      <c r="E19" s="56">
        <v>65.984279999999998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175.03986</v>
      </c>
      <c r="Q19" s="185">
        <v>1.0146557678799999</v>
      </c>
    </row>
    <row r="20" spans="1:17" ht="14.4" customHeight="1" x14ac:dyDescent="0.3">
      <c r="A20" s="19" t="s">
        <v>48</v>
      </c>
      <c r="B20" s="55">
        <v>49115</v>
      </c>
      <c r="C20" s="56">
        <v>4092.9166666666702</v>
      </c>
      <c r="D20" s="56">
        <v>4071.8126999999999</v>
      </c>
      <c r="E20" s="56">
        <v>4000.4739399999999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8072.2866400000003</v>
      </c>
      <c r="Q20" s="185">
        <v>0.98612887793899995</v>
      </c>
    </row>
    <row r="21" spans="1:17" ht="14.4" customHeight="1" x14ac:dyDescent="0.3">
      <c r="A21" s="20" t="s">
        <v>49</v>
      </c>
      <c r="B21" s="55">
        <v>940.00000000000102</v>
      </c>
      <c r="C21" s="56">
        <v>78.333333333333002</v>
      </c>
      <c r="D21" s="56">
        <v>87.722999999999999</v>
      </c>
      <c r="E21" s="56">
        <v>78.224999999999994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165.94800000000001</v>
      </c>
      <c r="Q21" s="185">
        <v>1.0592425531909999</v>
      </c>
    </row>
    <row r="22" spans="1:17" ht="14.4" customHeight="1" x14ac:dyDescent="0.3">
      <c r="A22" s="19" t="s">
        <v>50</v>
      </c>
      <c r="B22" s="55">
        <v>46.830365678448999</v>
      </c>
      <c r="C22" s="56">
        <v>3.902530473204</v>
      </c>
      <c r="D22" s="56">
        <v>3.1459999999999999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3.1459999999999999</v>
      </c>
      <c r="Q22" s="185">
        <v>0.40307180451199998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354</v>
      </c>
    </row>
    <row r="24" spans="1:17" ht="14.4" customHeight="1" x14ac:dyDescent="0.3">
      <c r="A24" s="20" t="s">
        <v>52</v>
      </c>
      <c r="B24" s="55">
        <v>0</v>
      </c>
      <c r="C24" s="56">
        <v>0</v>
      </c>
      <c r="D24" s="56">
        <v>5.4000000000000001E-4</v>
      </c>
      <c r="E24" s="56">
        <v>1.0003399999989999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1.0008799999989999</v>
      </c>
      <c r="Q24" s="185" t="s">
        <v>354</v>
      </c>
    </row>
    <row r="25" spans="1:17" ht="14.4" customHeight="1" x14ac:dyDescent="0.3">
      <c r="A25" s="21" t="s">
        <v>53</v>
      </c>
      <c r="B25" s="58">
        <v>73849.9181555783</v>
      </c>
      <c r="C25" s="59">
        <v>6154.1598462981901</v>
      </c>
      <c r="D25" s="59">
        <v>6418.59148</v>
      </c>
      <c r="E25" s="59">
        <v>5660.7700500000001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12079.36153</v>
      </c>
      <c r="Q25" s="186">
        <v>0.98139809752100005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585.45304999999996</v>
      </c>
      <c r="E26" s="56">
        <v>570.01849000000004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1155.47154</v>
      </c>
      <c r="Q26" s="185" t="s">
        <v>354</v>
      </c>
    </row>
    <row r="27" spans="1:17" ht="14.4" customHeight="1" x14ac:dyDescent="0.3">
      <c r="A27" s="22" t="s">
        <v>55</v>
      </c>
      <c r="B27" s="58">
        <v>73849.9181555783</v>
      </c>
      <c r="C27" s="59">
        <v>6154.1598462981901</v>
      </c>
      <c r="D27" s="59">
        <v>7004.0445300000001</v>
      </c>
      <c r="E27" s="59">
        <v>6230.7885399999996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13234.833070000001</v>
      </c>
      <c r="Q27" s="186">
        <v>1.0752753747499999</v>
      </c>
    </row>
    <row r="28" spans="1:17" ht="14.4" customHeight="1" x14ac:dyDescent="0.3">
      <c r="A28" s="20" t="s">
        <v>56</v>
      </c>
      <c r="B28" s="55">
        <v>296</v>
      </c>
      <c r="C28" s="56">
        <v>24.666666666666</v>
      </c>
      <c r="D28" s="56">
        <v>8.2638599999999993</v>
      </c>
      <c r="E28" s="56">
        <v>15.055070000000001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23.318930000000002</v>
      </c>
      <c r="Q28" s="185">
        <v>0.47268101351300001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354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10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354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202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319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4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30" t="s">
        <v>61</v>
      </c>
      <c r="B1" s="530"/>
      <c r="C1" s="530"/>
      <c r="D1" s="530"/>
      <c r="E1" s="530"/>
      <c r="F1" s="530"/>
      <c r="G1" s="530"/>
      <c r="H1" s="535"/>
      <c r="I1" s="535"/>
      <c r="J1" s="535"/>
      <c r="K1" s="535"/>
    </row>
    <row r="2" spans="1:11" s="64" customFormat="1" ht="14.4" customHeight="1" thickBot="1" x14ac:dyDescent="0.35">
      <c r="A2" s="374" t="s">
        <v>353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31" t="s">
        <v>62</v>
      </c>
      <c r="C3" s="532"/>
      <c r="D3" s="532"/>
      <c r="E3" s="532"/>
      <c r="F3" s="538" t="s">
        <v>63</v>
      </c>
      <c r="G3" s="532"/>
      <c r="H3" s="532"/>
      <c r="I3" s="532"/>
      <c r="J3" s="532"/>
      <c r="K3" s="539"/>
    </row>
    <row r="4" spans="1:11" ht="14.4" customHeight="1" x14ac:dyDescent="0.3">
      <c r="A4" s="102"/>
      <c r="B4" s="536"/>
      <c r="C4" s="537"/>
      <c r="D4" s="537"/>
      <c r="E4" s="537"/>
      <c r="F4" s="540" t="s">
        <v>320</v>
      </c>
      <c r="G4" s="542" t="s">
        <v>64</v>
      </c>
      <c r="H4" s="259" t="s">
        <v>183</v>
      </c>
      <c r="I4" s="540" t="s">
        <v>65</v>
      </c>
      <c r="J4" s="542" t="s">
        <v>330</v>
      </c>
      <c r="K4" s="543" t="s">
        <v>321</v>
      </c>
    </row>
    <row r="5" spans="1:11" ht="42" thickBot="1" x14ac:dyDescent="0.35">
      <c r="A5" s="103"/>
      <c r="B5" s="28" t="s">
        <v>323</v>
      </c>
      <c r="C5" s="29" t="s">
        <v>324</v>
      </c>
      <c r="D5" s="30" t="s">
        <v>325</v>
      </c>
      <c r="E5" s="30" t="s">
        <v>326</v>
      </c>
      <c r="F5" s="541"/>
      <c r="G5" s="541"/>
      <c r="H5" s="29" t="s">
        <v>322</v>
      </c>
      <c r="I5" s="541"/>
      <c r="J5" s="541"/>
      <c r="K5" s="544"/>
    </row>
    <row r="6" spans="1:11" ht="14.4" customHeight="1" thickBot="1" x14ac:dyDescent="0.35">
      <c r="A6" s="685" t="s">
        <v>356</v>
      </c>
      <c r="B6" s="667">
        <v>69169.9790270589</v>
      </c>
      <c r="C6" s="667">
        <v>72650.547080000004</v>
      </c>
      <c r="D6" s="668">
        <v>3480.5680529411002</v>
      </c>
      <c r="E6" s="669">
        <v>1.050319056068</v>
      </c>
      <c r="F6" s="667">
        <v>73849.9181555783</v>
      </c>
      <c r="G6" s="668">
        <v>12308.3196925964</v>
      </c>
      <c r="H6" s="670">
        <v>5660.7700500000001</v>
      </c>
      <c r="I6" s="667">
        <v>12079.36153</v>
      </c>
      <c r="J6" s="668">
        <v>-228.958162596389</v>
      </c>
      <c r="K6" s="671">
        <v>0.163566349586</v>
      </c>
    </row>
    <row r="7" spans="1:11" ht="14.4" customHeight="1" thickBot="1" x14ac:dyDescent="0.35">
      <c r="A7" s="686" t="s">
        <v>357</v>
      </c>
      <c r="B7" s="667">
        <v>22121.523797690999</v>
      </c>
      <c r="C7" s="667">
        <v>21607.26772</v>
      </c>
      <c r="D7" s="668">
        <v>-514.25607769102498</v>
      </c>
      <c r="E7" s="669">
        <v>0.97675313498299998</v>
      </c>
      <c r="F7" s="667">
        <v>22473.535793867901</v>
      </c>
      <c r="G7" s="668">
        <v>3745.58929897799</v>
      </c>
      <c r="H7" s="670">
        <v>1493.38003</v>
      </c>
      <c r="I7" s="667">
        <v>3615.3791999999999</v>
      </c>
      <c r="J7" s="668">
        <v>-130.21009897799101</v>
      </c>
      <c r="K7" s="671">
        <v>0.160872736411</v>
      </c>
    </row>
    <row r="8" spans="1:11" ht="14.4" customHeight="1" thickBot="1" x14ac:dyDescent="0.35">
      <c r="A8" s="687" t="s">
        <v>358</v>
      </c>
      <c r="B8" s="667">
        <v>20936.2871418986</v>
      </c>
      <c r="C8" s="667">
        <v>20451.907719999999</v>
      </c>
      <c r="D8" s="668">
        <v>-484.37942189863003</v>
      </c>
      <c r="E8" s="669">
        <v>0.976864120241</v>
      </c>
      <c r="F8" s="667">
        <v>21296.7186370452</v>
      </c>
      <c r="G8" s="668">
        <v>3549.45310617421</v>
      </c>
      <c r="H8" s="670">
        <v>1378.74503</v>
      </c>
      <c r="I8" s="667">
        <v>3359.6691999999998</v>
      </c>
      <c r="J8" s="668">
        <v>-189.783906174208</v>
      </c>
      <c r="K8" s="671">
        <v>0.157755251278</v>
      </c>
    </row>
    <row r="9" spans="1:11" ht="14.4" customHeight="1" thickBot="1" x14ac:dyDescent="0.35">
      <c r="A9" s="688" t="s">
        <v>359</v>
      </c>
      <c r="B9" s="672">
        <v>0</v>
      </c>
      <c r="C9" s="672">
        <v>5.3999999900000001E-4</v>
      </c>
      <c r="D9" s="673">
        <v>5.3999999900000001E-4</v>
      </c>
      <c r="E9" s="674" t="s">
        <v>354</v>
      </c>
      <c r="F9" s="672">
        <v>0</v>
      </c>
      <c r="G9" s="673">
        <v>0</v>
      </c>
      <c r="H9" s="675">
        <v>3.4000000000000002E-4</v>
      </c>
      <c r="I9" s="672">
        <v>8.8000000000000003E-4</v>
      </c>
      <c r="J9" s="673">
        <v>8.8000000000000003E-4</v>
      </c>
      <c r="K9" s="676" t="s">
        <v>354</v>
      </c>
    </row>
    <row r="10" spans="1:11" ht="14.4" customHeight="1" thickBot="1" x14ac:dyDescent="0.35">
      <c r="A10" s="689" t="s">
        <v>360</v>
      </c>
      <c r="B10" s="667">
        <v>0</v>
      </c>
      <c r="C10" s="667">
        <v>5.3999999900000001E-4</v>
      </c>
      <c r="D10" s="668">
        <v>5.3999999900000001E-4</v>
      </c>
      <c r="E10" s="677" t="s">
        <v>354</v>
      </c>
      <c r="F10" s="667">
        <v>0</v>
      </c>
      <c r="G10" s="668">
        <v>0</v>
      </c>
      <c r="H10" s="670">
        <v>3.4000000000000002E-4</v>
      </c>
      <c r="I10" s="667">
        <v>8.8000000000000003E-4</v>
      </c>
      <c r="J10" s="668">
        <v>8.8000000000000003E-4</v>
      </c>
      <c r="K10" s="678" t="s">
        <v>354</v>
      </c>
    </row>
    <row r="11" spans="1:11" ht="14.4" customHeight="1" thickBot="1" x14ac:dyDescent="0.35">
      <c r="A11" s="688" t="s">
        <v>361</v>
      </c>
      <c r="B11" s="672">
        <v>2270.9001449309599</v>
      </c>
      <c r="C11" s="672">
        <v>2232.0592000000001</v>
      </c>
      <c r="D11" s="673">
        <v>-38.840944930961001</v>
      </c>
      <c r="E11" s="679">
        <v>0.98289623389299996</v>
      </c>
      <c r="F11" s="672">
        <v>2454.6</v>
      </c>
      <c r="G11" s="673">
        <v>409.1</v>
      </c>
      <c r="H11" s="675">
        <v>128.35401999999999</v>
      </c>
      <c r="I11" s="672">
        <v>383.16381000000001</v>
      </c>
      <c r="J11" s="673">
        <v>-25.93619</v>
      </c>
      <c r="K11" s="680">
        <v>0.156100305548</v>
      </c>
    </row>
    <row r="12" spans="1:11" ht="14.4" customHeight="1" thickBot="1" x14ac:dyDescent="0.35">
      <c r="A12" s="689" t="s">
        <v>362</v>
      </c>
      <c r="B12" s="667">
        <v>1320.00011916892</v>
      </c>
      <c r="C12" s="667">
        <v>1250.8733199999999</v>
      </c>
      <c r="D12" s="668">
        <v>-69.126799168919007</v>
      </c>
      <c r="E12" s="669">
        <v>0.94763121747800005</v>
      </c>
      <c r="F12" s="667">
        <v>1275</v>
      </c>
      <c r="G12" s="668">
        <v>212.5</v>
      </c>
      <c r="H12" s="670">
        <v>72.064570000000003</v>
      </c>
      <c r="I12" s="667">
        <v>138.03432000000001</v>
      </c>
      <c r="J12" s="668">
        <v>-74.465680000000006</v>
      </c>
      <c r="K12" s="671">
        <v>0.108262211764</v>
      </c>
    </row>
    <row r="13" spans="1:11" ht="14.4" customHeight="1" thickBot="1" x14ac:dyDescent="0.35">
      <c r="A13" s="689" t="s">
        <v>363</v>
      </c>
      <c r="B13" s="667">
        <v>85.000007673756002</v>
      </c>
      <c r="C13" s="667">
        <v>52.664470000000001</v>
      </c>
      <c r="D13" s="668">
        <v>-32.335537673756001</v>
      </c>
      <c r="E13" s="669">
        <v>0.61958194406400002</v>
      </c>
      <c r="F13" s="667">
        <v>60</v>
      </c>
      <c r="G13" s="668">
        <v>10</v>
      </c>
      <c r="H13" s="670">
        <v>0</v>
      </c>
      <c r="I13" s="667">
        <v>0</v>
      </c>
      <c r="J13" s="668">
        <v>-10</v>
      </c>
      <c r="K13" s="671">
        <v>0</v>
      </c>
    </row>
    <row r="14" spans="1:11" ht="14.4" customHeight="1" thickBot="1" x14ac:dyDescent="0.35">
      <c r="A14" s="689" t="s">
        <v>364</v>
      </c>
      <c r="B14" s="667">
        <v>2.0000001805580001</v>
      </c>
      <c r="C14" s="667">
        <v>4.7309700000000001</v>
      </c>
      <c r="D14" s="668">
        <v>2.7309698194409999</v>
      </c>
      <c r="E14" s="669">
        <v>2.3654847864450002</v>
      </c>
      <c r="F14" s="667">
        <v>5</v>
      </c>
      <c r="G14" s="668">
        <v>0.83333333333299997</v>
      </c>
      <c r="H14" s="670">
        <v>0</v>
      </c>
      <c r="I14" s="667">
        <v>0.78244999999999998</v>
      </c>
      <c r="J14" s="668">
        <v>-5.0883333332999998E-2</v>
      </c>
      <c r="K14" s="671">
        <v>0.15648999999999999</v>
      </c>
    </row>
    <row r="15" spans="1:11" ht="14.4" customHeight="1" thickBot="1" x14ac:dyDescent="0.35">
      <c r="A15" s="689" t="s">
        <v>365</v>
      </c>
      <c r="B15" s="667">
        <v>130.00001173633299</v>
      </c>
      <c r="C15" s="667">
        <v>173.33158</v>
      </c>
      <c r="D15" s="668">
        <v>43.331568263667002</v>
      </c>
      <c r="E15" s="669">
        <v>1.333319725782</v>
      </c>
      <c r="F15" s="667">
        <v>220</v>
      </c>
      <c r="G15" s="668">
        <v>36.666666666666003</v>
      </c>
      <c r="H15" s="670">
        <v>18.315519999999999</v>
      </c>
      <c r="I15" s="667">
        <v>44.233719999999998</v>
      </c>
      <c r="J15" s="668">
        <v>7.5670533333329999</v>
      </c>
      <c r="K15" s="671">
        <v>0.201062363636</v>
      </c>
    </row>
    <row r="16" spans="1:11" ht="14.4" customHeight="1" thickBot="1" x14ac:dyDescent="0.35">
      <c r="A16" s="689" t="s">
        <v>366</v>
      </c>
      <c r="B16" s="667">
        <v>0</v>
      </c>
      <c r="C16" s="667">
        <v>225.39213000000001</v>
      </c>
      <c r="D16" s="668">
        <v>225.39213000000001</v>
      </c>
      <c r="E16" s="677" t="s">
        <v>354</v>
      </c>
      <c r="F16" s="667">
        <v>260</v>
      </c>
      <c r="G16" s="668">
        <v>43.333333333333002</v>
      </c>
      <c r="H16" s="670">
        <v>0</v>
      </c>
      <c r="I16" s="667">
        <v>140.33888999999999</v>
      </c>
      <c r="J16" s="668">
        <v>97.005556666665996</v>
      </c>
      <c r="K16" s="671">
        <v>0.53976496153800002</v>
      </c>
    </row>
    <row r="17" spans="1:11" ht="14.4" customHeight="1" thickBot="1" x14ac:dyDescent="0.35">
      <c r="A17" s="689" t="s">
        <v>367</v>
      </c>
      <c r="B17" s="667">
        <v>600.00005416769102</v>
      </c>
      <c r="C17" s="667">
        <v>406.01477</v>
      </c>
      <c r="D17" s="668">
        <v>-193.98528416769099</v>
      </c>
      <c r="E17" s="669">
        <v>0.67669122224099998</v>
      </c>
      <c r="F17" s="667">
        <v>600</v>
      </c>
      <c r="G17" s="668">
        <v>100</v>
      </c>
      <c r="H17" s="670">
        <v>35.903930000000003</v>
      </c>
      <c r="I17" s="667">
        <v>56.210380000000001</v>
      </c>
      <c r="J17" s="668">
        <v>-43.789619999999999</v>
      </c>
      <c r="K17" s="671">
        <v>9.3683966665999999E-2</v>
      </c>
    </row>
    <row r="18" spans="1:11" ht="14.4" customHeight="1" thickBot="1" x14ac:dyDescent="0.35">
      <c r="A18" s="689" t="s">
        <v>368</v>
      </c>
      <c r="B18" s="667">
        <v>115.899950378673</v>
      </c>
      <c r="C18" s="667">
        <v>103.31995999999999</v>
      </c>
      <c r="D18" s="668">
        <v>-12.579990378672001</v>
      </c>
      <c r="E18" s="669">
        <v>0.89145819012299998</v>
      </c>
      <c r="F18" s="667">
        <v>19.600000000000001</v>
      </c>
      <c r="G18" s="668">
        <v>3.266666666666</v>
      </c>
      <c r="H18" s="670">
        <v>0</v>
      </c>
      <c r="I18" s="667">
        <v>0.66605000000000003</v>
      </c>
      <c r="J18" s="668">
        <v>-2.6006166666660002</v>
      </c>
      <c r="K18" s="671">
        <v>3.3982142856999999E-2</v>
      </c>
    </row>
    <row r="19" spans="1:11" ht="14.4" customHeight="1" thickBot="1" x14ac:dyDescent="0.35">
      <c r="A19" s="689" t="s">
        <v>369</v>
      </c>
      <c r="B19" s="667">
        <v>18.000001625029999</v>
      </c>
      <c r="C19" s="667">
        <v>15.731999999999999</v>
      </c>
      <c r="D19" s="668">
        <v>-2.2680016250300001</v>
      </c>
      <c r="E19" s="669">
        <v>0.87399992109500002</v>
      </c>
      <c r="F19" s="667">
        <v>15</v>
      </c>
      <c r="G19" s="668">
        <v>2.5</v>
      </c>
      <c r="H19" s="670">
        <v>2.0699999999999998</v>
      </c>
      <c r="I19" s="667">
        <v>2.8980000000000001</v>
      </c>
      <c r="J19" s="668">
        <v>0.39800000000000002</v>
      </c>
      <c r="K19" s="671">
        <v>0.19320000000000001</v>
      </c>
    </row>
    <row r="20" spans="1:11" ht="14.4" customHeight="1" thickBot="1" x14ac:dyDescent="0.35">
      <c r="A20" s="688" t="s">
        <v>370</v>
      </c>
      <c r="B20" s="672">
        <v>1515.5482130543601</v>
      </c>
      <c r="C20" s="672">
        <v>1631.99</v>
      </c>
      <c r="D20" s="673">
        <v>116.441786945639</v>
      </c>
      <c r="E20" s="679">
        <v>1.0768314633230001</v>
      </c>
      <c r="F20" s="672">
        <v>1584.8416079589999</v>
      </c>
      <c r="G20" s="673">
        <v>264.14026799316701</v>
      </c>
      <c r="H20" s="675">
        <v>98.155000000000001</v>
      </c>
      <c r="I20" s="672">
        <v>275.28500000000003</v>
      </c>
      <c r="J20" s="673">
        <v>11.144732006832999</v>
      </c>
      <c r="K20" s="680">
        <v>0.173698746056</v>
      </c>
    </row>
    <row r="21" spans="1:11" ht="14.4" customHeight="1" thickBot="1" x14ac:dyDescent="0.35">
      <c r="A21" s="689" t="s">
        <v>371</v>
      </c>
      <c r="B21" s="667">
        <v>1402.5323082274799</v>
      </c>
      <c r="C21" s="667">
        <v>1526.4680000000001</v>
      </c>
      <c r="D21" s="668">
        <v>123.935691772523</v>
      </c>
      <c r="E21" s="669">
        <v>1.0883656590619999</v>
      </c>
      <c r="F21" s="667">
        <v>1474.19202976424</v>
      </c>
      <c r="G21" s="668">
        <v>245.69867162737299</v>
      </c>
      <c r="H21" s="670">
        <v>96.614999999999995</v>
      </c>
      <c r="I21" s="667">
        <v>258.02499999999998</v>
      </c>
      <c r="J21" s="668">
        <v>12.326328372627</v>
      </c>
      <c r="K21" s="671">
        <v>0.17502807964600001</v>
      </c>
    </row>
    <row r="22" spans="1:11" ht="14.4" customHeight="1" thickBot="1" x14ac:dyDescent="0.35">
      <c r="A22" s="689" t="s">
        <v>372</v>
      </c>
      <c r="B22" s="667">
        <v>113.015904826884</v>
      </c>
      <c r="C22" s="667">
        <v>105.52200000000001</v>
      </c>
      <c r="D22" s="668">
        <v>-7.4939048268840001</v>
      </c>
      <c r="E22" s="669">
        <v>0.93369159112199995</v>
      </c>
      <c r="F22" s="667">
        <v>110.649578194763</v>
      </c>
      <c r="G22" s="668">
        <v>18.441596365793</v>
      </c>
      <c r="H22" s="670">
        <v>1.54</v>
      </c>
      <c r="I22" s="667">
        <v>17.260000000000002</v>
      </c>
      <c r="J22" s="668">
        <v>-1.181596365793</v>
      </c>
      <c r="K22" s="671">
        <v>0.15598794212799999</v>
      </c>
    </row>
    <row r="23" spans="1:11" ht="14.4" customHeight="1" thickBot="1" x14ac:dyDescent="0.35">
      <c r="A23" s="688" t="s">
        <v>373</v>
      </c>
      <c r="B23" s="672">
        <v>16090.928607346799</v>
      </c>
      <c r="C23" s="672">
        <v>15511.42354</v>
      </c>
      <c r="D23" s="673">
        <v>-579.50506734676105</v>
      </c>
      <c r="E23" s="679">
        <v>0.96398560446699999</v>
      </c>
      <c r="F23" s="672">
        <v>16042</v>
      </c>
      <c r="G23" s="673">
        <v>2673.6666666666702</v>
      </c>
      <c r="H23" s="675">
        <v>1070.9355800000001</v>
      </c>
      <c r="I23" s="672">
        <v>2538.11805</v>
      </c>
      <c r="J23" s="673">
        <v>-135.54861666666599</v>
      </c>
      <c r="K23" s="680">
        <v>0.158217058346</v>
      </c>
    </row>
    <row r="24" spans="1:11" ht="14.4" customHeight="1" thickBot="1" x14ac:dyDescent="0.35">
      <c r="A24" s="689" t="s">
        <v>374</v>
      </c>
      <c r="B24" s="667">
        <v>199.999962924773</v>
      </c>
      <c r="C24" s="667">
        <v>139.71391</v>
      </c>
      <c r="D24" s="668">
        <v>-60.286052924772001</v>
      </c>
      <c r="E24" s="669">
        <v>0.69856967949799997</v>
      </c>
      <c r="F24" s="667">
        <v>200</v>
      </c>
      <c r="G24" s="668">
        <v>33.333333333333002</v>
      </c>
      <c r="H24" s="670">
        <v>-52.85745</v>
      </c>
      <c r="I24" s="667">
        <v>-52.85745</v>
      </c>
      <c r="J24" s="668">
        <v>-86.190783333333002</v>
      </c>
      <c r="K24" s="671">
        <v>-0.26428724999999997</v>
      </c>
    </row>
    <row r="25" spans="1:11" ht="14.4" customHeight="1" thickBot="1" x14ac:dyDescent="0.35">
      <c r="A25" s="689" t="s">
        <v>375</v>
      </c>
      <c r="B25" s="667">
        <v>12674.921843018399</v>
      </c>
      <c r="C25" s="667">
        <v>12478.510200000001</v>
      </c>
      <c r="D25" s="668">
        <v>-196.41164301843901</v>
      </c>
      <c r="E25" s="669">
        <v>0.984503916832</v>
      </c>
      <c r="F25" s="667">
        <v>12900</v>
      </c>
      <c r="G25" s="668">
        <v>2150</v>
      </c>
      <c r="H25" s="670">
        <v>834.44676000000004</v>
      </c>
      <c r="I25" s="667">
        <v>2135.6600800000001</v>
      </c>
      <c r="J25" s="668">
        <v>-14.339919999998999</v>
      </c>
      <c r="K25" s="671">
        <v>0.16555504496099999</v>
      </c>
    </row>
    <row r="26" spans="1:11" ht="14.4" customHeight="1" thickBot="1" x14ac:dyDescent="0.35">
      <c r="A26" s="689" t="s">
        <v>376</v>
      </c>
      <c r="B26" s="667">
        <v>294.781742677963</v>
      </c>
      <c r="C26" s="667">
        <v>287.78634</v>
      </c>
      <c r="D26" s="668">
        <v>-6.9954026779629999</v>
      </c>
      <c r="E26" s="669">
        <v>0.97626921323399996</v>
      </c>
      <c r="F26" s="667">
        <v>210</v>
      </c>
      <c r="G26" s="668">
        <v>35</v>
      </c>
      <c r="H26" s="670">
        <v>23.77205</v>
      </c>
      <c r="I26" s="667">
        <v>47.155169999999998</v>
      </c>
      <c r="J26" s="668">
        <v>12.15517</v>
      </c>
      <c r="K26" s="671">
        <v>0.22454842857099999</v>
      </c>
    </row>
    <row r="27" spans="1:11" ht="14.4" customHeight="1" thickBot="1" x14ac:dyDescent="0.35">
      <c r="A27" s="689" t="s">
        <v>377</v>
      </c>
      <c r="B27" s="667">
        <v>10.000000902794</v>
      </c>
      <c r="C27" s="667">
        <v>9.3382100000000001</v>
      </c>
      <c r="D27" s="668">
        <v>-0.66179090279399999</v>
      </c>
      <c r="E27" s="669">
        <v>0.93382091569500003</v>
      </c>
      <c r="F27" s="667">
        <v>10</v>
      </c>
      <c r="G27" s="668">
        <v>1.6666666666659999</v>
      </c>
      <c r="H27" s="670">
        <v>2.6415099999999998</v>
      </c>
      <c r="I27" s="667">
        <v>3.0728499999999999</v>
      </c>
      <c r="J27" s="668">
        <v>1.4061833333330001</v>
      </c>
      <c r="K27" s="671">
        <v>0.30728499999999997</v>
      </c>
    </row>
    <row r="28" spans="1:11" ht="14.4" customHeight="1" thickBot="1" x14ac:dyDescent="0.35">
      <c r="A28" s="689" t="s">
        <v>378</v>
      </c>
      <c r="B28" s="667">
        <v>0.65520005915099999</v>
      </c>
      <c r="C28" s="667">
        <v>1.97702</v>
      </c>
      <c r="D28" s="668">
        <v>1.321819940848</v>
      </c>
      <c r="E28" s="669">
        <v>3.017429520017</v>
      </c>
      <c r="F28" s="667">
        <v>2</v>
      </c>
      <c r="G28" s="668">
        <v>0.33333333333300003</v>
      </c>
      <c r="H28" s="670">
        <v>0</v>
      </c>
      <c r="I28" s="667">
        <v>0.19639000000000001</v>
      </c>
      <c r="J28" s="668">
        <v>-0.13694333333299999</v>
      </c>
      <c r="K28" s="671">
        <v>9.8195000000000005E-2</v>
      </c>
    </row>
    <row r="29" spans="1:11" ht="14.4" customHeight="1" thickBot="1" x14ac:dyDescent="0.35">
      <c r="A29" s="689" t="s">
        <v>379</v>
      </c>
      <c r="B29" s="667">
        <v>900.00008125153602</v>
      </c>
      <c r="C29" s="667">
        <v>768.28966000000003</v>
      </c>
      <c r="D29" s="668">
        <v>-131.71042125153599</v>
      </c>
      <c r="E29" s="669">
        <v>0.85365510070999995</v>
      </c>
      <c r="F29" s="667">
        <v>835</v>
      </c>
      <c r="G29" s="668">
        <v>139.166666666667</v>
      </c>
      <c r="H29" s="670">
        <v>68.201139999999995</v>
      </c>
      <c r="I29" s="667">
        <v>108.97154</v>
      </c>
      <c r="J29" s="668">
        <v>-30.195126666665999</v>
      </c>
      <c r="K29" s="671">
        <v>0.130504838323</v>
      </c>
    </row>
    <row r="30" spans="1:11" ht="14.4" customHeight="1" thickBot="1" x14ac:dyDescent="0.35">
      <c r="A30" s="689" t="s">
        <v>380</v>
      </c>
      <c r="B30" s="667">
        <v>1330.5697167759899</v>
      </c>
      <c r="C30" s="667">
        <v>1320.2440999999999</v>
      </c>
      <c r="D30" s="668">
        <v>-10.325616775991</v>
      </c>
      <c r="E30" s="669">
        <v>0.99223970255299998</v>
      </c>
      <c r="F30" s="667">
        <v>1340</v>
      </c>
      <c r="G30" s="668">
        <v>223.333333333333</v>
      </c>
      <c r="H30" s="670">
        <v>95.981080000000006</v>
      </c>
      <c r="I30" s="667">
        <v>158.96397999999999</v>
      </c>
      <c r="J30" s="668">
        <v>-64.369353333332995</v>
      </c>
      <c r="K30" s="671">
        <v>0.11862983582</v>
      </c>
    </row>
    <row r="31" spans="1:11" ht="14.4" customHeight="1" thickBot="1" x14ac:dyDescent="0.35">
      <c r="A31" s="689" t="s">
        <v>381</v>
      </c>
      <c r="B31" s="667">
        <v>90.000008125153002</v>
      </c>
      <c r="C31" s="667">
        <v>84.259249999999994</v>
      </c>
      <c r="D31" s="668">
        <v>-5.7407581251530004</v>
      </c>
      <c r="E31" s="669">
        <v>0.93621380436699997</v>
      </c>
      <c r="F31" s="667">
        <v>90</v>
      </c>
      <c r="G31" s="668">
        <v>15</v>
      </c>
      <c r="H31" s="670">
        <v>6.7313999999999998</v>
      </c>
      <c r="I31" s="667">
        <v>14.6934</v>
      </c>
      <c r="J31" s="668">
        <v>-0.30659999999900001</v>
      </c>
      <c r="K31" s="671">
        <v>0.16325999999999999</v>
      </c>
    </row>
    <row r="32" spans="1:11" ht="14.4" customHeight="1" thickBot="1" x14ac:dyDescent="0.35">
      <c r="A32" s="689" t="s">
        <v>382</v>
      </c>
      <c r="B32" s="667">
        <v>130.00001173633299</v>
      </c>
      <c r="C32" s="667">
        <v>82.568939999999998</v>
      </c>
      <c r="D32" s="668">
        <v>-47.431071736333003</v>
      </c>
      <c r="E32" s="669">
        <v>0.63514563496700005</v>
      </c>
      <c r="F32" s="667">
        <v>90</v>
      </c>
      <c r="G32" s="668">
        <v>15</v>
      </c>
      <c r="H32" s="670">
        <v>9.5328199999999992</v>
      </c>
      <c r="I32" s="667">
        <v>18.824359999999999</v>
      </c>
      <c r="J32" s="668">
        <v>3.82436</v>
      </c>
      <c r="K32" s="671">
        <v>0.20915955555499999</v>
      </c>
    </row>
    <row r="33" spans="1:11" ht="14.4" customHeight="1" thickBot="1" x14ac:dyDescent="0.35">
      <c r="A33" s="689" t="s">
        <v>383</v>
      </c>
      <c r="B33" s="667">
        <v>25.000002256986999</v>
      </c>
      <c r="C33" s="667">
        <v>15.56753</v>
      </c>
      <c r="D33" s="668">
        <v>-9.4324722569869994</v>
      </c>
      <c r="E33" s="669">
        <v>0.62270114378200003</v>
      </c>
      <c r="F33" s="667">
        <v>20</v>
      </c>
      <c r="G33" s="668">
        <v>3.333333333333</v>
      </c>
      <c r="H33" s="670">
        <v>0.65400000000000003</v>
      </c>
      <c r="I33" s="667">
        <v>1.482</v>
      </c>
      <c r="J33" s="668">
        <v>-1.851333333333</v>
      </c>
      <c r="K33" s="671">
        <v>7.4099999999999999E-2</v>
      </c>
    </row>
    <row r="34" spans="1:11" ht="14.4" customHeight="1" thickBot="1" x14ac:dyDescent="0.35">
      <c r="A34" s="689" t="s">
        <v>384</v>
      </c>
      <c r="B34" s="667">
        <v>90.000008125153002</v>
      </c>
      <c r="C34" s="667">
        <v>94.950159999999997</v>
      </c>
      <c r="D34" s="668">
        <v>4.9501518748460001</v>
      </c>
      <c r="E34" s="669">
        <v>1.0550016825320001</v>
      </c>
      <c r="F34" s="667">
        <v>95</v>
      </c>
      <c r="G34" s="668">
        <v>15.833333333333</v>
      </c>
      <c r="H34" s="670">
        <v>7.4275000000000002</v>
      </c>
      <c r="I34" s="667">
        <v>14.1411</v>
      </c>
      <c r="J34" s="668">
        <v>-1.692233333333</v>
      </c>
      <c r="K34" s="671">
        <v>0.14885368421</v>
      </c>
    </row>
    <row r="35" spans="1:11" ht="14.4" customHeight="1" thickBot="1" x14ac:dyDescent="0.35">
      <c r="A35" s="689" t="s">
        <v>385</v>
      </c>
      <c r="B35" s="667">
        <v>40.000001957244997</v>
      </c>
      <c r="C35" s="667">
        <v>44.474139999999998</v>
      </c>
      <c r="D35" s="668">
        <v>4.4741380427540003</v>
      </c>
      <c r="E35" s="669">
        <v>1.111853445595</v>
      </c>
      <c r="F35" s="667">
        <v>40</v>
      </c>
      <c r="G35" s="668">
        <v>6.6666666666659999</v>
      </c>
      <c r="H35" s="670">
        <v>2.6779000000000002</v>
      </c>
      <c r="I35" s="667">
        <v>2.6779000000000002</v>
      </c>
      <c r="J35" s="668">
        <v>-3.9887666666660002</v>
      </c>
      <c r="K35" s="671">
        <v>6.6947499999999993E-2</v>
      </c>
    </row>
    <row r="36" spans="1:11" ht="14.4" customHeight="1" thickBot="1" x14ac:dyDescent="0.35">
      <c r="A36" s="689" t="s">
        <v>386</v>
      </c>
      <c r="B36" s="667">
        <v>15.000001354191999</v>
      </c>
      <c r="C36" s="667">
        <v>9.4311500000000006</v>
      </c>
      <c r="D36" s="668">
        <v>-5.5688513541919997</v>
      </c>
      <c r="E36" s="669">
        <v>0.62874327656999995</v>
      </c>
      <c r="F36" s="667">
        <v>10</v>
      </c>
      <c r="G36" s="668">
        <v>1.6666666666659999</v>
      </c>
      <c r="H36" s="670">
        <v>0</v>
      </c>
      <c r="I36" s="667">
        <v>2.8451</v>
      </c>
      <c r="J36" s="668">
        <v>1.1784333333329999</v>
      </c>
      <c r="K36" s="671">
        <v>0.28450999999999999</v>
      </c>
    </row>
    <row r="37" spans="1:11" ht="14.4" customHeight="1" thickBot="1" x14ac:dyDescent="0.35">
      <c r="A37" s="689" t="s">
        <v>387</v>
      </c>
      <c r="B37" s="667">
        <v>290.00002618104998</v>
      </c>
      <c r="C37" s="667">
        <v>174.31292999999999</v>
      </c>
      <c r="D37" s="668">
        <v>-115.68709618104999</v>
      </c>
      <c r="E37" s="669">
        <v>0.60107901470000002</v>
      </c>
      <c r="F37" s="667">
        <v>200</v>
      </c>
      <c r="G37" s="668">
        <v>33.333333333333002</v>
      </c>
      <c r="H37" s="670">
        <v>71.726870000000005</v>
      </c>
      <c r="I37" s="667">
        <v>82.291629999999998</v>
      </c>
      <c r="J37" s="668">
        <v>48.958296666666001</v>
      </c>
      <c r="K37" s="671">
        <v>0.41145815000000002</v>
      </c>
    </row>
    <row r="38" spans="1:11" ht="14.4" customHeight="1" thickBot="1" x14ac:dyDescent="0.35">
      <c r="A38" s="688" t="s">
        <v>388</v>
      </c>
      <c r="B38" s="672">
        <v>533.18967817741202</v>
      </c>
      <c r="C38" s="672">
        <v>568.84463000000005</v>
      </c>
      <c r="D38" s="673">
        <v>35.654951822588004</v>
      </c>
      <c r="E38" s="679">
        <v>1.0668710466119999</v>
      </c>
      <c r="F38" s="672">
        <v>610.27569693016096</v>
      </c>
      <c r="G38" s="673">
        <v>101.71261615502701</v>
      </c>
      <c r="H38" s="675">
        <v>45.049399999999999</v>
      </c>
      <c r="I38" s="672">
        <v>86.162030000000001</v>
      </c>
      <c r="J38" s="673">
        <v>-15.550586155026</v>
      </c>
      <c r="K38" s="680">
        <v>0.141185419038</v>
      </c>
    </row>
    <row r="39" spans="1:11" ht="14.4" customHeight="1" thickBot="1" x14ac:dyDescent="0.35">
      <c r="A39" s="689" t="s">
        <v>389</v>
      </c>
      <c r="B39" s="667">
        <v>461.18908404154598</v>
      </c>
      <c r="C39" s="667">
        <v>467.66586000000001</v>
      </c>
      <c r="D39" s="668">
        <v>6.4767759584539997</v>
      </c>
      <c r="E39" s="669">
        <v>1.014043645399</v>
      </c>
      <c r="F39" s="667">
        <v>581.37578892938404</v>
      </c>
      <c r="G39" s="668">
        <v>96.895964821563993</v>
      </c>
      <c r="H39" s="670">
        <v>37.053710000000002</v>
      </c>
      <c r="I39" s="667">
        <v>70.375889999999998</v>
      </c>
      <c r="J39" s="668">
        <v>-26.520074821563998</v>
      </c>
      <c r="K39" s="671">
        <v>0.12105060331</v>
      </c>
    </row>
    <row r="40" spans="1:11" ht="14.4" customHeight="1" thickBot="1" x14ac:dyDescent="0.35">
      <c r="A40" s="689" t="s">
        <v>390</v>
      </c>
      <c r="B40" s="667">
        <v>72.000594135865995</v>
      </c>
      <c r="C40" s="667">
        <v>101.17877</v>
      </c>
      <c r="D40" s="668">
        <v>29.178175864132999</v>
      </c>
      <c r="E40" s="669">
        <v>1.4052490984870001</v>
      </c>
      <c r="F40" s="667">
        <v>28.899908000777</v>
      </c>
      <c r="G40" s="668">
        <v>4.8166513334619996</v>
      </c>
      <c r="H40" s="670">
        <v>7.9956899999999997</v>
      </c>
      <c r="I40" s="667">
        <v>15.78614</v>
      </c>
      <c r="J40" s="668">
        <v>10.969488666537</v>
      </c>
      <c r="K40" s="671">
        <v>0.54623495685699996</v>
      </c>
    </row>
    <row r="41" spans="1:11" ht="14.4" customHeight="1" thickBot="1" x14ac:dyDescent="0.35">
      <c r="A41" s="688" t="s">
        <v>391</v>
      </c>
      <c r="B41" s="672">
        <v>378.16011447507299</v>
      </c>
      <c r="C41" s="672">
        <v>353.21794</v>
      </c>
      <c r="D41" s="673">
        <v>-24.942174475072999</v>
      </c>
      <c r="E41" s="679">
        <v>0.93404334957500001</v>
      </c>
      <c r="F41" s="672">
        <v>435.19468155575998</v>
      </c>
      <c r="G41" s="673">
        <v>72.532446925960002</v>
      </c>
      <c r="H41" s="675">
        <v>29.295999999999999</v>
      </c>
      <c r="I41" s="672">
        <v>59.518230000000003</v>
      </c>
      <c r="J41" s="673">
        <v>-13.01421692596</v>
      </c>
      <c r="K41" s="680">
        <v>0.13676231011600001</v>
      </c>
    </row>
    <row r="42" spans="1:11" ht="14.4" customHeight="1" thickBot="1" x14ac:dyDescent="0.35">
      <c r="A42" s="689" t="s">
        <v>392</v>
      </c>
      <c r="B42" s="667">
        <v>8.1878986272659997</v>
      </c>
      <c r="C42" s="667">
        <v>5.8675300000000004</v>
      </c>
      <c r="D42" s="668">
        <v>-2.3203686272659998</v>
      </c>
      <c r="E42" s="669">
        <v>0.71660999568999995</v>
      </c>
      <c r="F42" s="667">
        <v>0</v>
      </c>
      <c r="G42" s="668">
        <v>0</v>
      </c>
      <c r="H42" s="670">
        <v>0</v>
      </c>
      <c r="I42" s="667">
        <v>1.5125</v>
      </c>
      <c r="J42" s="668">
        <v>1.5125</v>
      </c>
      <c r="K42" s="678" t="s">
        <v>354</v>
      </c>
    </row>
    <row r="43" spans="1:11" ht="14.4" customHeight="1" thickBot="1" x14ac:dyDescent="0.35">
      <c r="A43" s="689" t="s">
        <v>393</v>
      </c>
      <c r="B43" s="667">
        <v>16.422787649079002</v>
      </c>
      <c r="C43" s="667">
        <v>10.4977</v>
      </c>
      <c r="D43" s="668">
        <v>-5.9250876490789999</v>
      </c>
      <c r="E43" s="669">
        <v>0.639215474517</v>
      </c>
      <c r="F43" s="667">
        <v>72</v>
      </c>
      <c r="G43" s="668">
        <v>12</v>
      </c>
      <c r="H43" s="670">
        <v>2.5800999999999998</v>
      </c>
      <c r="I43" s="667">
        <v>4.0529299999999999</v>
      </c>
      <c r="J43" s="668">
        <v>-7.9470700000000001</v>
      </c>
      <c r="K43" s="671">
        <v>5.6290694443999999E-2</v>
      </c>
    </row>
    <row r="44" spans="1:11" ht="14.4" customHeight="1" thickBot="1" x14ac:dyDescent="0.35">
      <c r="A44" s="689" t="s">
        <v>394</v>
      </c>
      <c r="B44" s="667">
        <v>200.65181835620001</v>
      </c>
      <c r="C44" s="667">
        <v>182.30804000000001</v>
      </c>
      <c r="D44" s="668">
        <v>-18.343778356199</v>
      </c>
      <c r="E44" s="669">
        <v>0.90857905746099998</v>
      </c>
      <c r="F44" s="667">
        <v>168.23810628585801</v>
      </c>
      <c r="G44" s="668">
        <v>28.039684380975999</v>
      </c>
      <c r="H44" s="670">
        <v>13.380559999999999</v>
      </c>
      <c r="I44" s="667">
        <v>25.783660000000001</v>
      </c>
      <c r="J44" s="668">
        <v>-2.2560243809760001</v>
      </c>
      <c r="K44" s="671">
        <v>0.15325695568700001</v>
      </c>
    </row>
    <row r="45" spans="1:11" ht="14.4" customHeight="1" thickBot="1" x14ac:dyDescent="0.35">
      <c r="A45" s="689" t="s">
        <v>395</v>
      </c>
      <c r="B45" s="667">
        <v>64.077121711743004</v>
      </c>
      <c r="C45" s="667">
        <v>61.784300000000002</v>
      </c>
      <c r="D45" s="668">
        <v>-2.2928217117430001</v>
      </c>
      <c r="E45" s="669">
        <v>0.96421777928700003</v>
      </c>
      <c r="F45" s="667">
        <v>62</v>
      </c>
      <c r="G45" s="668">
        <v>10.333333333333</v>
      </c>
      <c r="H45" s="670">
        <v>4.4152500000000003</v>
      </c>
      <c r="I45" s="667">
        <v>11.04787</v>
      </c>
      <c r="J45" s="668">
        <v>0.71453666666600002</v>
      </c>
      <c r="K45" s="671">
        <v>0.17819145161200001</v>
      </c>
    </row>
    <row r="46" spans="1:11" ht="14.4" customHeight="1" thickBot="1" x14ac:dyDescent="0.35">
      <c r="A46" s="689" t="s">
        <v>396</v>
      </c>
      <c r="B46" s="667">
        <v>6.1141976456040004</v>
      </c>
      <c r="C46" s="667">
        <v>2.2412899999999998</v>
      </c>
      <c r="D46" s="668">
        <v>-3.8729076456040001</v>
      </c>
      <c r="E46" s="669">
        <v>0.3665714015</v>
      </c>
      <c r="F46" s="667">
        <v>4.6064455880380004</v>
      </c>
      <c r="G46" s="668">
        <v>0.76774093133900001</v>
      </c>
      <c r="H46" s="670">
        <v>0.56000000000000005</v>
      </c>
      <c r="I46" s="667">
        <v>0.78944999999999999</v>
      </c>
      <c r="J46" s="668">
        <v>2.1709068660000001E-2</v>
      </c>
      <c r="K46" s="671">
        <v>0.17137942583099999</v>
      </c>
    </row>
    <row r="47" spans="1:11" ht="14.4" customHeight="1" thickBot="1" x14ac:dyDescent="0.35">
      <c r="A47" s="689" t="s">
        <v>397</v>
      </c>
      <c r="B47" s="667">
        <v>0</v>
      </c>
      <c r="C47" s="667">
        <v>3.7699999999999997E-2</v>
      </c>
      <c r="D47" s="668">
        <v>3.7699999999999997E-2</v>
      </c>
      <c r="E47" s="677" t="s">
        <v>354</v>
      </c>
      <c r="F47" s="667">
        <v>0</v>
      </c>
      <c r="G47" s="668">
        <v>0</v>
      </c>
      <c r="H47" s="670">
        <v>0</v>
      </c>
      <c r="I47" s="667">
        <v>0</v>
      </c>
      <c r="J47" s="668">
        <v>0</v>
      </c>
      <c r="K47" s="678" t="s">
        <v>354</v>
      </c>
    </row>
    <row r="48" spans="1:11" ht="14.4" customHeight="1" thickBot="1" x14ac:dyDescent="0.35">
      <c r="A48" s="689" t="s">
        <v>398</v>
      </c>
      <c r="B48" s="667">
        <v>0</v>
      </c>
      <c r="C48" s="667">
        <v>0.54449999999900001</v>
      </c>
      <c r="D48" s="668">
        <v>0.54449999999900001</v>
      </c>
      <c r="E48" s="677" t="s">
        <v>399</v>
      </c>
      <c r="F48" s="667">
        <v>0</v>
      </c>
      <c r="G48" s="668">
        <v>0</v>
      </c>
      <c r="H48" s="670">
        <v>2.2989999999999999</v>
      </c>
      <c r="I48" s="667">
        <v>4.6122300000000003</v>
      </c>
      <c r="J48" s="668">
        <v>4.6122300000000003</v>
      </c>
      <c r="K48" s="678" t="s">
        <v>354</v>
      </c>
    </row>
    <row r="49" spans="1:11" ht="14.4" customHeight="1" thickBot="1" x14ac:dyDescent="0.35">
      <c r="A49" s="689" t="s">
        <v>400</v>
      </c>
      <c r="B49" s="667">
        <v>7.5672150554549997</v>
      </c>
      <c r="C49" s="667">
        <v>2.4780899999999999</v>
      </c>
      <c r="D49" s="668">
        <v>-5.0891250554549998</v>
      </c>
      <c r="E49" s="669">
        <v>0.32747714738299999</v>
      </c>
      <c r="F49" s="667">
        <v>3</v>
      </c>
      <c r="G49" s="668">
        <v>0.5</v>
      </c>
      <c r="H49" s="670">
        <v>0.15351000000000001</v>
      </c>
      <c r="I49" s="667">
        <v>0.16513</v>
      </c>
      <c r="J49" s="668">
        <v>-0.33487</v>
      </c>
      <c r="K49" s="671">
        <v>5.5043333333000002E-2</v>
      </c>
    </row>
    <row r="50" spans="1:11" ht="14.4" customHeight="1" thickBot="1" x14ac:dyDescent="0.35">
      <c r="A50" s="689" t="s">
        <v>401</v>
      </c>
      <c r="B50" s="667">
        <v>28.579244249774</v>
      </c>
      <c r="C50" s="667">
        <v>28.61459</v>
      </c>
      <c r="D50" s="668">
        <v>3.5345750225E-2</v>
      </c>
      <c r="E50" s="669">
        <v>1.001236762942</v>
      </c>
      <c r="F50" s="667">
        <v>35.350129681863002</v>
      </c>
      <c r="G50" s="668">
        <v>5.8916882803100004</v>
      </c>
      <c r="H50" s="670">
        <v>2.30003</v>
      </c>
      <c r="I50" s="667">
        <v>3.5310100000000002</v>
      </c>
      <c r="J50" s="668">
        <v>-2.3606782803100002</v>
      </c>
      <c r="K50" s="671">
        <v>9.9886762276999996E-2</v>
      </c>
    </row>
    <row r="51" spans="1:11" ht="14.4" customHeight="1" thickBot="1" x14ac:dyDescent="0.35">
      <c r="A51" s="689" t="s">
        <v>402</v>
      </c>
      <c r="B51" s="667">
        <v>0</v>
      </c>
      <c r="C51" s="667">
        <v>5.3102600000000004</v>
      </c>
      <c r="D51" s="668">
        <v>5.3102600000000004</v>
      </c>
      <c r="E51" s="677" t="s">
        <v>399</v>
      </c>
      <c r="F51" s="667">
        <v>0</v>
      </c>
      <c r="G51" s="668">
        <v>0</v>
      </c>
      <c r="H51" s="670">
        <v>0</v>
      </c>
      <c r="I51" s="667">
        <v>0</v>
      </c>
      <c r="J51" s="668">
        <v>0</v>
      </c>
      <c r="K51" s="678" t="s">
        <v>354</v>
      </c>
    </row>
    <row r="52" spans="1:11" ht="14.4" customHeight="1" thickBot="1" x14ac:dyDescent="0.35">
      <c r="A52" s="689" t="s">
        <v>403</v>
      </c>
      <c r="B52" s="667">
        <v>46.559831179949001</v>
      </c>
      <c r="C52" s="667">
        <v>52.481940000000002</v>
      </c>
      <c r="D52" s="668">
        <v>5.9221088200500001</v>
      </c>
      <c r="E52" s="669">
        <v>1.1271935200350001</v>
      </c>
      <c r="F52" s="667">
        <v>50</v>
      </c>
      <c r="G52" s="668">
        <v>8.333333333333</v>
      </c>
      <c r="H52" s="670">
        <v>3.6075499999999998</v>
      </c>
      <c r="I52" s="667">
        <v>8.0234500000000004</v>
      </c>
      <c r="J52" s="668">
        <v>-0.309883333333</v>
      </c>
      <c r="K52" s="671">
        <v>0.160469</v>
      </c>
    </row>
    <row r="53" spans="1:11" ht="14.4" customHeight="1" thickBot="1" x14ac:dyDescent="0.35">
      <c r="A53" s="689" t="s">
        <v>404</v>
      </c>
      <c r="B53" s="667">
        <v>0</v>
      </c>
      <c r="C53" s="667">
        <v>1.052</v>
      </c>
      <c r="D53" s="668">
        <v>1.052</v>
      </c>
      <c r="E53" s="677" t="s">
        <v>399</v>
      </c>
      <c r="F53" s="667">
        <v>40</v>
      </c>
      <c r="G53" s="668">
        <v>6.6666666666659999</v>
      </c>
      <c r="H53" s="670">
        <v>0</v>
      </c>
      <c r="I53" s="667">
        <v>0</v>
      </c>
      <c r="J53" s="668">
        <v>-6.6666666666659999</v>
      </c>
      <c r="K53" s="671">
        <v>0</v>
      </c>
    </row>
    <row r="54" spans="1:11" ht="14.4" customHeight="1" thickBot="1" x14ac:dyDescent="0.35">
      <c r="A54" s="688" t="s">
        <v>405</v>
      </c>
      <c r="B54" s="672">
        <v>66.716077302350996</v>
      </c>
      <c r="C54" s="672">
        <v>54.202919999999999</v>
      </c>
      <c r="D54" s="673">
        <v>-12.513157302351001</v>
      </c>
      <c r="E54" s="679">
        <v>0.81244165112300004</v>
      </c>
      <c r="F54" s="672">
        <v>64.806650600327004</v>
      </c>
      <c r="G54" s="673">
        <v>10.801108433387</v>
      </c>
      <c r="H54" s="675">
        <v>0.71448999999999996</v>
      </c>
      <c r="I54" s="672">
        <v>4.9826899999999998</v>
      </c>
      <c r="J54" s="673">
        <v>-5.8184184333870004</v>
      </c>
      <c r="K54" s="680">
        <v>7.6885473231999998E-2</v>
      </c>
    </row>
    <row r="55" spans="1:11" ht="14.4" customHeight="1" thickBot="1" x14ac:dyDescent="0.35">
      <c r="A55" s="689" t="s">
        <v>406</v>
      </c>
      <c r="B55" s="667">
        <v>4.9753192713330003</v>
      </c>
      <c r="C55" s="667">
        <v>-8.8817841970012507E-15</v>
      </c>
      <c r="D55" s="668">
        <v>-4.9753192713330003</v>
      </c>
      <c r="E55" s="669">
        <v>-1.7851686922236498E-15</v>
      </c>
      <c r="F55" s="667">
        <v>3.8283643760010002</v>
      </c>
      <c r="G55" s="668">
        <v>0.63806072933299995</v>
      </c>
      <c r="H55" s="670">
        <v>0</v>
      </c>
      <c r="I55" s="667">
        <v>0</v>
      </c>
      <c r="J55" s="668">
        <v>-0.63806072933299995</v>
      </c>
      <c r="K55" s="671">
        <v>0</v>
      </c>
    </row>
    <row r="56" spans="1:11" ht="14.4" customHeight="1" thickBot="1" x14ac:dyDescent="0.35">
      <c r="A56" s="689" t="s">
        <v>407</v>
      </c>
      <c r="B56" s="667">
        <v>57.587281674882</v>
      </c>
      <c r="C56" s="667">
        <v>50.595709999999997</v>
      </c>
      <c r="D56" s="668">
        <v>-6.9915716748819996</v>
      </c>
      <c r="E56" s="669">
        <v>0.87859173985000005</v>
      </c>
      <c r="F56" s="667">
        <v>58.916572483012999</v>
      </c>
      <c r="G56" s="668">
        <v>9.8194287471680006</v>
      </c>
      <c r="H56" s="670">
        <v>0</v>
      </c>
      <c r="I56" s="667">
        <v>3.5815999999999999</v>
      </c>
      <c r="J56" s="668">
        <v>-6.2378287471679998</v>
      </c>
      <c r="K56" s="671">
        <v>6.0791044846000002E-2</v>
      </c>
    </row>
    <row r="57" spans="1:11" ht="14.4" customHeight="1" thickBot="1" x14ac:dyDescent="0.35">
      <c r="A57" s="689" t="s">
        <v>408</v>
      </c>
      <c r="B57" s="667">
        <v>0</v>
      </c>
      <c r="C57" s="667">
        <v>1.5246</v>
      </c>
      <c r="D57" s="668">
        <v>1.5246</v>
      </c>
      <c r="E57" s="677" t="s">
        <v>354</v>
      </c>
      <c r="F57" s="667">
        <v>0</v>
      </c>
      <c r="G57" s="668">
        <v>0</v>
      </c>
      <c r="H57" s="670">
        <v>0</v>
      </c>
      <c r="I57" s="667">
        <v>0</v>
      </c>
      <c r="J57" s="668">
        <v>0</v>
      </c>
      <c r="K57" s="678" t="s">
        <v>354</v>
      </c>
    </row>
    <row r="58" spans="1:11" ht="14.4" customHeight="1" thickBot="1" x14ac:dyDescent="0.35">
      <c r="A58" s="689" t="s">
        <v>409</v>
      </c>
      <c r="B58" s="667">
        <v>4.1534763561350001</v>
      </c>
      <c r="C58" s="667">
        <v>2.0826099999999999</v>
      </c>
      <c r="D58" s="668">
        <v>-2.0708663561349998</v>
      </c>
      <c r="E58" s="669">
        <v>0.50141371261699996</v>
      </c>
      <c r="F58" s="667">
        <v>2.0617137413119999</v>
      </c>
      <c r="G58" s="668">
        <v>0.34361895688499999</v>
      </c>
      <c r="H58" s="670">
        <v>0.71448999999999996</v>
      </c>
      <c r="I58" s="667">
        <v>1.4010899999999999</v>
      </c>
      <c r="J58" s="668">
        <v>1.057471043114</v>
      </c>
      <c r="K58" s="671">
        <v>0.67957542888900002</v>
      </c>
    </row>
    <row r="59" spans="1:11" ht="14.4" customHeight="1" thickBot="1" x14ac:dyDescent="0.35">
      <c r="A59" s="688" t="s">
        <v>410</v>
      </c>
      <c r="B59" s="672">
        <v>80.844306611706998</v>
      </c>
      <c r="C59" s="672">
        <v>100.16895</v>
      </c>
      <c r="D59" s="673">
        <v>19.324643388291999</v>
      </c>
      <c r="E59" s="679">
        <v>1.239035303761</v>
      </c>
      <c r="F59" s="672">
        <v>105</v>
      </c>
      <c r="G59" s="673">
        <v>17.5</v>
      </c>
      <c r="H59" s="675">
        <v>6.2401999999999997</v>
      </c>
      <c r="I59" s="672">
        <v>12.438510000000001</v>
      </c>
      <c r="J59" s="673">
        <v>-5.06149</v>
      </c>
      <c r="K59" s="680">
        <v>0.118462</v>
      </c>
    </row>
    <row r="60" spans="1:11" ht="14.4" customHeight="1" thickBot="1" x14ac:dyDescent="0.35">
      <c r="A60" s="689" t="s">
        <v>411</v>
      </c>
      <c r="B60" s="667">
        <v>0</v>
      </c>
      <c r="C60" s="667">
        <v>0</v>
      </c>
      <c r="D60" s="668">
        <v>0</v>
      </c>
      <c r="E60" s="669">
        <v>1</v>
      </c>
      <c r="F60" s="667">
        <v>8</v>
      </c>
      <c r="G60" s="668">
        <v>1.333333333333</v>
      </c>
      <c r="H60" s="670">
        <v>0</v>
      </c>
      <c r="I60" s="667">
        <v>0</v>
      </c>
      <c r="J60" s="668">
        <v>-1.333333333333</v>
      </c>
      <c r="K60" s="671">
        <v>0</v>
      </c>
    </row>
    <row r="61" spans="1:11" ht="14.4" customHeight="1" thickBot="1" x14ac:dyDescent="0.35">
      <c r="A61" s="689" t="s">
        <v>412</v>
      </c>
      <c r="B61" s="667">
        <v>0</v>
      </c>
      <c r="C61" s="667">
        <v>18.821619999999999</v>
      </c>
      <c r="D61" s="668">
        <v>18.821619999999999</v>
      </c>
      <c r="E61" s="677" t="s">
        <v>354</v>
      </c>
      <c r="F61" s="667">
        <v>20</v>
      </c>
      <c r="G61" s="668">
        <v>3.333333333333</v>
      </c>
      <c r="H61" s="670">
        <v>1.0793200000000001</v>
      </c>
      <c r="I61" s="667">
        <v>2.01586</v>
      </c>
      <c r="J61" s="668">
        <v>-1.317473333333</v>
      </c>
      <c r="K61" s="671">
        <v>0.10079299999999999</v>
      </c>
    </row>
    <row r="62" spans="1:11" ht="14.4" customHeight="1" thickBot="1" x14ac:dyDescent="0.35">
      <c r="A62" s="689" t="s">
        <v>413</v>
      </c>
      <c r="B62" s="667">
        <v>3.2916688990799998</v>
      </c>
      <c r="C62" s="667">
        <v>2.7587999999999999</v>
      </c>
      <c r="D62" s="668">
        <v>-0.53286889908000001</v>
      </c>
      <c r="E62" s="669">
        <v>0.83811588728399999</v>
      </c>
      <c r="F62" s="667">
        <v>0</v>
      </c>
      <c r="G62" s="668">
        <v>0</v>
      </c>
      <c r="H62" s="670">
        <v>0</v>
      </c>
      <c r="I62" s="667">
        <v>0</v>
      </c>
      <c r="J62" s="668">
        <v>0</v>
      </c>
      <c r="K62" s="678" t="s">
        <v>354</v>
      </c>
    </row>
    <row r="63" spans="1:11" ht="14.4" customHeight="1" thickBot="1" x14ac:dyDescent="0.35">
      <c r="A63" s="689" t="s">
        <v>414</v>
      </c>
      <c r="B63" s="667">
        <v>0.29016674298900003</v>
      </c>
      <c r="C63" s="667">
        <v>0.53541000000000005</v>
      </c>
      <c r="D63" s="668">
        <v>0.24524325700999999</v>
      </c>
      <c r="E63" s="669">
        <v>1.8451804451630001</v>
      </c>
      <c r="F63" s="667">
        <v>0</v>
      </c>
      <c r="G63" s="668">
        <v>0</v>
      </c>
      <c r="H63" s="670">
        <v>0</v>
      </c>
      <c r="I63" s="667">
        <v>0</v>
      </c>
      <c r="J63" s="668">
        <v>0</v>
      </c>
      <c r="K63" s="678" t="s">
        <v>354</v>
      </c>
    </row>
    <row r="64" spans="1:11" ht="14.4" customHeight="1" thickBot="1" x14ac:dyDescent="0.35">
      <c r="A64" s="689" t="s">
        <v>415</v>
      </c>
      <c r="B64" s="667">
        <v>5.0301663883780003</v>
      </c>
      <c r="C64" s="667">
        <v>5.0356500000000004</v>
      </c>
      <c r="D64" s="668">
        <v>5.4836116209999999E-3</v>
      </c>
      <c r="E64" s="669">
        <v>1.0010901451750001</v>
      </c>
      <c r="F64" s="667">
        <v>5</v>
      </c>
      <c r="G64" s="668">
        <v>0.83333333333299997</v>
      </c>
      <c r="H64" s="670">
        <v>0.1089</v>
      </c>
      <c r="I64" s="667">
        <v>0.1089</v>
      </c>
      <c r="J64" s="668">
        <v>-0.72443333333299997</v>
      </c>
      <c r="K64" s="671">
        <v>2.1780000000000001E-2</v>
      </c>
    </row>
    <row r="65" spans="1:11" ht="14.4" customHeight="1" thickBot="1" x14ac:dyDescent="0.35">
      <c r="A65" s="689" t="s">
        <v>416</v>
      </c>
      <c r="B65" s="667">
        <v>2.232298261695</v>
      </c>
      <c r="C65" s="667">
        <v>1.9334100000000001</v>
      </c>
      <c r="D65" s="668">
        <v>-0.29888826169499999</v>
      </c>
      <c r="E65" s="669">
        <v>0.86610738053000003</v>
      </c>
      <c r="F65" s="667">
        <v>2</v>
      </c>
      <c r="G65" s="668">
        <v>0.33333333333300003</v>
      </c>
      <c r="H65" s="670">
        <v>0</v>
      </c>
      <c r="I65" s="667">
        <v>0</v>
      </c>
      <c r="J65" s="668">
        <v>-0.33333333333300003</v>
      </c>
      <c r="K65" s="671">
        <v>0</v>
      </c>
    </row>
    <row r="66" spans="1:11" ht="14.4" customHeight="1" thickBot="1" x14ac:dyDescent="0.35">
      <c r="A66" s="689" t="s">
        <v>417</v>
      </c>
      <c r="B66" s="667">
        <v>70.000006319563994</v>
      </c>
      <c r="C66" s="667">
        <v>71.084059999999994</v>
      </c>
      <c r="D66" s="668">
        <v>1.0840536804350001</v>
      </c>
      <c r="E66" s="669">
        <v>1.0154864797500001</v>
      </c>
      <c r="F66" s="667">
        <v>70</v>
      </c>
      <c r="G66" s="668">
        <v>11.666666666666</v>
      </c>
      <c r="H66" s="670">
        <v>5.0519800000000004</v>
      </c>
      <c r="I66" s="667">
        <v>10.313750000000001</v>
      </c>
      <c r="J66" s="668">
        <v>-1.352916666666</v>
      </c>
      <c r="K66" s="671">
        <v>0.14733928571400001</v>
      </c>
    </row>
    <row r="67" spans="1:11" ht="14.4" customHeight="1" thickBot="1" x14ac:dyDescent="0.35">
      <c r="A67" s="687" t="s">
        <v>42</v>
      </c>
      <c r="B67" s="667">
        <v>1185.2366557923999</v>
      </c>
      <c r="C67" s="667">
        <v>1155.3599999999999</v>
      </c>
      <c r="D67" s="668">
        <v>-29.876655792396001</v>
      </c>
      <c r="E67" s="669">
        <v>0.97479266638700002</v>
      </c>
      <c r="F67" s="667">
        <v>1176.8171568227001</v>
      </c>
      <c r="G67" s="668">
        <v>196.13619280378299</v>
      </c>
      <c r="H67" s="670">
        <v>114.63500000000001</v>
      </c>
      <c r="I67" s="667">
        <v>255.71</v>
      </c>
      <c r="J67" s="668">
        <v>59.573807196216997</v>
      </c>
      <c r="K67" s="671">
        <v>0.21728949014500001</v>
      </c>
    </row>
    <row r="68" spans="1:11" ht="14.4" customHeight="1" thickBot="1" x14ac:dyDescent="0.35">
      <c r="A68" s="688" t="s">
        <v>418</v>
      </c>
      <c r="B68" s="672">
        <v>1185.2366557923999</v>
      </c>
      <c r="C68" s="672">
        <v>1155.3599999999999</v>
      </c>
      <c r="D68" s="673">
        <v>-29.876655792396001</v>
      </c>
      <c r="E68" s="679">
        <v>0.97479266638700002</v>
      </c>
      <c r="F68" s="672">
        <v>1176.8171568227001</v>
      </c>
      <c r="G68" s="673">
        <v>196.13619280378299</v>
      </c>
      <c r="H68" s="675">
        <v>114.63500000000001</v>
      </c>
      <c r="I68" s="672">
        <v>255.71</v>
      </c>
      <c r="J68" s="673">
        <v>59.573807196216997</v>
      </c>
      <c r="K68" s="680">
        <v>0.21728949014500001</v>
      </c>
    </row>
    <row r="69" spans="1:11" ht="14.4" customHeight="1" thickBot="1" x14ac:dyDescent="0.35">
      <c r="A69" s="689" t="s">
        <v>419</v>
      </c>
      <c r="B69" s="667">
        <v>554.06328772935501</v>
      </c>
      <c r="C69" s="667">
        <v>499.47300000000001</v>
      </c>
      <c r="D69" s="668">
        <v>-54.590287729354003</v>
      </c>
      <c r="E69" s="669">
        <v>0.90147283002</v>
      </c>
      <c r="F69" s="667">
        <v>514.99999999999795</v>
      </c>
      <c r="G69" s="668">
        <v>85.833333333333002</v>
      </c>
      <c r="H69" s="670">
        <v>41.246000000000002</v>
      </c>
      <c r="I69" s="667">
        <v>85.194000000000003</v>
      </c>
      <c r="J69" s="668">
        <v>-0.63933333333200004</v>
      </c>
      <c r="K69" s="671">
        <v>0.16542524271799999</v>
      </c>
    </row>
    <row r="70" spans="1:11" ht="14.4" customHeight="1" thickBot="1" x14ac:dyDescent="0.35">
      <c r="A70" s="689" t="s">
        <v>420</v>
      </c>
      <c r="B70" s="667">
        <v>135.689424544129</v>
      </c>
      <c r="C70" s="667">
        <v>141.50299999999999</v>
      </c>
      <c r="D70" s="668">
        <v>5.8135754558709998</v>
      </c>
      <c r="E70" s="669">
        <v>1.0428447204</v>
      </c>
      <c r="F70" s="667">
        <v>152.81715682270001</v>
      </c>
      <c r="G70" s="668">
        <v>25.469526137115999</v>
      </c>
      <c r="H70" s="670">
        <v>11.664999999999999</v>
      </c>
      <c r="I70" s="667">
        <v>26.681999999999999</v>
      </c>
      <c r="J70" s="668">
        <v>1.2124738628830001</v>
      </c>
      <c r="K70" s="671">
        <v>0.17460081416699999</v>
      </c>
    </row>
    <row r="71" spans="1:11" ht="14.4" customHeight="1" thickBot="1" x14ac:dyDescent="0.35">
      <c r="A71" s="689" t="s">
        <v>421</v>
      </c>
      <c r="B71" s="667">
        <v>495.48394351891397</v>
      </c>
      <c r="C71" s="667">
        <v>514.38400000000001</v>
      </c>
      <c r="D71" s="668">
        <v>18.900056481086001</v>
      </c>
      <c r="E71" s="669">
        <v>1.0381446396559999</v>
      </c>
      <c r="F71" s="667">
        <v>508.99999999999801</v>
      </c>
      <c r="G71" s="668">
        <v>84.833333333333002</v>
      </c>
      <c r="H71" s="670">
        <v>61.723999999999997</v>
      </c>
      <c r="I71" s="667">
        <v>143.834</v>
      </c>
      <c r="J71" s="668">
        <v>59.000666666667001</v>
      </c>
      <c r="K71" s="671">
        <v>0.28258153241599998</v>
      </c>
    </row>
    <row r="72" spans="1:11" ht="14.4" customHeight="1" thickBot="1" x14ac:dyDescent="0.35">
      <c r="A72" s="690" t="s">
        <v>422</v>
      </c>
      <c r="B72" s="672">
        <v>1287.43637044403</v>
      </c>
      <c r="C72" s="672">
        <v>1448.40633</v>
      </c>
      <c r="D72" s="673">
        <v>160.96995955597001</v>
      </c>
      <c r="E72" s="679">
        <v>1.125031390483</v>
      </c>
      <c r="F72" s="672">
        <v>1274.55199603193</v>
      </c>
      <c r="G72" s="673">
        <v>212.425332671988</v>
      </c>
      <c r="H72" s="675">
        <v>87.691079999999999</v>
      </c>
      <c r="I72" s="672">
        <v>221.60168999999999</v>
      </c>
      <c r="J72" s="673">
        <v>9.1763573280119992</v>
      </c>
      <c r="K72" s="680">
        <v>0.17386633945800001</v>
      </c>
    </row>
    <row r="73" spans="1:11" ht="14.4" customHeight="1" thickBot="1" x14ac:dyDescent="0.35">
      <c r="A73" s="687" t="s">
        <v>45</v>
      </c>
      <c r="B73" s="667">
        <v>145.13212573355401</v>
      </c>
      <c r="C73" s="667">
        <v>296.56574999999998</v>
      </c>
      <c r="D73" s="668">
        <v>151.433624266446</v>
      </c>
      <c r="E73" s="669">
        <v>2.0434190466170001</v>
      </c>
      <c r="F73" s="667">
        <v>239.48257323262001</v>
      </c>
      <c r="G73" s="668">
        <v>39.913762205436001</v>
      </c>
      <c r="H73" s="670">
        <v>21.706800000000001</v>
      </c>
      <c r="I73" s="667">
        <v>46.56183</v>
      </c>
      <c r="J73" s="668">
        <v>6.6480677945629996</v>
      </c>
      <c r="K73" s="671">
        <v>0.19442679845700001</v>
      </c>
    </row>
    <row r="74" spans="1:11" ht="14.4" customHeight="1" thickBot="1" x14ac:dyDescent="0.35">
      <c r="A74" s="691" t="s">
        <v>423</v>
      </c>
      <c r="B74" s="667">
        <v>145.13212573355401</v>
      </c>
      <c r="C74" s="667">
        <v>296.56574999999998</v>
      </c>
      <c r="D74" s="668">
        <v>151.433624266446</v>
      </c>
      <c r="E74" s="669">
        <v>2.0434190466170001</v>
      </c>
      <c r="F74" s="667">
        <v>239.48257323262001</v>
      </c>
      <c r="G74" s="668">
        <v>39.913762205436001</v>
      </c>
      <c r="H74" s="670">
        <v>21.706800000000001</v>
      </c>
      <c r="I74" s="667">
        <v>46.56183</v>
      </c>
      <c r="J74" s="668">
        <v>6.6480677945629996</v>
      </c>
      <c r="K74" s="671">
        <v>0.19442679845700001</v>
      </c>
    </row>
    <row r="75" spans="1:11" ht="14.4" customHeight="1" thickBot="1" x14ac:dyDescent="0.35">
      <c r="A75" s="689" t="s">
        <v>424</v>
      </c>
      <c r="B75" s="667">
        <v>59.684519805324001</v>
      </c>
      <c r="C75" s="667">
        <v>120.68349000000001</v>
      </c>
      <c r="D75" s="668">
        <v>60.998970194675003</v>
      </c>
      <c r="E75" s="669">
        <v>2.0220233050980001</v>
      </c>
      <c r="F75" s="667">
        <v>122.821090840206</v>
      </c>
      <c r="G75" s="668">
        <v>20.470181806701</v>
      </c>
      <c r="H75" s="670">
        <v>12.680999999999999</v>
      </c>
      <c r="I75" s="667">
        <v>24.527999999999999</v>
      </c>
      <c r="J75" s="668">
        <v>4.0578181932990001</v>
      </c>
      <c r="K75" s="671">
        <v>0.19970511442399999</v>
      </c>
    </row>
    <row r="76" spans="1:11" ht="14.4" customHeight="1" thickBot="1" x14ac:dyDescent="0.35">
      <c r="A76" s="689" t="s">
        <v>425</v>
      </c>
      <c r="B76" s="667">
        <v>2.9869120529100002</v>
      </c>
      <c r="C76" s="667">
        <v>0</v>
      </c>
      <c r="D76" s="668">
        <v>-2.9869120529100002</v>
      </c>
      <c r="E76" s="669">
        <v>0</v>
      </c>
      <c r="F76" s="667">
        <v>0</v>
      </c>
      <c r="G76" s="668">
        <v>0</v>
      </c>
      <c r="H76" s="670">
        <v>0</v>
      </c>
      <c r="I76" s="667">
        <v>0</v>
      </c>
      <c r="J76" s="668">
        <v>0</v>
      </c>
      <c r="K76" s="671">
        <v>2</v>
      </c>
    </row>
    <row r="77" spans="1:11" ht="14.4" customHeight="1" thickBot="1" x14ac:dyDescent="0.35">
      <c r="A77" s="689" t="s">
        <v>426</v>
      </c>
      <c r="B77" s="667">
        <v>31.657497598088</v>
      </c>
      <c r="C77" s="667">
        <v>6.1847200000000004</v>
      </c>
      <c r="D77" s="668">
        <v>-25.472777598088001</v>
      </c>
      <c r="E77" s="669">
        <v>0.19536351478299999</v>
      </c>
      <c r="F77" s="667">
        <v>7.1441870280520003</v>
      </c>
      <c r="G77" s="668">
        <v>1.190697838008</v>
      </c>
      <c r="H77" s="670">
        <v>7.1791400000000003</v>
      </c>
      <c r="I77" s="667">
        <v>14.894579999999999</v>
      </c>
      <c r="J77" s="668">
        <v>13.703882161991</v>
      </c>
      <c r="K77" s="671">
        <v>2.0848530338739999</v>
      </c>
    </row>
    <row r="78" spans="1:11" ht="14.4" customHeight="1" thickBot="1" x14ac:dyDescent="0.35">
      <c r="A78" s="689" t="s">
        <v>427</v>
      </c>
      <c r="B78" s="667">
        <v>17.802820453778999</v>
      </c>
      <c r="C78" s="667">
        <v>120.85637</v>
      </c>
      <c r="D78" s="668">
        <v>103.05354954622101</v>
      </c>
      <c r="E78" s="669">
        <v>6.7886080362249999</v>
      </c>
      <c r="F78" s="667">
        <v>58.517295364360997</v>
      </c>
      <c r="G78" s="668">
        <v>9.7528825607260003</v>
      </c>
      <c r="H78" s="670">
        <v>0.59289999999999998</v>
      </c>
      <c r="I78" s="667">
        <v>0.59289999999999998</v>
      </c>
      <c r="J78" s="668">
        <v>-9.1599825607260001</v>
      </c>
      <c r="K78" s="671">
        <v>1.0132047223E-2</v>
      </c>
    </row>
    <row r="79" spans="1:11" ht="14.4" customHeight="1" thickBot="1" x14ac:dyDescent="0.35">
      <c r="A79" s="689" t="s">
        <v>428</v>
      </c>
      <c r="B79" s="667">
        <v>33.000375823451002</v>
      </c>
      <c r="C79" s="667">
        <v>38.822369999999999</v>
      </c>
      <c r="D79" s="668">
        <v>5.8219941765480003</v>
      </c>
      <c r="E79" s="669">
        <v>1.1764220567570001</v>
      </c>
      <c r="F79" s="667">
        <v>35.999999999998998</v>
      </c>
      <c r="G79" s="668">
        <v>5.9999999999989999</v>
      </c>
      <c r="H79" s="670">
        <v>1.25376</v>
      </c>
      <c r="I79" s="667">
        <v>6.5463500000000003</v>
      </c>
      <c r="J79" s="668">
        <v>0.54635</v>
      </c>
      <c r="K79" s="671">
        <v>0.18184305555499999</v>
      </c>
    </row>
    <row r="80" spans="1:11" ht="14.4" customHeight="1" thickBot="1" x14ac:dyDescent="0.35">
      <c r="A80" s="689" t="s">
        <v>429</v>
      </c>
      <c r="B80" s="667">
        <v>0</v>
      </c>
      <c r="C80" s="667">
        <v>10.018800000000001</v>
      </c>
      <c r="D80" s="668">
        <v>10.018800000000001</v>
      </c>
      <c r="E80" s="677" t="s">
        <v>399</v>
      </c>
      <c r="F80" s="667">
        <v>15</v>
      </c>
      <c r="G80" s="668">
        <v>2.5</v>
      </c>
      <c r="H80" s="670">
        <v>0</v>
      </c>
      <c r="I80" s="667">
        <v>0</v>
      </c>
      <c r="J80" s="668">
        <v>-2.5</v>
      </c>
      <c r="K80" s="671">
        <v>0</v>
      </c>
    </row>
    <row r="81" spans="1:11" ht="14.4" customHeight="1" thickBot="1" x14ac:dyDescent="0.35">
      <c r="A81" s="692" t="s">
        <v>46</v>
      </c>
      <c r="B81" s="672">
        <v>0</v>
      </c>
      <c r="C81" s="672">
        <v>109.24299999999999</v>
      </c>
      <c r="D81" s="673">
        <v>109.24299999999999</v>
      </c>
      <c r="E81" s="674" t="s">
        <v>354</v>
      </c>
      <c r="F81" s="672">
        <v>0</v>
      </c>
      <c r="G81" s="673">
        <v>0</v>
      </c>
      <c r="H81" s="675">
        <v>0</v>
      </c>
      <c r="I81" s="672">
        <v>0</v>
      </c>
      <c r="J81" s="673">
        <v>0</v>
      </c>
      <c r="K81" s="676" t="s">
        <v>354</v>
      </c>
    </row>
    <row r="82" spans="1:11" ht="14.4" customHeight="1" thickBot="1" x14ac:dyDescent="0.35">
      <c r="A82" s="688" t="s">
        <v>430</v>
      </c>
      <c r="B82" s="672">
        <v>0</v>
      </c>
      <c r="C82" s="672">
        <v>1.3939999999999999</v>
      </c>
      <c r="D82" s="673">
        <v>1.3939999999999999</v>
      </c>
      <c r="E82" s="674" t="s">
        <v>354</v>
      </c>
      <c r="F82" s="672">
        <v>0</v>
      </c>
      <c r="G82" s="673">
        <v>0</v>
      </c>
      <c r="H82" s="675">
        <v>0</v>
      </c>
      <c r="I82" s="672">
        <v>0</v>
      </c>
      <c r="J82" s="673">
        <v>0</v>
      </c>
      <c r="K82" s="676" t="s">
        <v>354</v>
      </c>
    </row>
    <row r="83" spans="1:11" ht="14.4" customHeight="1" thickBot="1" x14ac:dyDescent="0.35">
      <c r="A83" s="689" t="s">
        <v>431</v>
      </c>
      <c r="B83" s="667">
        <v>0</v>
      </c>
      <c r="C83" s="667">
        <v>1.3939999999999999</v>
      </c>
      <c r="D83" s="668">
        <v>1.3939999999999999</v>
      </c>
      <c r="E83" s="677" t="s">
        <v>354</v>
      </c>
      <c r="F83" s="667">
        <v>0</v>
      </c>
      <c r="G83" s="668">
        <v>0</v>
      </c>
      <c r="H83" s="670">
        <v>0</v>
      </c>
      <c r="I83" s="667">
        <v>0</v>
      </c>
      <c r="J83" s="668">
        <v>0</v>
      </c>
      <c r="K83" s="678" t="s">
        <v>354</v>
      </c>
    </row>
    <row r="84" spans="1:11" ht="14.4" customHeight="1" thickBot="1" x14ac:dyDescent="0.35">
      <c r="A84" s="688" t="s">
        <v>432</v>
      </c>
      <c r="B84" s="672">
        <v>0</v>
      </c>
      <c r="C84" s="672">
        <v>107.849</v>
      </c>
      <c r="D84" s="673">
        <v>107.849</v>
      </c>
      <c r="E84" s="674" t="s">
        <v>354</v>
      </c>
      <c r="F84" s="672">
        <v>0</v>
      </c>
      <c r="G84" s="673">
        <v>0</v>
      </c>
      <c r="H84" s="675">
        <v>0</v>
      </c>
      <c r="I84" s="672">
        <v>0</v>
      </c>
      <c r="J84" s="673">
        <v>0</v>
      </c>
      <c r="K84" s="676" t="s">
        <v>354</v>
      </c>
    </row>
    <row r="85" spans="1:11" ht="14.4" customHeight="1" thickBot="1" x14ac:dyDescent="0.35">
      <c r="A85" s="689" t="s">
        <v>433</v>
      </c>
      <c r="B85" s="667">
        <v>0</v>
      </c>
      <c r="C85" s="667">
        <v>107.849</v>
      </c>
      <c r="D85" s="668">
        <v>107.849</v>
      </c>
      <c r="E85" s="677" t="s">
        <v>354</v>
      </c>
      <c r="F85" s="667">
        <v>0</v>
      </c>
      <c r="G85" s="668">
        <v>0</v>
      </c>
      <c r="H85" s="670">
        <v>0</v>
      </c>
      <c r="I85" s="667">
        <v>0</v>
      </c>
      <c r="J85" s="668">
        <v>0</v>
      </c>
      <c r="K85" s="678" t="s">
        <v>354</v>
      </c>
    </row>
    <row r="86" spans="1:11" ht="14.4" customHeight="1" thickBot="1" x14ac:dyDescent="0.35">
      <c r="A86" s="687" t="s">
        <v>47</v>
      </c>
      <c r="B86" s="667">
        <v>1142.3042447104799</v>
      </c>
      <c r="C86" s="667">
        <v>1042.5975800000001</v>
      </c>
      <c r="D86" s="668">
        <v>-99.706664710474996</v>
      </c>
      <c r="E86" s="669">
        <v>0.91271444085700004</v>
      </c>
      <c r="F86" s="667">
        <v>1035.0694227993099</v>
      </c>
      <c r="G86" s="668">
        <v>172.51157046655101</v>
      </c>
      <c r="H86" s="670">
        <v>65.984279999999998</v>
      </c>
      <c r="I86" s="667">
        <v>175.03986</v>
      </c>
      <c r="J86" s="668">
        <v>2.528289533448</v>
      </c>
      <c r="K86" s="671">
        <v>0.169109294646</v>
      </c>
    </row>
    <row r="87" spans="1:11" ht="14.4" customHeight="1" thickBot="1" x14ac:dyDescent="0.35">
      <c r="A87" s="688" t="s">
        <v>434</v>
      </c>
      <c r="B87" s="672">
        <v>0.37514088751300001</v>
      </c>
      <c r="C87" s="672">
        <v>0</v>
      </c>
      <c r="D87" s="673">
        <v>-0.37514088751300001</v>
      </c>
      <c r="E87" s="679">
        <v>0</v>
      </c>
      <c r="F87" s="672">
        <v>0</v>
      </c>
      <c r="G87" s="673">
        <v>0</v>
      </c>
      <c r="H87" s="675">
        <v>0</v>
      </c>
      <c r="I87" s="672">
        <v>0.39200000000000002</v>
      </c>
      <c r="J87" s="673">
        <v>0.39200000000000002</v>
      </c>
      <c r="K87" s="676" t="s">
        <v>399</v>
      </c>
    </row>
    <row r="88" spans="1:11" ht="14.4" customHeight="1" thickBot="1" x14ac:dyDescent="0.35">
      <c r="A88" s="689" t="s">
        <v>435</v>
      </c>
      <c r="B88" s="667">
        <v>0.37514088751300001</v>
      </c>
      <c r="C88" s="667">
        <v>0</v>
      </c>
      <c r="D88" s="668">
        <v>-0.37514088751300001</v>
      </c>
      <c r="E88" s="669">
        <v>0</v>
      </c>
      <c r="F88" s="667">
        <v>0</v>
      </c>
      <c r="G88" s="668">
        <v>0</v>
      </c>
      <c r="H88" s="670">
        <v>0</v>
      </c>
      <c r="I88" s="667">
        <v>0.39200000000000002</v>
      </c>
      <c r="J88" s="668">
        <v>0.39200000000000002</v>
      </c>
      <c r="K88" s="678" t="s">
        <v>399</v>
      </c>
    </row>
    <row r="89" spans="1:11" ht="14.4" customHeight="1" thickBot="1" x14ac:dyDescent="0.35">
      <c r="A89" s="688" t="s">
        <v>436</v>
      </c>
      <c r="B89" s="672">
        <v>22.996817092720001</v>
      </c>
      <c r="C89" s="672">
        <v>31.8095</v>
      </c>
      <c r="D89" s="673">
        <v>8.8126829072789992</v>
      </c>
      <c r="E89" s="679">
        <v>1.383213158227</v>
      </c>
      <c r="F89" s="672">
        <v>29.381647603617001</v>
      </c>
      <c r="G89" s="673">
        <v>4.8969412672689998</v>
      </c>
      <c r="H89" s="675">
        <v>1.81392</v>
      </c>
      <c r="I89" s="672">
        <v>3.5613299999999999</v>
      </c>
      <c r="J89" s="673">
        <v>-1.3356112672689999</v>
      </c>
      <c r="K89" s="680">
        <v>0.121209336115</v>
      </c>
    </row>
    <row r="90" spans="1:11" ht="14.4" customHeight="1" thickBot="1" x14ac:dyDescent="0.35">
      <c r="A90" s="689" t="s">
        <v>437</v>
      </c>
      <c r="B90" s="667">
        <v>8.3251850025409997</v>
      </c>
      <c r="C90" s="667">
        <v>17.639099999999999</v>
      </c>
      <c r="D90" s="668">
        <v>9.3139149974579993</v>
      </c>
      <c r="E90" s="669">
        <v>2.1187637265250001</v>
      </c>
      <c r="F90" s="667">
        <v>13.917871235367</v>
      </c>
      <c r="G90" s="668">
        <v>2.319645205894</v>
      </c>
      <c r="H90" s="670">
        <v>0.73619999999999997</v>
      </c>
      <c r="I90" s="667">
        <v>1.6306</v>
      </c>
      <c r="J90" s="668">
        <v>-0.68904520589399998</v>
      </c>
      <c r="K90" s="671">
        <v>0.117158721504</v>
      </c>
    </row>
    <row r="91" spans="1:11" ht="14.4" customHeight="1" thickBot="1" x14ac:dyDescent="0.35">
      <c r="A91" s="689" t="s">
        <v>438</v>
      </c>
      <c r="B91" s="667">
        <v>14.671632090178999</v>
      </c>
      <c r="C91" s="667">
        <v>14.170400000000001</v>
      </c>
      <c r="D91" s="668">
        <v>-0.50123209017899994</v>
      </c>
      <c r="E91" s="669">
        <v>0.96583665081699999</v>
      </c>
      <c r="F91" s="667">
        <v>15.46377636825</v>
      </c>
      <c r="G91" s="668">
        <v>2.5772960613749998</v>
      </c>
      <c r="H91" s="670">
        <v>1.07772</v>
      </c>
      <c r="I91" s="667">
        <v>1.9307300000000001</v>
      </c>
      <c r="J91" s="668">
        <v>-0.64656606137499995</v>
      </c>
      <c r="K91" s="671">
        <v>0.12485501303300001</v>
      </c>
    </row>
    <row r="92" spans="1:11" ht="14.4" customHeight="1" thickBot="1" x14ac:dyDescent="0.35">
      <c r="A92" s="688" t="s">
        <v>439</v>
      </c>
      <c r="B92" s="672">
        <v>62.124270213667998</v>
      </c>
      <c r="C92" s="672">
        <v>60.926000000000002</v>
      </c>
      <c r="D92" s="673">
        <v>-1.1982702136679999</v>
      </c>
      <c r="E92" s="679">
        <v>0.98071172168999998</v>
      </c>
      <c r="F92" s="672">
        <v>65</v>
      </c>
      <c r="G92" s="673">
        <v>10.833333333333</v>
      </c>
      <c r="H92" s="675">
        <v>0</v>
      </c>
      <c r="I92" s="672">
        <v>36.056669999999997</v>
      </c>
      <c r="J92" s="673">
        <v>25.223336666666</v>
      </c>
      <c r="K92" s="680">
        <v>0.55471799999899996</v>
      </c>
    </row>
    <row r="93" spans="1:11" ht="14.4" customHeight="1" thickBot="1" x14ac:dyDescent="0.35">
      <c r="A93" s="689" t="s">
        <v>440</v>
      </c>
      <c r="B93" s="667">
        <v>24.999960211611999</v>
      </c>
      <c r="C93" s="667">
        <v>25.11</v>
      </c>
      <c r="D93" s="668">
        <v>0.110039788387</v>
      </c>
      <c r="E93" s="669">
        <v>1.0044015985400001</v>
      </c>
      <c r="F93" s="667">
        <v>24</v>
      </c>
      <c r="G93" s="668">
        <v>4</v>
      </c>
      <c r="H93" s="670">
        <v>0</v>
      </c>
      <c r="I93" s="667">
        <v>6.21</v>
      </c>
      <c r="J93" s="668">
        <v>2.2099999999989999</v>
      </c>
      <c r="K93" s="671">
        <v>0.25874999999999998</v>
      </c>
    </row>
    <row r="94" spans="1:11" ht="14.4" customHeight="1" thickBot="1" x14ac:dyDescent="0.35">
      <c r="A94" s="689" t="s">
        <v>441</v>
      </c>
      <c r="B94" s="667">
        <v>37.124310002055999</v>
      </c>
      <c r="C94" s="667">
        <v>35.816000000000003</v>
      </c>
      <c r="D94" s="668">
        <v>-1.3083100020559999</v>
      </c>
      <c r="E94" s="669">
        <v>0.96475867155499995</v>
      </c>
      <c r="F94" s="667">
        <v>41</v>
      </c>
      <c r="G94" s="668">
        <v>6.833333333333</v>
      </c>
      <c r="H94" s="670">
        <v>0</v>
      </c>
      <c r="I94" s="667">
        <v>29.84667</v>
      </c>
      <c r="J94" s="668">
        <v>23.013336666666</v>
      </c>
      <c r="K94" s="671">
        <v>0.72796756097500004</v>
      </c>
    </row>
    <row r="95" spans="1:11" ht="14.4" customHeight="1" thickBot="1" x14ac:dyDescent="0.35">
      <c r="A95" s="688" t="s">
        <v>442</v>
      </c>
      <c r="B95" s="672">
        <v>2.2186878703709998</v>
      </c>
      <c r="C95" s="672">
        <v>0</v>
      </c>
      <c r="D95" s="673">
        <v>-2.2186878703709998</v>
      </c>
      <c r="E95" s="679">
        <v>0</v>
      </c>
      <c r="F95" s="672">
        <v>0</v>
      </c>
      <c r="G95" s="673">
        <v>0</v>
      </c>
      <c r="H95" s="675">
        <v>0</v>
      </c>
      <c r="I95" s="672">
        <v>0</v>
      </c>
      <c r="J95" s="673">
        <v>0</v>
      </c>
      <c r="K95" s="680">
        <v>2</v>
      </c>
    </row>
    <row r="96" spans="1:11" ht="14.4" customHeight="1" thickBot="1" x14ac:dyDescent="0.35">
      <c r="A96" s="689" t="s">
        <v>443</v>
      </c>
      <c r="B96" s="667">
        <v>2.2186878703709998</v>
      </c>
      <c r="C96" s="667">
        <v>0</v>
      </c>
      <c r="D96" s="668">
        <v>-2.2186878703709998</v>
      </c>
      <c r="E96" s="669">
        <v>0</v>
      </c>
      <c r="F96" s="667">
        <v>0</v>
      </c>
      <c r="G96" s="668">
        <v>0</v>
      </c>
      <c r="H96" s="670">
        <v>0</v>
      </c>
      <c r="I96" s="667">
        <v>0</v>
      </c>
      <c r="J96" s="668">
        <v>0</v>
      </c>
      <c r="K96" s="671">
        <v>2</v>
      </c>
    </row>
    <row r="97" spans="1:11" ht="14.4" customHeight="1" thickBot="1" x14ac:dyDescent="0.35">
      <c r="A97" s="688" t="s">
        <v>444</v>
      </c>
      <c r="B97" s="672">
        <v>737.02712321731099</v>
      </c>
      <c r="C97" s="672">
        <v>726.24631999999997</v>
      </c>
      <c r="D97" s="673">
        <v>-10.78080321731</v>
      </c>
      <c r="E97" s="679">
        <v>0.98537258280200002</v>
      </c>
      <c r="F97" s="672">
        <v>790.20367749777802</v>
      </c>
      <c r="G97" s="673">
        <v>131.700612916296</v>
      </c>
      <c r="H97" s="675">
        <v>59.445360000000001</v>
      </c>
      <c r="I97" s="672">
        <v>119.80768999999999</v>
      </c>
      <c r="J97" s="673">
        <v>-11.892922916296</v>
      </c>
      <c r="K97" s="680">
        <v>0.151616214163</v>
      </c>
    </row>
    <row r="98" spans="1:11" ht="14.4" customHeight="1" thickBot="1" x14ac:dyDescent="0.35">
      <c r="A98" s="689" t="s">
        <v>445</v>
      </c>
      <c r="B98" s="667">
        <v>555.85813035955505</v>
      </c>
      <c r="C98" s="667">
        <v>548.73591999999996</v>
      </c>
      <c r="D98" s="668">
        <v>-7.1222103595539998</v>
      </c>
      <c r="E98" s="669">
        <v>0.98718699975599999</v>
      </c>
      <c r="F98" s="667">
        <v>568</v>
      </c>
      <c r="G98" s="668">
        <v>94.666666666666003</v>
      </c>
      <c r="H98" s="670">
        <v>45.704740000000001</v>
      </c>
      <c r="I98" s="667">
        <v>91.409480000000002</v>
      </c>
      <c r="J98" s="668">
        <v>-3.2571866666660001</v>
      </c>
      <c r="K98" s="671">
        <v>0.160932183098</v>
      </c>
    </row>
    <row r="99" spans="1:11" ht="14.4" customHeight="1" thickBot="1" x14ac:dyDescent="0.35">
      <c r="A99" s="689" t="s">
        <v>446</v>
      </c>
      <c r="B99" s="667">
        <v>0</v>
      </c>
      <c r="C99" s="667">
        <v>4.0898000000000003</v>
      </c>
      <c r="D99" s="668">
        <v>4.0898000000000003</v>
      </c>
      <c r="E99" s="677" t="s">
        <v>399</v>
      </c>
      <c r="F99" s="667">
        <v>6</v>
      </c>
      <c r="G99" s="668">
        <v>1</v>
      </c>
      <c r="H99" s="670">
        <v>0</v>
      </c>
      <c r="I99" s="667">
        <v>0</v>
      </c>
      <c r="J99" s="668">
        <v>-1</v>
      </c>
      <c r="K99" s="671">
        <v>0</v>
      </c>
    </row>
    <row r="100" spans="1:11" ht="14.4" customHeight="1" thickBot="1" x14ac:dyDescent="0.35">
      <c r="A100" s="689" t="s">
        <v>447</v>
      </c>
      <c r="B100" s="667">
        <v>4.8092558087319999</v>
      </c>
      <c r="C100" s="667">
        <v>0</v>
      </c>
      <c r="D100" s="668">
        <v>-4.8092558087319999</v>
      </c>
      <c r="E100" s="669">
        <v>0</v>
      </c>
      <c r="F100" s="667">
        <v>0</v>
      </c>
      <c r="G100" s="668">
        <v>0</v>
      </c>
      <c r="H100" s="670">
        <v>0</v>
      </c>
      <c r="I100" s="667">
        <v>0</v>
      </c>
      <c r="J100" s="668">
        <v>0</v>
      </c>
      <c r="K100" s="671">
        <v>2</v>
      </c>
    </row>
    <row r="101" spans="1:11" ht="14.4" customHeight="1" thickBot="1" x14ac:dyDescent="0.35">
      <c r="A101" s="689" t="s">
        <v>448</v>
      </c>
      <c r="B101" s="667">
        <v>176.35973704902301</v>
      </c>
      <c r="C101" s="667">
        <v>173.42060000000001</v>
      </c>
      <c r="D101" s="668">
        <v>-2.9391370490219999</v>
      </c>
      <c r="E101" s="669">
        <v>0.98333442146000005</v>
      </c>
      <c r="F101" s="667">
        <v>216.20367749777799</v>
      </c>
      <c r="G101" s="668">
        <v>36.033946249628997</v>
      </c>
      <c r="H101" s="670">
        <v>13.74062</v>
      </c>
      <c r="I101" s="667">
        <v>28.398209999999999</v>
      </c>
      <c r="J101" s="668">
        <v>-7.6357362496289998</v>
      </c>
      <c r="K101" s="671">
        <v>0.13134933840400001</v>
      </c>
    </row>
    <row r="102" spans="1:11" ht="14.4" customHeight="1" thickBot="1" x14ac:dyDescent="0.35">
      <c r="A102" s="688" t="s">
        <v>449</v>
      </c>
      <c r="B102" s="672">
        <v>317.56220542889201</v>
      </c>
      <c r="C102" s="672">
        <v>210.06726</v>
      </c>
      <c r="D102" s="673">
        <v>-107.494945428891</v>
      </c>
      <c r="E102" s="679">
        <v>0.66149956263300003</v>
      </c>
      <c r="F102" s="672">
        <v>150.48409769791101</v>
      </c>
      <c r="G102" s="673">
        <v>25.080682949650999</v>
      </c>
      <c r="H102" s="675">
        <v>0</v>
      </c>
      <c r="I102" s="672">
        <v>4.8421700000000003</v>
      </c>
      <c r="J102" s="673">
        <v>-20.238512949651</v>
      </c>
      <c r="K102" s="680">
        <v>3.2177286995999997E-2</v>
      </c>
    </row>
    <row r="103" spans="1:11" ht="14.4" customHeight="1" thickBot="1" x14ac:dyDescent="0.35">
      <c r="A103" s="689" t="s">
        <v>450</v>
      </c>
      <c r="B103" s="667">
        <v>17.245400855048</v>
      </c>
      <c r="C103" s="667">
        <v>15.28755</v>
      </c>
      <c r="D103" s="668">
        <v>-1.957850855048</v>
      </c>
      <c r="E103" s="669">
        <v>0.88647113096899999</v>
      </c>
      <c r="F103" s="667">
        <v>0.29999999999900001</v>
      </c>
      <c r="G103" s="668">
        <v>4.9999999998999997E-2</v>
      </c>
      <c r="H103" s="670">
        <v>0</v>
      </c>
      <c r="I103" s="667">
        <v>0</v>
      </c>
      <c r="J103" s="668">
        <v>-4.9999999998999997E-2</v>
      </c>
      <c r="K103" s="671">
        <v>0</v>
      </c>
    </row>
    <row r="104" spans="1:11" ht="14.4" customHeight="1" thickBot="1" x14ac:dyDescent="0.35">
      <c r="A104" s="689" t="s">
        <v>451</v>
      </c>
      <c r="B104" s="667">
        <v>209.36645631778501</v>
      </c>
      <c r="C104" s="667">
        <v>137.54461000000001</v>
      </c>
      <c r="D104" s="668">
        <v>-71.821846317785003</v>
      </c>
      <c r="E104" s="669">
        <v>0.656956288123</v>
      </c>
      <c r="F104" s="667">
        <v>65.110605534721998</v>
      </c>
      <c r="G104" s="668">
        <v>10.85176758912</v>
      </c>
      <c r="H104" s="670">
        <v>0</v>
      </c>
      <c r="I104" s="667">
        <v>1.34</v>
      </c>
      <c r="J104" s="668">
        <v>-9.5117675891199998</v>
      </c>
      <c r="K104" s="671">
        <v>2.0580364580999998E-2</v>
      </c>
    </row>
    <row r="105" spans="1:11" ht="14.4" customHeight="1" thickBot="1" x14ac:dyDescent="0.35">
      <c r="A105" s="689" t="s">
        <v>452</v>
      </c>
      <c r="B105" s="667">
        <v>9.9999840846439998</v>
      </c>
      <c r="C105" s="667">
        <v>6.0640000000000001</v>
      </c>
      <c r="D105" s="668">
        <v>-3.9359840846440002</v>
      </c>
      <c r="E105" s="669">
        <v>0.60640096510800001</v>
      </c>
      <c r="F105" s="667">
        <v>8</v>
      </c>
      <c r="G105" s="668">
        <v>1.333333333333</v>
      </c>
      <c r="H105" s="670">
        <v>0</v>
      </c>
      <c r="I105" s="667">
        <v>0</v>
      </c>
      <c r="J105" s="668">
        <v>-1.333333333333</v>
      </c>
      <c r="K105" s="671">
        <v>0</v>
      </c>
    </row>
    <row r="106" spans="1:11" ht="14.4" customHeight="1" thickBot="1" x14ac:dyDescent="0.35">
      <c r="A106" s="689" t="s">
        <v>453</v>
      </c>
      <c r="B106" s="667">
        <v>4.6369536891139997</v>
      </c>
      <c r="C106" s="667">
        <v>2.7105000000000001</v>
      </c>
      <c r="D106" s="668">
        <v>-1.9264536891140001</v>
      </c>
      <c r="E106" s="669">
        <v>0.58454325441300004</v>
      </c>
      <c r="F106" s="667">
        <v>3.257052715006</v>
      </c>
      <c r="G106" s="668">
        <v>0.54284211916699998</v>
      </c>
      <c r="H106" s="670">
        <v>0</v>
      </c>
      <c r="I106" s="667">
        <v>0</v>
      </c>
      <c r="J106" s="668">
        <v>-0.54284211916699998</v>
      </c>
      <c r="K106" s="671">
        <v>0</v>
      </c>
    </row>
    <row r="107" spans="1:11" ht="14.4" customHeight="1" thickBot="1" x14ac:dyDescent="0.35">
      <c r="A107" s="689" t="s">
        <v>454</v>
      </c>
      <c r="B107" s="667">
        <v>76.313410482297002</v>
      </c>
      <c r="C107" s="667">
        <v>48.460599999999999</v>
      </c>
      <c r="D107" s="668">
        <v>-27.852810482296999</v>
      </c>
      <c r="E107" s="669">
        <v>0.63502076101299998</v>
      </c>
      <c r="F107" s="667">
        <v>73.816439448183004</v>
      </c>
      <c r="G107" s="668">
        <v>12.30273990803</v>
      </c>
      <c r="H107" s="670">
        <v>0</v>
      </c>
      <c r="I107" s="667">
        <v>3.50217</v>
      </c>
      <c r="J107" s="668">
        <v>-8.8005699080300008</v>
      </c>
      <c r="K107" s="671">
        <v>4.7444309508E-2</v>
      </c>
    </row>
    <row r="108" spans="1:11" ht="14.4" customHeight="1" thickBot="1" x14ac:dyDescent="0.35">
      <c r="A108" s="688" t="s">
        <v>455</v>
      </c>
      <c r="B108" s="672">
        <v>0</v>
      </c>
      <c r="C108" s="672">
        <v>5.7960000000000003</v>
      </c>
      <c r="D108" s="673">
        <v>5.7960000000000003</v>
      </c>
      <c r="E108" s="674" t="s">
        <v>399</v>
      </c>
      <c r="F108" s="672">
        <v>0</v>
      </c>
      <c r="G108" s="673">
        <v>0</v>
      </c>
      <c r="H108" s="675">
        <v>4.7249999999999996</v>
      </c>
      <c r="I108" s="672">
        <v>10.38</v>
      </c>
      <c r="J108" s="673">
        <v>10.38</v>
      </c>
      <c r="K108" s="676" t="s">
        <v>354</v>
      </c>
    </row>
    <row r="109" spans="1:11" ht="14.4" customHeight="1" thickBot="1" x14ac:dyDescent="0.35">
      <c r="A109" s="689" t="s">
        <v>456</v>
      </c>
      <c r="B109" s="667">
        <v>0</v>
      </c>
      <c r="C109" s="667">
        <v>5.7960000000000003</v>
      </c>
      <c r="D109" s="668">
        <v>5.7960000000000003</v>
      </c>
      <c r="E109" s="677" t="s">
        <v>399</v>
      </c>
      <c r="F109" s="667">
        <v>0</v>
      </c>
      <c r="G109" s="668">
        <v>0</v>
      </c>
      <c r="H109" s="670">
        <v>4.7249999999999996</v>
      </c>
      <c r="I109" s="667">
        <v>10.38</v>
      </c>
      <c r="J109" s="668">
        <v>10.38</v>
      </c>
      <c r="K109" s="678" t="s">
        <v>354</v>
      </c>
    </row>
    <row r="110" spans="1:11" ht="14.4" customHeight="1" thickBot="1" x14ac:dyDescent="0.35">
      <c r="A110" s="688" t="s">
        <v>457</v>
      </c>
      <c r="B110" s="672">
        <v>0</v>
      </c>
      <c r="C110" s="672">
        <v>7.7524999999990003</v>
      </c>
      <c r="D110" s="673">
        <v>7.7524999999990003</v>
      </c>
      <c r="E110" s="674" t="s">
        <v>399</v>
      </c>
      <c r="F110" s="672">
        <v>0</v>
      </c>
      <c r="G110" s="673">
        <v>0</v>
      </c>
      <c r="H110" s="675">
        <v>0</v>
      </c>
      <c r="I110" s="672">
        <v>0</v>
      </c>
      <c r="J110" s="673">
        <v>0</v>
      </c>
      <c r="K110" s="676" t="s">
        <v>354</v>
      </c>
    </row>
    <row r="111" spans="1:11" ht="14.4" customHeight="1" thickBot="1" x14ac:dyDescent="0.35">
      <c r="A111" s="689" t="s">
        <v>458</v>
      </c>
      <c r="B111" s="667">
        <v>0</v>
      </c>
      <c r="C111" s="667">
        <v>7.7524999999990003</v>
      </c>
      <c r="D111" s="668">
        <v>7.7524999999990003</v>
      </c>
      <c r="E111" s="677" t="s">
        <v>399</v>
      </c>
      <c r="F111" s="667">
        <v>0</v>
      </c>
      <c r="G111" s="668">
        <v>0</v>
      </c>
      <c r="H111" s="670">
        <v>0</v>
      </c>
      <c r="I111" s="667">
        <v>0</v>
      </c>
      <c r="J111" s="668">
        <v>0</v>
      </c>
      <c r="K111" s="678" t="s">
        <v>354</v>
      </c>
    </row>
    <row r="112" spans="1:11" ht="14.4" customHeight="1" thickBot="1" x14ac:dyDescent="0.35">
      <c r="A112" s="686" t="s">
        <v>48</v>
      </c>
      <c r="B112" s="667">
        <v>44768.004041632397</v>
      </c>
      <c r="C112" s="667">
        <v>48306.837240000001</v>
      </c>
      <c r="D112" s="668">
        <v>3538.8331983676499</v>
      </c>
      <c r="E112" s="669">
        <v>1.0790482683810001</v>
      </c>
      <c r="F112" s="667">
        <v>49115</v>
      </c>
      <c r="G112" s="668">
        <v>8185.8333333333303</v>
      </c>
      <c r="H112" s="670">
        <v>4000.4739399999999</v>
      </c>
      <c r="I112" s="667">
        <v>8072.2866400000003</v>
      </c>
      <c r="J112" s="668">
        <v>-113.546693333335</v>
      </c>
      <c r="K112" s="671">
        <v>0.16435481298900001</v>
      </c>
    </row>
    <row r="113" spans="1:11" ht="14.4" customHeight="1" thickBot="1" x14ac:dyDescent="0.35">
      <c r="A113" s="692" t="s">
        <v>459</v>
      </c>
      <c r="B113" s="672">
        <v>33094.002987709602</v>
      </c>
      <c r="C113" s="672">
        <v>35975.722999999998</v>
      </c>
      <c r="D113" s="673">
        <v>2881.7200122904501</v>
      </c>
      <c r="E113" s="679">
        <v>1.0870768040159999</v>
      </c>
      <c r="F113" s="672">
        <v>36148</v>
      </c>
      <c r="G113" s="673">
        <v>6024.6666666666697</v>
      </c>
      <c r="H113" s="675">
        <v>2941.8789999999999</v>
      </c>
      <c r="I113" s="672">
        <v>5940.12</v>
      </c>
      <c r="J113" s="673">
        <v>-84.546666666671001</v>
      </c>
      <c r="K113" s="680">
        <v>0.164327763638</v>
      </c>
    </row>
    <row r="114" spans="1:11" ht="14.4" customHeight="1" thickBot="1" x14ac:dyDescent="0.35">
      <c r="A114" s="688" t="s">
        <v>460</v>
      </c>
      <c r="B114" s="672">
        <v>32880.002968389701</v>
      </c>
      <c r="C114" s="672">
        <v>35855.712</v>
      </c>
      <c r="D114" s="673">
        <v>2975.7090316102799</v>
      </c>
      <c r="E114" s="679">
        <v>1.090502091331</v>
      </c>
      <c r="F114" s="672">
        <v>36020</v>
      </c>
      <c r="G114" s="673">
        <v>6003.3333333333403</v>
      </c>
      <c r="H114" s="675">
        <v>2936.087</v>
      </c>
      <c r="I114" s="672">
        <v>5917.3040000000001</v>
      </c>
      <c r="J114" s="673">
        <v>-86.029333333338002</v>
      </c>
      <c r="K114" s="680">
        <v>0.164278289838</v>
      </c>
    </row>
    <row r="115" spans="1:11" ht="14.4" customHeight="1" thickBot="1" x14ac:dyDescent="0.35">
      <c r="A115" s="689" t="s">
        <v>461</v>
      </c>
      <c r="B115" s="667">
        <v>32880.002968389701</v>
      </c>
      <c r="C115" s="667">
        <v>35855.712</v>
      </c>
      <c r="D115" s="668">
        <v>2975.7090316102799</v>
      </c>
      <c r="E115" s="669">
        <v>1.090502091331</v>
      </c>
      <c r="F115" s="667">
        <v>36020</v>
      </c>
      <c r="G115" s="668">
        <v>6003.3333333333403</v>
      </c>
      <c r="H115" s="670">
        <v>2936.087</v>
      </c>
      <c r="I115" s="667">
        <v>5917.3040000000001</v>
      </c>
      <c r="J115" s="668">
        <v>-86.029333333338002</v>
      </c>
      <c r="K115" s="671">
        <v>0.164278289838</v>
      </c>
    </row>
    <row r="116" spans="1:11" ht="14.4" customHeight="1" thickBot="1" x14ac:dyDescent="0.35">
      <c r="A116" s="688" t="s">
        <v>462</v>
      </c>
      <c r="B116" s="672">
        <v>0</v>
      </c>
      <c r="C116" s="672">
        <v>56.322000000000003</v>
      </c>
      <c r="D116" s="673">
        <v>56.322000000000003</v>
      </c>
      <c r="E116" s="674" t="s">
        <v>354</v>
      </c>
      <c r="F116" s="672">
        <v>0</v>
      </c>
      <c r="G116" s="673">
        <v>0</v>
      </c>
      <c r="H116" s="675">
        <v>4.6399999999999997</v>
      </c>
      <c r="I116" s="672">
        <v>4.6399999999999997</v>
      </c>
      <c r="J116" s="673">
        <v>4.6399999999999997</v>
      </c>
      <c r="K116" s="676" t="s">
        <v>354</v>
      </c>
    </row>
    <row r="117" spans="1:11" ht="14.4" customHeight="1" thickBot="1" x14ac:dyDescent="0.35">
      <c r="A117" s="689" t="s">
        <v>463</v>
      </c>
      <c r="B117" s="667">
        <v>0</v>
      </c>
      <c r="C117" s="667">
        <v>56.322000000000003</v>
      </c>
      <c r="D117" s="668">
        <v>56.322000000000003</v>
      </c>
      <c r="E117" s="677" t="s">
        <v>354</v>
      </c>
      <c r="F117" s="667">
        <v>0</v>
      </c>
      <c r="G117" s="668">
        <v>0</v>
      </c>
      <c r="H117" s="670">
        <v>4.6399999999999997</v>
      </c>
      <c r="I117" s="667">
        <v>4.6399999999999997</v>
      </c>
      <c r="J117" s="668">
        <v>4.6399999999999997</v>
      </c>
      <c r="K117" s="678" t="s">
        <v>354</v>
      </c>
    </row>
    <row r="118" spans="1:11" ht="14.4" customHeight="1" thickBot="1" x14ac:dyDescent="0.35">
      <c r="A118" s="688" t="s">
        <v>464</v>
      </c>
      <c r="B118" s="672">
        <v>0</v>
      </c>
      <c r="C118" s="672">
        <v>-8.77</v>
      </c>
      <c r="D118" s="673">
        <v>-8.77</v>
      </c>
      <c r="E118" s="674" t="s">
        <v>354</v>
      </c>
      <c r="F118" s="672">
        <v>0</v>
      </c>
      <c r="G118" s="673">
        <v>0</v>
      </c>
      <c r="H118" s="675">
        <v>0</v>
      </c>
      <c r="I118" s="672">
        <v>0</v>
      </c>
      <c r="J118" s="673">
        <v>0</v>
      </c>
      <c r="K118" s="676" t="s">
        <v>354</v>
      </c>
    </row>
    <row r="119" spans="1:11" ht="14.4" customHeight="1" thickBot="1" x14ac:dyDescent="0.35">
      <c r="A119" s="689" t="s">
        <v>465</v>
      </c>
      <c r="B119" s="667">
        <v>0</v>
      </c>
      <c r="C119" s="667">
        <v>-8.77</v>
      </c>
      <c r="D119" s="668">
        <v>-8.77</v>
      </c>
      <c r="E119" s="677" t="s">
        <v>354</v>
      </c>
      <c r="F119" s="667">
        <v>0</v>
      </c>
      <c r="G119" s="668">
        <v>0</v>
      </c>
      <c r="H119" s="670">
        <v>0</v>
      </c>
      <c r="I119" s="667">
        <v>0</v>
      </c>
      <c r="J119" s="668">
        <v>0</v>
      </c>
      <c r="K119" s="678" t="s">
        <v>354</v>
      </c>
    </row>
    <row r="120" spans="1:11" ht="14.4" customHeight="1" thickBot="1" x14ac:dyDescent="0.35">
      <c r="A120" s="688" t="s">
        <v>466</v>
      </c>
      <c r="B120" s="672">
        <v>120.00001083353899</v>
      </c>
      <c r="C120" s="672">
        <v>26.2</v>
      </c>
      <c r="D120" s="673">
        <v>-93.800010833539005</v>
      </c>
      <c r="E120" s="679">
        <v>0.21833331362200001</v>
      </c>
      <c r="F120" s="672">
        <v>27</v>
      </c>
      <c r="G120" s="673">
        <v>4.5</v>
      </c>
      <c r="H120" s="675">
        <v>0</v>
      </c>
      <c r="I120" s="672">
        <v>0</v>
      </c>
      <c r="J120" s="673">
        <v>-4.5</v>
      </c>
      <c r="K120" s="680">
        <v>0</v>
      </c>
    </row>
    <row r="121" spans="1:11" ht="14.4" customHeight="1" thickBot="1" x14ac:dyDescent="0.35">
      <c r="A121" s="689" t="s">
        <v>467</v>
      </c>
      <c r="B121" s="667">
        <v>120.00001083353899</v>
      </c>
      <c r="C121" s="667">
        <v>26.2</v>
      </c>
      <c r="D121" s="668">
        <v>-93.800010833539005</v>
      </c>
      <c r="E121" s="669">
        <v>0.21833331362200001</v>
      </c>
      <c r="F121" s="667">
        <v>27</v>
      </c>
      <c r="G121" s="668">
        <v>4.5</v>
      </c>
      <c r="H121" s="670">
        <v>0</v>
      </c>
      <c r="I121" s="667">
        <v>0</v>
      </c>
      <c r="J121" s="668">
        <v>-4.5</v>
      </c>
      <c r="K121" s="671">
        <v>0</v>
      </c>
    </row>
    <row r="122" spans="1:11" ht="14.4" customHeight="1" thickBot="1" x14ac:dyDescent="0.35">
      <c r="A122" s="688" t="s">
        <v>468</v>
      </c>
      <c r="B122" s="672">
        <v>94.000008486271994</v>
      </c>
      <c r="C122" s="672">
        <v>46.259</v>
      </c>
      <c r="D122" s="673">
        <v>-47.741008486272001</v>
      </c>
      <c r="E122" s="679">
        <v>0.49211697684799999</v>
      </c>
      <c r="F122" s="672">
        <v>101</v>
      </c>
      <c r="G122" s="673">
        <v>16.833333333333002</v>
      </c>
      <c r="H122" s="675">
        <v>1.1519999999999999</v>
      </c>
      <c r="I122" s="672">
        <v>18.175999999999998</v>
      </c>
      <c r="J122" s="673">
        <v>1.3426666666660001</v>
      </c>
      <c r="K122" s="680">
        <v>0.17996039603899999</v>
      </c>
    </row>
    <row r="123" spans="1:11" ht="14.4" customHeight="1" thickBot="1" x14ac:dyDescent="0.35">
      <c r="A123" s="689" t="s">
        <v>469</v>
      </c>
      <c r="B123" s="667">
        <v>94.000008486271994</v>
      </c>
      <c r="C123" s="667">
        <v>46.259</v>
      </c>
      <c r="D123" s="668">
        <v>-47.741008486272001</v>
      </c>
      <c r="E123" s="669">
        <v>0.49211697684799999</v>
      </c>
      <c r="F123" s="667">
        <v>101</v>
      </c>
      <c r="G123" s="668">
        <v>16.833333333333002</v>
      </c>
      <c r="H123" s="670">
        <v>1.1519999999999999</v>
      </c>
      <c r="I123" s="667">
        <v>18.175999999999998</v>
      </c>
      <c r="J123" s="668">
        <v>1.3426666666660001</v>
      </c>
      <c r="K123" s="671">
        <v>0.17996039603899999</v>
      </c>
    </row>
    <row r="124" spans="1:11" ht="14.4" customHeight="1" thickBot="1" x14ac:dyDescent="0.35">
      <c r="A124" s="687" t="s">
        <v>470</v>
      </c>
      <c r="B124" s="667">
        <v>11180.0010093247</v>
      </c>
      <c r="C124" s="667">
        <v>11792.719069999999</v>
      </c>
      <c r="D124" s="668">
        <v>612.71806067526597</v>
      </c>
      <c r="E124" s="669">
        <v>1.054804830533</v>
      </c>
      <c r="F124" s="667">
        <v>12246</v>
      </c>
      <c r="G124" s="668">
        <v>2041</v>
      </c>
      <c r="H124" s="670">
        <v>999.85060999999996</v>
      </c>
      <c r="I124" s="667">
        <v>2013.46056</v>
      </c>
      <c r="J124" s="668">
        <v>-27.539439999997999</v>
      </c>
      <c r="K124" s="671">
        <v>0.16441781479600001</v>
      </c>
    </row>
    <row r="125" spans="1:11" ht="14.4" customHeight="1" thickBot="1" x14ac:dyDescent="0.35">
      <c r="A125" s="688" t="s">
        <v>471</v>
      </c>
      <c r="B125" s="672">
        <v>2959.0002671370198</v>
      </c>
      <c r="C125" s="672">
        <v>3233.7011900000002</v>
      </c>
      <c r="D125" s="673">
        <v>274.70092286298001</v>
      </c>
      <c r="E125" s="679">
        <v>1.0928357208720001</v>
      </c>
      <c r="F125" s="672">
        <v>3240.99999999999</v>
      </c>
      <c r="G125" s="673">
        <v>540.16666666666401</v>
      </c>
      <c r="H125" s="675">
        <v>264.66883999999999</v>
      </c>
      <c r="I125" s="672">
        <v>532.97452999999996</v>
      </c>
      <c r="J125" s="673">
        <v>-7.1921366666640001</v>
      </c>
      <c r="K125" s="680">
        <v>0.16444755630899999</v>
      </c>
    </row>
    <row r="126" spans="1:11" ht="14.4" customHeight="1" thickBot="1" x14ac:dyDescent="0.35">
      <c r="A126" s="689" t="s">
        <v>472</v>
      </c>
      <c r="B126" s="667">
        <v>2959.0002671370198</v>
      </c>
      <c r="C126" s="667">
        <v>3233.7011900000002</v>
      </c>
      <c r="D126" s="668">
        <v>274.70092286298001</v>
      </c>
      <c r="E126" s="669">
        <v>1.0928357208720001</v>
      </c>
      <c r="F126" s="667">
        <v>3240.99999999999</v>
      </c>
      <c r="G126" s="668">
        <v>540.16666666666401</v>
      </c>
      <c r="H126" s="670">
        <v>264.66883999999999</v>
      </c>
      <c r="I126" s="667">
        <v>532.97452999999996</v>
      </c>
      <c r="J126" s="668">
        <v>-7.1921366666640001</v>
      </c>
      <c r="K126" s="671">
        <v>0.16444755630899999</v>
      </c>
    </row>
    <row r="127" spans="1:11" ht="14.4" customHeight="1" thickBot="1" x14ac:dyDescent="0.35">
      <c r="A127" s="688" t="s">
        <v>473</v>
      </c>
      <c r="B127" s="672">
        <v>8221.0007421877199</v>
      </c>
      <c r="C127" s="672">
        <v>8561.9998799999994</v>
      </c>
      <c r="D127" s="673">
        <v>340.99913781228901</v>
      </c>
      <c r="E127" s="679">
        <v>1.041479030169</v>
      </c>
      <c r="F127" s="672">
        <v>9005</v>
      </c>
      <c r="G127" s="673">
        <v>1500.8333333333301</v>
      </c>
      <c r="H127" s="675">
        <v>735.18177000000003</v>
      </c>
      <c r="I127" s="672">
        <v>1480.48603</v>
      </c>
      <c r="J127" s="673">
        <v>-20.347303333332999</v>
      </c>
      <c r="K127" s="680">
        <v>0.164407110494</v>
      </c>
    </row>
    <row r="128" spans="1:11" ht="14.4" customHeight="1" thickBot="1" x14ac:dyDescent="0.35">
      <c r="A128" s="689" t="s">
        <v>474</v>
      </c>
      <c r="B128" s="667">
        <v>8221.0007421877199</v>
      </c>
      <c r="C128" s="667">
        <v>8561.9998799999994</v>
      </c>
      <c r="D128" s="668">
        <v>340.99913781228901</v>
      </c>
      <c r="E128" s="669">
        <v>1.041479030169</v>
      </c>
      <c r="F128" s="667">
        <v>9005</v>
      </c>
      <c r="G128" s="668">
        <v>1500.8333333333301</v>
      </c>
      <c r="H128" s="670">
        <v>735.18177000000003</v>
      </c>
      <c r="I128" s="667">
        <v>1480.48603</v>
      </c>
      <c r="J128" s="668">
        <v>-20.347303333332999</v>
      </c>
      <c r="K128" s="671">
        <v>0.164407110494</v>
      </c>
    </row>
    <row r="129" spans="1:11" ht="14.4" customHeight="1" thickBot="1" x14ac:dyDescent="0.35">
      <c r="A129" s="688" t="s">
        <v>475</v>
      </c>
      <c r="B129" s="672">
        <v>0</v>
      </c>
      <c r="C129" s="672">
        <v>-0.79</v>
      </c>
      <c r="D129" s="673">
        <v>-0.79</v>
      </c>
      <c r="E129" s="674" t="s">
        <v>399</v>
      </c>
      <c r="F129" s="672">
        <v>0</v>
      </c>
      <c r="G129" s="673">
        <v>0</v>
      </c>
      <c r="H129" s="675">
        <v>0</v>
      </c>
      <c r="I129" s="672">
        <v>0</v>
      </c>
      <c r="J129" s="673">
        <v>0</v>
      </c>
      <c r="K129" s="676" t="s">
        <v>354</v>
      </c>
    </row>
    <row r="130" spans="1:11" ht="14.4" customHeight="1" thickBot="1" x14ac:dyDescent="0.35">
      <c r="A130" s="689" t="s">
        <v>476</v>
      </c>
      <c r="B130" s="667">
        <v>0</v>
      </c>
      <c r="C130" s="667">
        <v>-0.79</v>
      </c>
      <c r="D130" s="668">
        <v>-0.79</v>
      </c>
      <c r="E130" s="677" t="s">
        <v>399</v>
      </c>
      <c r="F130" s="667">
        <v>0</v>
      </c>
      <c r="G130" s="668">
        <v>0</v>
      </c>
      <c r="H130" s="670">
        <v>0</v>
      </c>
      <c r="I130" s="667">
        <v>0</v>
      </c>
      <c r="J130" s="668">
        <v>0</v>
      </c>
      <c r="K130" s="678" t="s">
        <v>354</v>
      </c>
    </row>
    <row r="131" spans="1:11" ht="14.4" customHeight="1" thickBot="1" x14ac:dyDescent="0.35">
      <c r="A131" s="688" t="s">
        <v>477</v>
      </c>
      <c r="B131" s="672">
        <v>0</v>
      </c>
      <c r="C131" s="672">
        <v>-2.1920000000000002</v>
      </c>
      <c r="D131" s="673">
        <v>-2.1920000000000002</v>
      </c>
      <c r="E131" s="674" t="s">
        <v>399</v>
      </c>
      <c r="F131" s="672">
        <v>0</v>
      </c>
      <c r="G131" s="673">
        <v>0</v>
      </c>
      <c r="H131" s="675">
        <v>0</v>
      </c>
      <c r="I131" s="672">
        <v>0</v>
      </c>
      <c r="J131" s="673">
        <v>0</v>
      </c>
      <c r="K131" s="676" t="s">
        <v>354</v>
      </c>
    </row>
    <row r="132" spans="1:11" ht="14.4" customHeight="1" thickBot="1" x14ac:dyDescent="0.35">
      <c r="A132" s="689" t="s">
        <v>478</v>
      </c>
      <c r="B132" s="667">
        <v>0</v>
      </c>
      <c r="C132" s="667">
        <v>-2.1920000000000002</v>
      </c>
      <c r="D132" s="668">
        <v>-2.1920000000000002</v>
      </c>
      <c r="E132" s="677" t="s">
        <v>399</v>
      </c>
      <c r="F132" s="667">
        <v>0</v>
      </c>
      <c r="G132" s="668">
        <v>0</v>
      </c>
      <c r="H132" s="670">
        <v>0</v>
      </c>
      <c r="I132" s="667">
        <v>0</v>
      </c>
      <c r="J132" s="668">
        <v>0</v>
      </c>
      <c r="K132" s="678" t="s">
        <v>354</v>
      </c>
    </row>
    <row r="133" spans="1:11" ht="14.4" customHeight="1" thickBot="1" x14ac:dyDescent="0.35">
      <c r="A133" s="687" t="s">
        <v>479</v>
      </c>
      <c r="B133" s="667">
        <v>494.00004459807002</v>
      </c>
      <c r="C133" s="667">
        <v>538.39517000000001</v>
      </c>
      <c r="D133" s="668">
        <v>44.395125401930002</v>
      </c>
      <c r="E133" s="669">
        <v>1.0898686667890001</v>
      </c>
      <c r="F133" s="667">
        <v>721.00000000000102</v>
      </c>
      <c r="G133" s="668">
        <v>120.166666666667</v>
      </c>
      <c r="H133" s="670">
        <v>58.744329999999998</v>
      </c>
      <c r="I133" s="667">
        <v>118.70608</v>
      </c>
      <c r="J133" s="668">
        <v>-1.4605866666659999</v>
      </c>
      <c r="K133" s="671">
        <v>0.16464088765599999</v>
      </c>
    </row>
    <row r="134" spans="1:11" ht="14.4" customHeight="1" thickBot="1" x14ac:dyDescent="0.35">
      <c r="A134" s="688" t="s">
        <v>480</v>
      </c>
      <c r="B134" s="672">
        <v>494.00004459807002</v>
      </c>
      <c r="C134" s="672">
        <v>538.39517000000001</v>
      </c>
      <c r="D134" s="673">
        <v>44.395125401930002</v>
      </c>
      <c r="E134" s="679">
        <v>1.0898686667890001</v>
      </c>
      <c r="F134" s="672">
        <v>721.00000000000102</v>
      </c>
      <c r="G134" s="673">
        <v>120.166666666667</v>
      </c>
      <c r="H134" s="675">
        <v>58.744329999999998</v>
      </c>
      <c r="I134" s="672">
        <v>118.70608</v>
      </c>
      <c r="J134" s="673">
        <v>-1.4605866666659999</v>
      </c>
      <c r="K134" s="680">
        <v>0.16464088765599999</v>
      </c>
    </row>
    <row r="135" spans="1:11" ht="14.4" customHeight="1" thickBot="1" x14ac:dyDescent="0.35">
      <c r="A135" s="689" t="s">
        <v>481</v>
      </c>
      <c r="B135" s="667">
        <v>494.00004459807002</v>
      </c>
      <c r="C135" s="667">
        <v>538.39517000000001</v>
      </c>
      <c r="D135" s="668">
        <v>44.395125401930002</v>
      </c>
      <c r="E135" s="669">
        <v>1.0898686667890001</v>
      </c>
      <c r="F135" s="667">
        <v>721.00000000000102</v>
      </c>
      <c r="G135" s="668">
        <v>120.166666666667</v>
      </c>
      <c r="H135" s="670">
        <v>58.744329999999998</v>
      </c>
      <c r="I135" s="667">
        <v>118.70608</v>
      </c>
      <c r="J135" s="668">
        <v>-1.4605866666659999</v>
      </c>
      <c r="K135" s="671">
        <v>0.16464088765599999</v>
      </c>
    </row>
    <row r="136" spans="1:11" ht="14.4" customHeight="1" thickBot="1" x14ac:dyDescent="0.35">
      <c r="A136" s="686" t="s">
        <v>482</v>
      </c>
      <c r="B136" s="667">
        <v>0</v>
      </c>
      <c r="C136" s="667">
        <v>0.4</v>
      </c>
      <c r="D136" s="668">
        <v>0.4</v>
      </c>
      <c r="E136" s="677" t="s">
        <v>399</v>
      </c>
      <c r="F136" s="667">
        <v>0</v>
      </c>
      <c r="G136" s="668">
        <v>0</v>
      </c>
      <c r="H136" s="670">
        <v>0</v>
      </c>
      <c r="I136" s="667">
        <v>0</v>
      </c>
      <c r="J136" s="668">
        <v>0</v>
      </c>
      <c r="K136" s="671">
        <v>2</v>
      </c>
    </row>
    <row r="137" spans="1:11" ht="14.4" customHeight="1" thickBot="1" x14ac:dyDescent="0.35">
      <c r="A137" s="687" t="s">
        <v>483</v>
      </c>
      <c r="B137" s="667">
        <v>0</v>
      </c>
      <c r="C137" s="667">
        <v>0.4</v>
      </c>
      <c r="D137" s="668">
        <v>0.4</v>
      </c>
      <c r="E137" s="677" t="s">
        <v>399</v>
      </c>
      <c r="F137" s="667">
        <v>0</v>
      </c>
      <c r="G137" s="668">
        <v>0</v>
      </c>
      <c r="H137" s="670">
        <v>0</v>
      </c>
      <c r="I137" s="667">
        <v>0</v>
      </c>
      <c r="J137" s="668">
        <v>0</v>
      </c>
      <c r="K137" s="671">
        <v>2</v>
      </c>
    </row>
    <row r="138" spans="1:11" ht="14.4" customHeight="1" thickBot="1" x14ac:dyDescent="0.35">
      <c r="A138" s="688" t="s">
        <v>484</v>
      </c>
      <c r="B138" s="672">
        <v>0</v>
      </c>
      <c r="C138" s="672">
        <v>0.4</v>
      </c>
      <c r="D138" s="673">
        <v>0.4</v>
      </c>
      <c r="E138" s="674" t="s">
        <v>399</v>
      </c>
      <c r="F138" s="672">
        <v>0</v>
      </c>
      <c r="G138" s="673">
        <v>0</v>
      </c>
      <c r="H138" s="675">
        <v>0</v>
      </c>
      <c r="I138" s="672">
        <v>0</v>
      </c>
      <c r="J138" s="673">
        <v>0</v>
      </c>
      <c r="K138" s="680">
        <v>2</v>
      </c>
    </row>
    <row r="139" spans="1:11" ht="14.4" customHeight="1" thickBot="1" x14ac:dyDescent="0.35">
      <c r="A139" s="689" t="s">
        <v>485</v>
      </c>
      <c r="B139" s="667">
        <v>0</v>
      </c>
      <c r="C139" s="667">
        <v>0.4</v>
      </c>
      <c r="D139" s="668">
        <v>0.4</v>
      </c>
      <c r="E139" s="677" t="s">
        <v>399</v>
      </c>
      <c r="F139" s="667">
        <v>0</v>
      </c>
      <c r="G139" s="668">
        <v>0</v>
      </c>
      <c r="H139" s="670">
        <v>0</v>
      </c>
      <c r="I139" s="667">
        <v>0</v>
      </c>
      <c r="J139" s="668">
        <v>0</v>
      </c>
      <c r="K139" s="671">
        <v>2</v>
      </c>
    </row>
    <row r="140" spans="1:11" ht="14.4" customHeight="1" thickBot="1" x14ac:dyDescent="0.35">
      <c r="A140" s="686" t="s">
        <v>486</v>
      </c>
      <c r="B140" s="667">
        <v>0</v>
      </c>
      <c r="C140" s="667">
        <v>165.11492999999999</v>
      </c>
      <c r="D140" s="668">
        <v>165.11492999999999</v>
      </c>
      <c r="E140" s="677" t="s">
        <v>354</v>
      </c>
      <c r="F140" s="667">
        <v>0</v>
      </c>
      <c r="G140" s="668">
        <v>0</v>
      </c>
      <c r="H140" s="670">
        <v>1</v>
      </c>
      <c r="I140" s="667">
        <v>1</v>
      </c>
      <c r="J140" s="668">
        <v>1</v>
      </c>
      <c r="K140" s="678" t="s">
        <v>354</v>
      </c>
    </row>
    <row r="141" spans="1:11" ht="14.4" customHeight="1" thickBot="1" x14ac:dyDescent="0.35">
      <c r="A141" s="687" t="s">
        <v>487</v>
      </c>
      <c r="B141" s="667">
        <v>0</v>
      </c>
      <c r="C141" s="667">
        <v>165.11492999999999</v>
      </c>
      <c r="D141" s="668">
        <v>165.11492999999999</v>
      </c>
      <c r="E141" s="677" t="s">
        <v>354</v>
      </c>
      <c r="F141" s="667">
        <v>0</v>
      </c>
      <c r="G141" s="668">
        <v>0</v>
      </c>
      <c r="H141" s="670">
        <v>1</v>
      </c>
      <c r="I141" s="667">
        <v>1</v>
      </c>
      <c r="J141" s="668">
        <v>1</v>
      </c>
      <c r="K141" s="678" t="s">
        <v>354</v>
      </c>
    </row>
    <row r="142" spans="1:11" ht="14.4" customHeight="1" thickBot="1" x14ac:dyDescent="0.35">
      <c r="A142" s="688" t="s">
        <v>488</v>
      </c>
      <c r="B142" s="672">
        <v>0</v>
      </c>
      <c r="C142" s="672">
        <v>110.74893</v>
      </c>
      <c r="D142" s="673">
        <v>110.74893</v>
      </c>
      <c r="E142" s="674" t="s">
        <v>354</v>
      </c>
      <c r="F142" s="672">
        <v>0</v>
      </c>
      <c r="G142" s="673">
        <v>0</v>
      </c>
      <c r="H142" s="675">
        <v>1</v>
      </c>
      <c r="I142" s="672">
        <v>1</v>
      </c>
      <c r="J142" s="673">
        <v>1</v>
      </c>
      <c r="K142" s="676" t="s">
        <v>354</v>
      </c>
    </row>
    <row r="143" spans="1:11" ht="14.4" customHeight="1" thickBot="1" x14ac:dyDescent="0.35">
      <c r="A143" s="689" t="s">
        <v>489</v>
      </c>
      <c r="B143" s="667">
        <v>0</v>
      </c>
      <c r="C143" s="667">
        <v>0.90298999999999996</v>
      </c>
      <c r="D143" s="668">
        <v>0.90298999999999996</v>
      </c>
      <c r="E143" s="677" t="s">
        <v>354</v>
      </c>
      <c r="F143" s="667">
        <v>0</v>
      </c>
      <c r="G143" s="668">
        <v>0</v>
      </c>
      <c r="H143" s="670">
        <v>0</v>
      </c>
      <c r="I143" s="667">
        <v>0</v>
      </c>
      <c r="J143" s="668">
        <v>0</v>
      </c>
      <c r="K143" s="678" t="s">
        <v>354</v>
      </c>
    </row>
    <row r="144" spans="1:11" ht="14.4" customHeight="1" thickBot="1" x14ac:dyDescent="0.35">
      <c r="A144" s="689" t="s">
        <v>490</v>
      </c>
      <c r="B144" s="667">
        <v>0</v>
      </c>
      <c r="C144" s="667">
        <v>-0.375</v>
      </c>
      <c r="D144" s="668">
        <v>-0.375</v>
      </c>
      <c r="E144" s="677" t="s">
        <v>354</v>
      </c>
      <c r="F144" s="667">
        <v>0</v>
      </c>
      <c r="G144" s="668">
        <v>0</v>
      </c>
      <c r="H144" s="670">
        <v>0</v>
      </c>
      <c r="I144" s="667">
        <v>0</v>
      </c>
      <c r="J144" s="668">
        <v>0</v>
      </c>
      <c r="K144" s="678" t="s">
        <v>354</v>
      </c>
    </row>
    <row r="145" spans="1:11" ht="14.4" customHeight="1" thickBot="1" x14ac:dyDescent="0.35">
      <c r="A145" s="689" t="s">
        <v>491</v>
      </c>
      <c r="B145" s="667">
        <v>0</v>
      </c>
      <c r="C145" s="667">
        <v>108.56094</v>
      </c>
      <c r="D145" s="668">
        <v>108.56094</v>
      </c>
      <c r="E145" s="677" t="s">
        <v>399</v>
      </c>
      <c r="F145" s="667">
        <v>0</v>
      </c>
      <c r="G145" s="668">
        <v>0</v>
      </c>
      <c r="H145" s="670">
        <v>1</v>
      </c>
      <c r="I145" s="667">
        <v>1</v>
      </c>
      <c r="J145" s="668">
        <v>1</v>
      </c>
      <c r="K145" s="678" t="s">
        <v>354</v>
      </c>
    </row>
    <row r="146" spans="1:11" ht="14.4" customHeight="1" thickBot="1" x14ac:dyDescent="0.35">
      <c r="A146" s="689" t="s">
        <v>492</v>
      </c>
      <c r="B146" s="667">
        <v>0</v>
      </c>
      <c r="C146" s="667">
        <v>1</v>
      </c>
      <c r="D146" s="668">
        <v>1</v>
      </c>
      <c r="E146" s="677" t="s">
        <v>354</v>
      </c>
      <c r="F146" s="667">
        <v>0</v>
      </c>
      <c r="G146" s="668">
        <v>0</v>
      </c>
      <c r="H146" s="670">
        <v>0</v>
      </c>
      <c r="I146" s="667">
        <v>0</v>
      </c>
      <c r="J146" s="668">
        <v>0</v>
      </c>
      <c r="K146" s="678" t="s">
        <v>354</v>
      </c>
    </row>
    <row r="147" spans="1:11" ht="14.4" customHeight="1" thickBot="1" x14ac:dyDescent="0.35">
      <c r="A147" s="689" t="s">
        <v>493</v>
      </c>
      <c r="B147" s="667">
        <v>0</v>
      </c>
      <c r="C147" s="667">
        <v>0.66</v>
      </c>
      <c r="D147" s="668">
        <v>0.66</v>
      </c>
      <c r="E147" s="677" t="s">
        <v>354</v>
      </c>
      <c r="F147" s="667">
        <v>0</v>
      </c>
      <c r="G147" s="668">
        <v>0</v>
      </c>
      <c r="H147" s="670">
        <v>0</v>
      </c>
      <c r="I147" s="667">
        <v>0</v>
      </c>
      <c r="J147" s="668">
        <v>0</v>
      </c>
      <c r="K147" s="678" t="s">
        <v>354</v>
      </c>
    </row>
    <row r="148" spans="1:11" ht="14.4" customHeight="1" thickBot="1" x14ac:dyDescent="0.35">
      <c r="A148" s="691" t="s">
        <v>494</v>
      </c>
      <c r="B148" s="667">
        <v>0</v>
      </c>
      <c r="C148" s="667">
        <v>19.539000000000001</v>
      </c>
      <c r="D148" s="668">
        <v>19.539000000000001</v>
      </c>
      <c r="E148" s="677" t="s">
        <v>354</v>
      </c>
      <c r="F148" s="667">
        <v>0</v>
      </c>
      <c r="G148" s="668">
        <v>0</v>
      </c>
      <c r="H148" s="670">
        <v>0</v>
      </c>
      <c r="I148" s="667">
        <v>0</v>
      </c>
      <c r="J148" s="668">
        <v>0</v>
      </c>
      <c r="K148" s="678" t="s">
        <v>354</v>
      </c>
    </row>
    <row r="149" spans="1:11" ht="14.4" customHeight="1" thickBot="1" x14ac:dyDescent="0.35">
      <c r="A149" s="689" t="s">
        <v>495</v>
      </c>
      <c r="B149" s="667">
        <v>0</v>
      </c>
      <c r="C149" s="667">
        <v>19.539000000000001</v>
      </c>
      <c r="D149" s="668">
        <v>19.539000000000001</v>
      </c>
      <c r="E149" s="677" t="s">
        <v>354</v>
      </c>
      <c r="F149" s="667">
        <v>0</v>
      </c>
      <c r="G149" s="668">
        <v>0</v>
      </c>
      <c r="H149" s="670">
        <v>0</v>
      </c>
      <c r="I149" s="667">
        <v>0</v>
      </c>
      <c r="J149" s="668">
        <v>0</v>
      </c>
      <c r="K149" s="678" t="s">
        <v>354</v>
      </c>
    </row>
    <row r="150" spans="1:11" ht="14.4" customHeight="1" thickBot="1" x14ac:dyDescent="0.35">
      <c r="A150" s="691" t="s">
        <v>496</v>
      </c>
      <c r="B150" s="667">
        <v>0</v>
      </c>
      <c r="C150" s="667">
        <v>4.3499999999999996</v>
      </c>
      <c r="D150" s="668">
        <v>4.3499999999999996</v>
      </c>
      <c r="E150" s="677" t="s">
        <v>354</v>
      </c>
      <c r="F150" s="667">
        <v>0</v>
      </c>
      <c r="G150" s="668">
        <v>0</v>
      </c>
      <c r="H150" s="670">
        <v>0</v>
      </c>
      <c r="I150" s="667">
        <v>0</v>
      </c>
      <c r="J150" s="668">
        <v>0</v>
      </c>
      <c r="K150" s="678" t="s">
        <v>354</v>
      </c>
    </row>
    <row r="151" spans="1:11" ht="14.4" customHeight="1" thickBot="1" x14ac:dyDescent="0.35">
      <c r="A151" s="689" t="s">
        <v>497</v>
      </c>
      <c r="B151" s="667">
        <v>0</v>
      </c>
      <c r="C151" s="667">
        <v>4.3499999999999996</v>
      </c>
      <c r="D151" s="668">
        <v>4.3499999999999996</v>
      </c>
      <c r="E151" s="677" t="s">
        <v>354</v>
      </c>
      <c r="F151" s="667">
        <v>0</v>
      </c>
      <c r="G151" s="668">
        <v>0</v>
      </c>
      <c r="H151" s="670">
        <v>0</v>
      </c>
      <c r="I151" s="667">
        <v>0</v>
      </c>
      <c r="J151" s="668">
        <v>0</v>
      </c>
      <c r="K151" s="678" t="s">
        <v>354</v>
      </c>
    </row>
    <row r="152" spans="1:11" ht="14.4" customHeight="1" thickBot="1" x14ac:dyDescent="0.35">
      <c r="A152" s="691" t="s">
        <v>498</v>
      </c>
      <c r="B152" s="667">
        <v>0</v>
      </c>
      <c r="C152" s="667">
        <v>0.75</v>
      </c>
      <c r="D152" s="668">
        <v>0.75</v>
      </c>
      <c r="E152" s="677" t="s">
        <v>354</v>
      </c>
      <c r="F152" s="667">
        <v>0</v>
      </c>
      <c r="G152" s="668">
        <v>0</v>
      </c>
      <c r="H152" s="670">
        <v>0</v>
      </c>
      <c r="I152" s="667">
        <v>0</v>
      </c>
      <c r="J152" s="668">
        <v>0</v>
      </c>
      <c r="K152" s="678" t="s">
        <v>354</v>
      </c>
    </row>
    <row r="153" spans="1:11" ht="14.4" customHeight="1" thickBot="1" x14ac:dyDescent="0.35">
      <c r="A153" s="689" t="s">
        <v>499</v>
      </c>
      <c r="B153" s="667">
        <v>0</v>
      </c>
      <c r="C153" s="667">
        <v>0.75</v>
      </c>
      <c r="D153" s="668">
        <v>0.75</v>
      </c>
      <c r="E153" s="677" t="s">
        <v>354</v>
      </c>
      <c r="F153" s="667">
        <v>0</v>
      </c>
      <c r="G153" s="668">
        <v>0</v>
      </c>
      <c r="H153" s="670">
        <v>0</v>
      </c>
      <c r="I153" s="667">
        <v>0</v>
      </c>
      <c r="J153" s="668">
        <v>0</v>
      </c>
      <c r="K153" s="678" t="s">
        <v>354</v>
      </c>
    </row>
    <row r="154" spans="1:11" ht="14.4" customHeight="1" thickBot="1" x14ac:dyDescent="0.35">
      <c r="A154" s="691" t="s">
        <v>500</v>
      </c>
      <c r="B154" s="667">
        <v>0</v>
      </c>
      <c r="C154" s="667">
        <v>29.727</v>
      </c>
      <c r="D154" s="668">
        <v>29.727</v>
      </c>
      <c r="E154" s="677" t="s">
        <v>399</v>
      </c>
      <c r="F154" s="667">
        <v>0</v>
      </c>
      <c r="G154" s="668">
        <v>0</v>
      </c>
      <c r="H154" s="670">
        <v>0</v>
      </c>
      <c r="I154" s="667">
        <v>0</v>
      </c>
      <c r="J154" s="668">
        <v>0</v>
      </c>
      <c r="K154" s="678" t="s">
        <v>354</v>
      </c>
    </row>
    <row r="155" spans="1:11" ht="14.4" customHeight="1" thickBot="1" x14ac:dyDescent="0.35">
      <c r="A155" s="689" t="s">
        <v>501</v>
      </c>
      <c r="B155" s="667">
        <v>0</v>
      </c>
      <c r="C155" s="667">
        <v>29.727</v>
      </c>
      <c r="D155" s="668">
        <v>29.727</v>
      </c>
      <c r="E155" s="677" t="s">
        <v>399</v>
      </c>
      <c r="F155" s="667">
        <v>0</v>
      </c>
      <c r="G155" s="668">
        <v>0</v>
      </c>
      <c r="H155" s="670">
        <v>0</v>
      </c>
      <c r="I155" s="667">
        <v>0</v>
      </c>
      <c r="J155" s="668">
        <v>0</v>
      </c>
      <c r="K155" s="678" t="s">
        <v>354</v>
      </c>
    </row>
    <row r="156" spans="1:11" ht="14.4" customHeight="1" thickBot="1" x14ac:dyDescent="0.35">
      <c r="A156" s="686" t="s">
        <v>502</v>
      </c>
      <c r="B156" s="667">
        <v>993.01481729149805</v>
      </c>
      <c r="C156" s="667">
        <v>1120.02142</v>
      </c>
      <c r="D156" s="668">
        <v>127.006602708502</v>
      </c>
      <c r="E156" s="669">
        <v>1.1279000076300001</v>
      </c>
      <c r="F156" s="667">
        <v>986.83036567845102</v>
      </c>
      <c r="G156" s="668">
        <v>164.47172761307499</v>
      </c>
      <c r="H156" s="670">
        <v>78.224999999999994</v>
      </c>
      <c r="I156" s="667">
        <v>169.09399999999999</v>
      </c>
      <c r="J156" s="668">
        <v>4.6222723869240001</v>
      </c>
      <c r="K156" s="671">
        <v>0.171350625072</v>
      </c>
    </row>
    <row r="157" spans="1:11" ht="14.4" customHeight="1" thickBot="1" x14ac:dyDescent="0.35">
      <c r="A157" s="687" t="s">
        <v>503</v>
      </c>
      <c r="B157" s="667">
        <v>979.00226076520096</v>
      </c>
      <c r="C157" s="667">
        <v>1004.155</v>
      </c>
      <c r="D157" s="668">
        <v>25.152739234799</v>
      </c>
      <c r="E157" s="669">
        <v>1.025692217722</v>
      </c>
      <c r="F157" s="667">
        <v>940.00000000000102</v>
      </c>
      <c r="G157" s="668">
        <v>156.666666666667</v>
      </c>
      <c r="H157" s="670">
        <v>78.224999999999994</v>
      </c>
      <c r="I157" s="667">
        <v>165.94800000000001</v>
      </c>
      <c r="J157" s="668">
        <v>9.2813333333330004</v>
      </c>
      <c r="K157" s="671">
        <v>0.17654042553099999</v>
      </c>
    </row>
    <row r="158" spans="1:11" ht="14.4" customHeight="1" thickBot="1" x14ac:dyDescent="0.35">
      <c r="A158" s="688" t="s">
        <v>504</v>
      </c>
      <c r="B158" s="672">
        <v>979.00226076520096</v>
      </c>
      <c r="C158" s="672">
        <v>1004.155</v>
      </c>
      <c r="D158" s="673">
        <v>25.152739234799</v>
      </c>
      <c r="E158" s="679">
        <v>1.025692217722</v>
      </c>
      <c r="F158" s="672">
        <v>940.00000000000102</v>
      </c>
      <c r="G158" s="673">
        <v>156.666666666667</v>
      </c>
      <c r="H158" s="675">
        <v>78.224999999999994</v>
      </c>
      <c r="I158" s="672">
        <v>165.94800000000001</v>
      </c>
      <c r="J158" s="673">
        <v>9.2813333333330004</v>
      </c>
      <c r="K158" s="680">
        <v>0.17654042553099999</v>
      </c>
    </row>
    <row r="159" spans="1:11" ht="14.4" customHeight="1" thickBot="1" x14ac:dyDescent="0.35">
      <c r="A159" s="689" t="s">
        <v>505</v>
      </c>
      <c r="B159" s="667">
        <v>63.000145483357997</v>
      </c>
      <c r="C159" s="667">
        <v>72.192999999999998</v>
      </c>
      <c r="D159" s="668">
        <v>9.1928545166410007</v>
      </c>
      <c r="E159" s="669">
        <v>1.145917988698</v>
      </c>
      <c r="F159" s="667">
        <v>98</v>
      </c>
      <c r="G159" s="668">
        <v>16.333333333333002</v>
      </c>
      <c r="H159" s="670">
        <v>8.1620000000000008</v>
      </c>
      <c r="I159" s="667">
        <v>16.324000000000002</v>
      </c>
      <c r="J159" s="668">
        <v>-9.3333333330000001E-3</v>
      </c>
      <c r="K159" s="671">
        <v>0.16657142857099999</v>
      </c>
    </row>
    <row r="160" spans="1:11" ht="14.4" customHeight="1" thickBot="1" x14ac:dyDescent="0.35">
      <c r="A160" s="689" t="s">
        <v>506</v>
      </c>
      <c r="B160" s="667">
        <v>132.00030482227399</v>
      </c>
      <c r="C160" s="667">
        <v>145.608</v>
      </c>
      <c r="D160" s="668">
        <v>13.607695177725001</v>
      </c>
      <c r="E160" s="669">
        <v>1.1030883617730001</v>
      </c>
      <c r="F160" s="667">
        <v>167</v>
      </c>
      <c r="G160" s="668">
        <v>27.833333333333002</v>
      </c>
      <c r="H160" s="670">
        <v>14.329000000000001</v>
      </c>
      <c r="I160" s="667">
        <v>28.658000000000001</v>
      </c>
      <c r="J160" s="668">
        <v>0.82466666666599997</v>
      </c>
      <c r="K160" s="671">
        <v>0.17160479041900001</v>
      </c>
    </row>
    <row r="161" spans="1:11" ht="14.4" customHeight="1" thickBot="1" x14ac:dyDescent="0.35">
      <c r="A161" s="689" t="s">
        <v>507</v>
      </c>
      <c r="B161" s="667">
        <v>51.000117772242</v>
      </c>
      <c r="C161" s="667">
        <v>51.707999999999998</v>
      </c>
      <c r="D161" s="668">
        <v>0.70788222775700005</v>
      </c>
      <c r="E161" s="669">
        <v>1.013880011628</v>
      </c>
      <c r="F161" s="667">
        <v>51</v>
      </c>
      <c r="G161" s="668">
        <v>8.5</v>
      </c>
      <c r="H161" s="670">
        <v>4.3090000000000002</v>
      </c>
      <c r="I161" s="667">
        <v>8.6180000000000003</v>
      </c>
      <c r="J161" s="668">
        <v>0.117999999999</v>
      </c>
      <c r="K161" s="671">
        <v>0.168980392156</v>
      </c>
    </row>
    <row r="162" spans="1:11" ht="14.4" customHeight="1" thickBot="1" x14ac:dyDescent="0.35">
      <c r="A162" s="689" t="s">
        <v>508</v>
      </c>
      <c r="B162" s="667">
        <v>533.00123083539495</v>
      </c>
      <c r="C162" s="667">
        <v>534.95699999999999</v>
      </c>
      <c r="D162" s="668">
        <v>1.9557691646040001</v>
      </c>
      <c r="E162" s="669">
        <v>1.00366935206</v>
      </c>
      <c r="F162" s="667">
        <v>540.00000000000102</v>
      </c>
      <c r="G162" s="668">
        <v>90</v>
      </c>
      <c r="H162" s="670">
        <v>45.076000000000001</v>
      </c>
      <c r="I162" s="667">
        <v>90.152000000000001</v>
      </c>
      <c r="J162" s="668">
        <v>0.15199999999899999</v>
      </c>
      <c r="K162" s="671">
        <v>0.16694814814799999</v>
      </c>
    </row>
    <row r="163" spans="1:11" ht="14.4" customHeight="1" thickBot="1" x14ac:dyDescent="0.35">
      <c r="A163" s="689" t="s">
        <v>509</v>
      </c>
      <c r="B163" s="667">
        <v>191.000441068594</v>
      </c>
      <c r="C163" s="667">
        <v>190.929</v>
      </c>
      <c r="D163" s="668">
        <v>-7.1441068593000007E-2</v>
      </c>
      <c r="E163" s="669">
        <v>0.99962596385500002</v>
      </c>
      <c r="F163" s="667">
        <v>75</v>
      </c>
      <c r="G163" s="668">
        <v>12.5</v>
      </c>
      <c r="H163" s="670">
        <v>5.6189999999999998</v>
      </c>
      <c r="I163" s="667">
        <v>20.736000000000001</v>
      </c>
      <c r="J163" s="668">
        <v>8.2359999999990006</v>
      </c>
      <c r="K163" s="671">
        <v>0.27648</v>
      </c>
    </row>
    <row r="164" spans="1:11" ht="14.4" customHeight="1" thickBot="1" x14ac:dyDescent="0.35">
      <c r="A164" s="689" t="s">
        <v>510</v>
      </c>
      <c r="B164" s="667">
        <v>9.0000207833359998</v>
      </c>
      <c r="C164" s="667">
        <v>8.76</v>
      </c>
      <c r="D164" s="668">
        <v>-0.24002078333599999</v>
      </c>
      <c r="E164" s="669">
        <v>0.97333108565899995</v>
      </c>
      <c r="F164" s="667">
        <v>9</v>
      </c>
      <c r="G164" s="668">
        <v>1.5</v>
      </c>
      <c r="H164" s="670">
        <v>0.73</v>
      </c>
      <c r="I164" s="667">
        <v>1.46</v>
      </c>
      <c r="J164" s="668">
        <v>-0.04</v>
      </c>
      <c r="K164" s="671">
        <v>0.162222222222</v>
      </c>
    </row>
    <row r="165" spans="1:11" ht="14.4" customHeight="1" thickBot="1" x14ac:dyDescent="0.35">
      <c r="A165" s="687" t="s">
        <v>511</v>
      </c>
      <c r="B165" s="667">
        <v>14.012556526297001</v>
      </c>
      <c r="C165" s="667">
        <v>115.86642000000001</v>
      </c>
      <c r="D165" s="668">
        <v>101.853863473703</v>
      </c>
      <c r="E165" s="669">
        <v>8.2687566528309997</v>
      </c>
      <c r="F165" s="667">
        <v>46.830365678448999</v>
      </c>
      <c r="G165" s="668">
        <v>7.8050609464080001</v>
      </c>
      <c r="H165" s="670">
        <v>0</v>
      </c>
      <c r="I165" s="667">
        <v>3.1459999999999999</v>
      </c>
      <c r="J165" s="668">
        <v>-4.6590609464080002</v>
      </c>
      <c r="K165" s="671">
        <v>6.7178634084999994E-2</v>
      </c>
    </row>
    <row r="166" spans="1:11" ht="14.4" customHeight="1" thickBot="1" x14ac:dyDescent="0.35">
      <c r="A166" s="688" t="s">
        <v>512</v>
      </c>
      <c r="B166" s="672">
        <v>2.9999994438709998</v>
      </c>
      <c r="C166" s="672">
        <v>98.514920000000004</v>
      </c>
      <c r="D166" s="673">
        <v>95.514920556128004</v>
      </c>
      <c r="E166" s="679">
        <v>32.838312754105999</v>
      </c>
      <c r="F166" s="672">
        <v>55</v>
      </c>
      <c r="G166" s="673">
        <v>9.1666666666659999</v>
      </c>
      <c r="H166" s="675">
        <v>0</v>
      </c>
      <c r="I166" s="672">
        <v>0</v>
      </c>
      <c r="J166" s="673">
        <v>-9.1666666666659999</v>
      </c>
      <c r="K166" s="680">
        <v>0</v>
      </c>
    </row>
    <row r="167" spans="1:11" ht="14.4" customHeight="1" thickBot="1" x14ac:dyDescent="0.35">
      <c r="A167" s="689" t="s">
        <v>513</v>
      </c>
      <c r="B167" s="667">
        <v>2.9999994438709998</v>
      </c>
      <c r="C167" s="667">
        <v>28.2301</v>
      </c>
      <c r="D167" s="668">
        <v>25.230100556128001</v>
      </c>
      <c r="E167" s="669">
        <v>9.4100350777290007</v>
      </c>
      <c r="F167" s="667">
        <v>55</v>
      </c>
      <c r="G167" s="668">
        <v>9.1666666666659999</v>
      </c>
      <c r="H167" s="670">
        <v>0</v>
      </c>
      <c r="I167" s="667">
        <v>0</v>
      </c>
      <c r="J167" s="668">
        <v>-9.1666666666659999</v>
      </c>
      <c r="K167" s="671">
        <v>0</v>
      </c>
    </row>
    <row r="168" spans="1:11" ht="14.4" customHeight="1" thickBot="1" x14ac:dyDescent="0.35">
      <c r="A168" s="689" t="s">
        <v>514</v>
      </c>
      <c r="B168" s="667">
        <v>0</v>
      </c>
      <c r="C168" s="667">
        <v>70.284819999999996</v>
      </c>
      <c r="D168" s="668">
        <v>70.284819999999996</v>
      </c>
      <c r="E168" s="677" t="s">
        <v>354</v>
      </c>
      <c r="F168" s="667">
        <v>0</v>
      </c>
      <c r="G168" s="668">
        <v>0</v>
      </c>
      <c r="H168" s="670">
        <v>0</v>
      </c>
      <c r="I168" s="667">
        <v>0</v>
      </c>
      <c r="J168" s="668">
        <v>0</v>
      </c>
      <c r="K168" s="678" t="s">
        <v>354</v>
      </c>
    </row>
    <row r="169" spans="1:11" ht="14.4" customHeight="1" thickBot="1" x14ac:dyDescent="0.35">
      <c r="A169" s="688" t="s">
        <v>515</v>
      </c>
      <c r="B169" s="672">
        <v>0</v>
      </c>
      <c r="C169" s="672">
        <v>7.0060000000000002</v>
      </c>
      <c r="D169" s="673">
        <v>7.0060000000000002</v>
      </c>
      <c r="E169" s="674" t="s">
        <v>354</v>
      </c>
      <c r="F169" s="672">
        <v>0</v>
      </c>
      <c r="G169" s="673">
        <v>0</v>
      </c>
      <c r="H169" s="675">
        <v>0</v>
      </c>
      <c r="I169" s="672">
        <v>3.1459999999999999</v>
      </c>
      <c r="J169" s="673">
        <v>3.1459999999999999</v>
      </c>
      <c r="K169" s="676" t="s">
        <v>354</v>
      </c>
    </row>
    <row r="170" spans="1:11" ht="14.4" customHeight="1" thickBot="1" x14ac:dyDescent="0.35">
      <c r="A170" s="689" t="s">
        <v>516</v>
      </c>
      <c r="B170" s="667">
        <v>0</v>
      </c>
      <c r="C170" s="667">
        <v>7.0060000000000002</v>
      </c>
      <c r="D170" s="668">
        <v>7.0060000000000002</v>
      </c>
      <c r="E170" s="677" t="s">
        <v>399</v>
      </c>
      <c r="F170" s="667">
        <v>0</v>
      </c>
      <c r="G170" s="668">
        <v>0</v>
      </c>
      <c r="H170" s="670">
        <v>0</v>
      </c>
      <c r="I170" s="667">
        <v>3.1459999999999999</v>
      </c>
      <c r="J170" s="668">
        <v>3.1459999999999999</v>
      </c>
      <c r="K170" s="678" t="s">
        <v>354</v>
      </c>
    </row>
    <row r="171" spans="1:11" ht="14.4" customHeight="1" thickBot="1" x14ac:dyDescent="0.35">
      <c r="A171" s="688" t="s">
        <v>517</v>
      </c>
      <c r="B171" s="672">
        <v>11.012557082424999</v>
      </c>
      <c r="C171" s="672">
        <v>9.0145</v>
      </c>
      <c r="D171" s="673">
        <v>-1.9980570824249999</v>
      </c>
      <c r="E171" s="679">
        <v>0.81856556406699998</v>
      </c>
      <c r="F171" s="672">
        <v>0</v>
      </c>
      <c r="G171" s="673">
        <v>0</v>
      </c>
      <c r="H171" s="675">
        <v>0</v>
      </c>
      <c r="I171" s="672">
        <v>0</v>
      </c>
      <c r="J171" s="673">
        <v>0</v>
      </c>
      <c r="K171" s="676" t="s">
        <v>354</v>
      </c>
    </row>
    <row r="172" spans="1:11" ht="14.4" customHeight="1" thickBot="1" x14ac:dyDescent="0.35">
      <c r="A172" s="689" t="s">
        <v>518</v>
      </c>
      <c r="B172" s="667">
        <v>0</v>
      </c>
      <c r="C172" s="667">
        <v>-28.151859999999999</v>
      </c>
      <c r="D172" s="668">
        <v>-28.151859999999999</v>
      </c>
      <c r="E172" s="677" t="s">
        <v>399</v>
      </c>
      <c r="F172" s="667">
        <v>0</v>
      </c>
      <c r="G172" s="668">
        <v>0</v>
      </c>
      <c r="H172" s="670">
        <v>0</v>
      </c>
      <c r="I172" s="667">
        <v>0</v>
      </c>
      <c r="J172" s="668">
        <v>0</v>
      </c>
      <c r="K172" s="678" t="s">
        <v>354</v>
      </c>
    </row>
    <row r="173" spans="1:11" ht="14.4" customHeight="1" thickBot="1" x14ac:dyDescent="0.35">
      <c r="A173" s="689" t="s">
        <v>519</v>
      </c>
      <c r="B173" s="667">
        <v>11.012557082424999</v>
      </c>
      <c r="C173" s="667">
        <v>9.0145</v>
      </c>
      <c r="D173" s="668">
        <v>-1.9980570824249999</v>
      </c>
      <c r="E173" s="669">
        <v>0.81856556406699998</v>
      </c>
      <c r="F173" s="667">
        <v>0</v>
      </c>
      <c r="G173" s="668">
        <v>0</v>
      </c>
      <c r="H173" s="670">
        <v>0</v>
      </c>
      <c r="I173" s="667">
        <v>0</v>
      </c>
      <c r="J173" s="668">
        <v>0</v>
      </c>
      <c r="K173" s="678" t="s">
        <v>354</v>
      </c>
    </row>
    <row r="174" spans="1:11" ht="14.4" customHeight="1" thickBot="1" x14ac:dyDescent="0.35">
      <c r="A174" s="689" t="s">
        <v>520</v>
      </c>
      <c r="B174" s="667">
        <v>0</v>
      </c>
      <c r="C174" s="667">
        <v>28.151859999999999</v>
      </c>
      <c r="D174" s="668">
        <v>28.151859999999999</v>
      </c>
      <c r="E174" s="677" t="s">
        <v>399</v>
      </c>
      <c r="F174" s="667">
        <v>0</v>
      </c>
      <c r="G174" s="668">
        <v>0</v>
      </c>
      <c r="H174" s="670">
        <v>0</v>
      </c>
      <c r="I174" s="667">
        <v>0</v>
      </c>
      <c r="J174" s="668">
        <v>0</v>
      </c>
      <c r="K174" s="678" t="s">
        <v>354</v>
      </c>
    </row>
    <row r="175" spans="1:11" ht="14.4" customHeight="1" thickBot="1" x14ac:dyDescent="0.35">
      <c r="A175" s="688" t="s">
        <v>521</v>
      </c>
      <c r="B175" s="672">
        <v>0</v>
      </c>
      <c r="C175" s="672">
        <v>1.331</v>
      </c>
      <c r="D175" s="673">
        <v>1.331</v>
      </c>
      <c r="E175" s="674" t="s">
        <v>354</v>
      </c>
      <c r="F175" s="672">
        <v>0</v>
      </c>
      <c r="G175" s="673">
        <v>0</v>
      </c>
      <c r="H175" s="675">
        <v>0</v>
      </c>
      <c r="I175" s="672">
        <v>0</v>
      </c>
      <c r="J175" s="673">
        <v>0</v>
      </c>
      <c r="K175" s="676" t="s">
        <v>354</v>
      </c>
    </row>
    <row r="176" spans="1:11" ht="14.4" customHeight="1" thickBot="1" x14ac:dyDescent="0.35">
      <c r="A176" s="689" t="s">
        <v>522</v>
      </c>
      <c r="B176" s="667">
        <v>0</v>
      </c>
      <c r="C176" s="667">
        <v>1.331</v>
      </c>
      <c r="D176" s="668">
        <v>1.331</v>
      </c>
      <c r="E176" s="677" t="s">
        <v>354</v>
      </c>
      <c r="F176" s="667">
        <v>0</v>
      </c>
      <c r="G176" s="668">
        <v>0</v>
      </c>
      <c r="H176" s="670">
        <v>0</v>
      </c>
      <c r="I176" s="667">
        <v>0</v>
      </c>
      <c r="J176" s="668">
        <v>0</v>
      </c>
      <c r="K176" s="678" t="s">
        <v>354</v>
      </c>
    </row>
    <row r="177" spans="1:11" ht="14.4" customHeight="1" thickBot="1" x14ac:dyDescent="0.35">
      <c r="A177" s="688" t="s">
        <v>523</v>
      </c>
      <c r="B177" s="672">
        <v>0</v>
      </c>
      <c r="C177" s="672">
        <v>0</v>
      </c>
      <c r="D177" s="673">
        <v>0</v>
      </c>
      <c r="E177" s="679">
        <v>0</v>
      </c>
      <c r="F177" s="672">
        <v>-8.1696343215499994</v>
      </c>
      <c r="G177" s="673">
        <v>-1.3616057202580001</v>
      </c>
      <c r="H177" s="675">
        <v>0</v>
      </c>
      <c r="I177" s="672">
        <v>0</v>
      </c>
      <c r="J177" s="673">
        <v>1.3616057202580001</v>
      </c>
      <c r="K177" s="680">
        <v>0</v>
      </c>
    </row>
    <row r="178" spans="1:11" ht="14.4" customHeight="1" thickBot="1" x14ac:dyDescent="0.35">
      <c r="A178" s="689" t="s">
        <v>524</v>
      </c>
      <c r="B178" s="667">
        <v>0</v>
      </c>
      <c r="C178" s="667">
        <v>-5.9169</v>
      </c>
      <c r="D178" s="668">
        <v>-5.9169</v>
      </c>
      <c r="E178" s="677" t="s">
        <v>399</v>
      </c>
      <c r="F178" s="667">
        <v>-8.1696343215499994</v>
      </c>
      <c r="G178" s="668">
        <v>-1.3616057202580001</v>
      </c>
      <c r="H178" s="670">
        <v>0</v>
      </c>
      <c r="I178" s="667">
        <v>0</v>
      </c>
      <c r="J178" s="668">
        <v>1.3616057202580001</v>
      </c>
      <c r="K178" s="671">
        <v>0</v>
      </c>
    </row>
    <row r="179" spans="1:11" ht="14.4" customHeight="1" thickBot="1" x14ac:dyDescent="0.35">
      <c r="A179" s="689" t="s">
        <v>525</v>
      </c>
      <c r="B179" s="667">
        <v>0</v>
      </c>
      <c r="C179" s="667">
        <v>5.9169</v>
      </c>
      <c r="D179" s="668">
        <v>5.9169</v>
      </c>
      <c r="E179" s="677" t="s">
        <v>399</v>
      </c>
      <c r="F179" s="667">
        <v>0</v>
      </c>
      <c r="G179" s="668">
        <v>0</v>
      </c>
      <c r="H179" s="670">
        <v>0</v>
      </c>
      <c r="I179" s="667">
        <v>0</v>
      </c>
      <c r="J179" s="668">
        <v>0</v>
      </c>
      <c r="K179" s="678" t="s">
        <v>354</v>
      </c>
    </row>
    <row r="180" spans="1:11" ht="14.4" customHeight="1" thickBot="1" x14ac:dyDescent="0.35">
      <c r="A180" s="686" t="s">
        <v>526</v>
      </c>
      <c r="B180" s="667">
        <v>0</v>
      </c>
      <c r="C180" s="667">
        <v>2.4994399999999999</v>
      </c>
      <c r="D180" s="668">
        <v>2.4994399999999999</v>
      </c>
      <c r="E180" s="677" t="s">
        <v>354</v>
      </c>
      <c r="F180" s="667">
        <v>0</v>
      </c>
      <c r="G180" s="668">
        <v>0</v>
      </c>
      <c r="H180" s="670">
        <v>0</v>
      </c>
      <c r="I180" s="667">
        <v>0</v>
      </c>
      <c r="J180" s="668">
        <v>0</v>
      </c>
      <c r="K180" s="671">
        <v>2</v>
      </c>
    </row>
    <row r="181" spans="1:11" ht="14.4" customHeight="1" thickBot="1" x14ac:dyDescent="0.35">
      <c r="A181" s="687" t="s">
        <v>527</v>
      </c>
      <c r="B181" s="667">
        <v>0</v>
      </c>
      <c r="C181" s="667">
        <v>2.4994399999999999</v>
      </c>
      <c r="D181" s="668">
        <v>2.4994399999999999</v>
      </c>
      <c r="E181" s="677" t="s">
        <v>354</v>
      </c>
      <c r="F181" s="667">
        <v>0</v>
      </c>
      <c r="G181" s="668">
        <v>0</v>
      </c>
      <c r="H181" s="670">
        <v>0</v>
      </c>
      <c r="I181" s="667">
        <v>0</v>
      </c>
      <c r="J181" s="668">
        <v>0</v>
      </c>
      <c r="K181" s="671">
        <v>2</v>
      </c>
    </row>
    <row r="182" spans="1:11" ht="14.4" customHeight="1" thickBot="1" x14ac:dyDescent="0.35">
      <c r="A182" s="688" t="s">
        <v>528</v>
      </c>
      <c r="B182" s="672">
        <v>0</v>
      </c>
      <c r="C182" s="672">
        <v>2.4994399999999999</v>
      </c>
      <c r="D182" s="673">
        <v>2.4994399999999999</v>
      </c>
      <c r="E182" s="674" t="s">
        <v>354</v>
      </c>
      <c r="F182" s="672">
        <v>0</v>
      </c>
      <c r="G182" s="673">
        <v>0</v>
      </c>
      <c r="H182" s="675">
        <v>0</v>
      </c>
      <c r="I182" s="672">
        <v>0</v>
      </c>
      <c r="J182" s="673">
        <v>0</v>
      </c>
      <c r="K182" s="680">
        <v>2</v>
      </c>
    </row>
    <row r="183" spans="1:11" ht="14.4" customHeight="1" thickBot="1" x14ac:dyDescent="0.35">
      <c r="A183" s="689" t="s">
        <v>529</v>
      </c>
      <c r="B183" s="667">
        <v>0</v>
      </c>
      <c r="C183" s="667">
        <v>2.4994399999999999</v>
      </c>
      <c r="D183" s="668">
        <v>2.4994399999999999</v>
      </c>
      <c r="E183" s="677" t="s">
        <v>354</v>
      </c>
      <c r="F183" s="667">
        <v>0</v>
      </c>
      <c r="G183" s="668">
        <v>0</v>
      </c>
      <c r="H183" s="670">
        <v>0</v>
      </c>
      <c r="I183" s="667">
        <v>0</v>
      </c>
      <c r="J183" s="668">
        <v>0</v>
      </c>
      <c r="K183" s="671">
        <v>2</v>
      </c>
    </row>
    <row r="184" spans="1:11" ht="14.4" customHeight="1" thickBot="1" x14ac:dyDescent="0.35">
      <c r="A184" s="685" t="s">
        <v>530</v>
      </c>
      <c r="B184" s="667">
        <v>53797.969152594902</v>
      </c>
      <c r="C184" s="667">
        <v>54422.170039999997</v>
      </c>
      <c r="D184" s="668">
        <v>624.20088740513199</v>
      </c>
      <c r="E184" s="669">
        <v>1.0116026849569999</v>
      </c>
      <c r="F184" s="667">
        <v>56809.139012246902</v>
      </c>
      <c r="G184" s="668">
        <v>9468.1898353744891</v>
      </c>
      <c r="H184" s="670">
        <v>4395.0748299999996</v>
      </c>
      <c r="I184" s="667">
        <v>9519.2784100000008</v>
      </c>
      <c r="J184" s="668">
        <v>51.088574625511001</v>
      </c>
      <c r="K184" s="671">
        <v>0.167565968707</v>
      </c>
    </row>
    <row r="185" spans="1:11" ht="14.4" customHeight="1" thickBot="1" x14ac:dyDescent="0.35">
      <c r="A185" s="686" t="s">
        <v>531</v>
      </c>
      <c r="B185" s="667">
        <v>53695.496995010697</v>
      </c>
      <c r="C185" s="667">
        <v>54320.697070000002</v>
      </c>
      <c r="D185" s="668">
        <v>625.20007498934103</v>
      </c>
      <c r="E185" s="669">
        <v>1.0116434358549999</v>
      </c>
      <c r="F185" s="667">
        <v>56789.982350377897</v>
      </c>
      <c r="G185" s="668">
        <v>9464.9970583963204</v>
      </c>
      <c r="H185" s="670">
        <v>4395.0343400000002</v>
      </c>
      <c r="I185" s="667">
        <v>9519.1951300000001</v>
      </c>
      <c r="J185" s="668">
        <v>54.198071603678997</v>
      </c>
      <c r="K185" s="671">
        <v>0.16762102638500001</v>
      </c>
    </row>
    <row r="186" spans="1:11" ht="14.4" customHeight="1" thickBot="1" x14ac:dyDescent="0.35">
      <c r="A186" s="687" t="s">
        <v>532</v>
      </c>
      <c r="B186" s="667">
        <v>53695.496995010697</v>
      </c>
      <c r="C186" s="667">
        <v>54320.697070000002</v>
      </c>
      <c r="D186" s="668">
        <v>625.20007498934103</v>
      </c>
      <c r="E186" s="669">
        <v>1.0116434358549999</v>
      </c>
      <c r="F186" s="667">
        <v>56789.982350377897</v>
      </c>
      <c r="G186" s="668">
        <v>9464.9970583963204</v>
      </c>
      <c r="H186" s="670">
        <v>4395.0343400000002</v>
      </c>
      <c r="I186" s="667">
        <v>9519.1951300000001</v>
      </c>
      <c r="J186" s="668">
        <v>54.198071603678997</v>
      </c>
      <c r="K186" s="671">
        <v>0.16762102638500001</v>
      </c>
    </row>
    <row r="187" spans="1:11" ht="14.4" customHeight="1" thickBot="1" x14ac:dyDescent="0.35">
      <c r="A187" s="688" t="s">
        <v>533</v>
      </c>
      <c r="B187" s="672">
        <v>187.67155981027301</v>
      </c>
      <c r="C187" s="672">
        <v>305.88979</v>
      </c>
      <c r="D187" s="673">
        <v>118.218230189727</v>
      </c>
      <c r="E187" s="679">
        <v>1.6299208591280001</v>
      </c>
      <c r="F187" s="672">
        <v>296</v>
      </c>
      <c r="G187" s="673">
        <v>49.333333333333002</v>
      </c>
      <c r="H187" s="675">
        <v>15.055070000000001</v>
      </c>
      <c r="I187" s="672">
        <v>23.318930000000002</v>
      </c>
      <c r="J187" s="673">
        <v>-26.014403333333</v>
      </c>
      <c r="K187" s="680">
        <v>7.8780168917999993E-2</v>
      </c>
    </row>
    <row r="188" spans="1:11" ht="14.4" customHeight="1" thickBot="1" x14ac:dyDescent="0.35">
      <c r="A188" s="689" t="s">
        <v>534</v>
      </c>
      <c r="B188" s="667">
        <v>136.538459727657</v>
      </c>
      <c r="C188" s="667">
        <v>150.01161999999999</v>
      </c>
      <c r="D188" s="668">
        <v>13.473160272343</v>
      </c>
      <c r="E188" s="669">
        <v>1.0986766680919999</v>
      </c>
      <c r="F188" s="667">
        <v>140</v>
      </c>
      <c r="G188" s="668">
        <v>23.333333333333002</v>
      </c>
      <c r="H188" s="670">
        <v>12.055529999999999</v>
      </c>
      <c r="I188" s="667">
        <v>16.89827</v>
      </c>
      <c r="J188" s="668">
        <v>-6.4350633333329998</v>
      </c>
      <c r="K188" s="671">
        <v>0.120701928571</v>
      </c>
    </row>
    <row r="189" spans="1:11" ht="14.4" customHeight="1" thickBot="1" x14ac:dyDescent="0.35">
      <c r="A189" s="689" t="s">
        <v>535</v>
      </c>
      <c r="B189" s="667">
        <v>11.894312923359999</v>
      </c>
      <c r="C189" s="667">
        <v>15.075900000000001</v>
      </c>
      <c r="D189" s="668">
        <v>3.181587076639</v>
      </c>
      <c r="E189" s="669">
        <v>1.2674880925980001</v>
      </c>
      <c r="F189" s="667">
        <v>15</v>
      </c>
      <c r="G189" s="668">
        <v>2.5</v>
      </c>
      <c r="H189" s="670">
        <v>2.032</v>
      </c>
      <c r="I189" s="667">
        <v>5.0599999999999996</v>
      </c>
      <c r="J189" s="668">
        <v>2.56</v>
      </c>
      <c r="K189" s="671">
        <v>0.33733333333299997</v>
      </c>
    </row>
    <row r="190" spans="1:11" ht="14.4" customHeight="1" thickBot="1" x14ac:dyDescent="0.35">
      <c r="A190" s="689" t="s">
        <v>536</v>
      </c>
      <c r="B190" s="667">
        <v>20.228792660235001</v>
      </c>
      <c r="C190" s="667">
        <v>130.92899</v>
      </c>
      <c r="D190" s="668">
        <v>110.700197339764</v>
      </c>
      <c r="E190" s="669">
        <v>6.472407533118</v>
      </c>
      <c r="F190" s="667">
        <v>131</v>
      </c>
      <c r="G190" s="668">
        <v>21.833333333333002</v>
      </c>
      <c r="H190" s="670">
        <v>0</v>
      </c>
      <c r="I190" s="667">
        <v>0.39312000000000002</v>
      </c>
      <c r="J190" s="668">
        <v>-21.440213333332999</v>
      </c>
      <c r="K190" s="671">
        <v>3.0009160300000001E-3</v>
      </c>
    </row>
    <row r="191" spans="1:11" ht="14.4" customHeight="1" thickBot="1" x14ac:dyDescent="0.35">
      <c r="A191" s="689" t="s">
        <v>537</v>
      </c>
      <c r="B191" s="667">
        <v>19.009994499019001</v>
      </c>
      <c r="C191" s="667">
        <v>9.8732799999999994</v>
      </c>
      <c r="D191" s="668">
        <v>-9.1367144990189999</v>
      </c>
      <c r="E191" s="669">
        <v>0.51937311189099999</v>
      </c>
      <c r="F191" s="667">
        <v>10</v>
      </c>
      <c r="G191" s="668">
        <v>1.6666666666659999</v>
      </c>
      <c r="H191" s="670">
        <v>0.96753999999999996</v>
      </c>
      <c r="I191" s="667">
        <v>0.96753999999999996</v>
      </c>
      <c r="J191" s="668">
        <v>-0.69912666666599999</v>
      </c>
      <c r="K191" s="671">
        <v>9.6754000000000007E-2</v>
      </c>
    </row>
    <row r="192" spans="1:11" ht="14.4" customHeight="1" thickBot="1" x14ac:dyDescent="0.35">
      <c r="A192" s="688" t="s">
        <v>538</v>
      </c>
      <c r="B192" s="672">
        <v>723.00007249423902</v>
      </c>
      <c r="C192" s="672">
        <v>680.80840999999998</v>
      </c>
      <c r="D192" s="673">
        <v>-42.191662494238003</v>
      </c>
      <c r="E192" s="679">
        <v>0.94164362619099995</v>
      </c>
      <c r="F192" s="672">
        <v>1112.8563085693299</v>
      </c>
      <c r="G192" s="673">
        <v>185.47605142822201</v>
      </c>
      <c r="H192" s="675">
        <v>3.6926100000000002</v>
      </c>
      <c r="I192" s="672">
        <v>31.346499999999999</v>
      </c>
      <c r="J192" s="673">
        <v>-154.12955142822199</v>
      </c>
      <c r="K192" s="680">
        <v>2.8167607766E-2</v>
      </c>
    </row>
    <row r="193" spans="1:11" ht="14.4" customHeight="1" thickBot="1" x14ac:dyDescent="0.35">
      <c r="A193" s="689" t="s">
        <v>539</v>
      </c>
      <c r="B193" s="667">
        <v>723.00007249423902</v>
      </c>
      <c r="C193" s="667">
        <v>680.80840999999998</v>
      </c>
      <c r="D193" s="668">
        <v>-42.191662494238003</v>
      </c>
      <c r="E193" s="669">
        <v>0.94164362619099995</v>
      </c>
      <c r="F193" s="667">
        <v>1112.8563085693299</v>
      </c>
      <c r="G193" s="668">
        <v>185.47605142822201</v>
      </c>
      <c r="H193" s="670">
        <v>3.6926100000000002</v>
      </c>
      <c r="I193" s="667">
        <v>31.346499999999999</v>
      </c>
      <c r="J193" s="668">
        <v>-154.12955142822199</v>
      </c>
      <c r="K193" s="671">
        <v>2.8167607766E-2</v>
      </c>
    </row>
    <row r="194" spans="1:11" ht="14.4" customHeight="1" thickBot="1" x14ac:dyDescent="0.35">
      <c r="A194" s="688" t="s">
        <v>540</v>
      </c>
      <c r="B194" s="672">
        <v>2.8200703258750002</v>
      </c>
      <c r="C194" s="672">
        <v>46.929229999999997</v>
      </c>
      <c r="D194" s="673">
        <v>44.109159674124001</v>
      </c>
      <c r="E194" s="679">
        <v>16.641155920618999</v>
      </c>
      <c r="F194" s="672">
        <v>5.6391823907880001</v>
      </c>
      <c r="G194" s="673">
        <v>0.93986373179799998</v>
      </c>
      <c r="H194" s="675">
        <v>3.3415599999999999</v>
      </c>
      <c r="I194" s="672">
        <v>3.8986000000000001</v>
      </c>
      <c r="J194" s="673">
        <v>2.9587362682010001</v>
      </c>
      <c r="K194" s="680">
        <v>0.69134135586099998</v>
      </c>
    </row>
    <row r="195" spans="1:11" ht="14.4" customHeight="1" thickBot="1" x14ac:dyDescent="0.35">
      <c r="A195" s="689" t="s">
        <v>541</v>
      </c>
      <c r="B195" s="667">
        <v>0.82007012533699997</v>
      </c>
      <c r="C195" s="667">
        <v>6.7797499999999999</v>
      </c>
      <c r="D195" s="668">
        <v>5.9596798746620001</v>
      </c>
      <c r="E195" s="669">
        <v>8.2672807977329992</v>
      </c>
      <c r="F195" s="667">
        <v>2.6391823907880001</v>
      </c>
      <c r="G195" s="668">
        <v>0.43986373179799998</v>
      </c>
      <c r="H195" s="670">
        <v>3.1779999999999999</v>
      </c>
      <c r="I195" s="667">
        <v>3.1779999999999999</v>
      </c>
      <c r="J195" s="668">
        <v>2.738136268201</v>
      </c>
      <c r="K195" s="671">
        <v>1.2041608079420001</v>
      </c>
    </row>
    <row r="196" spans="1:11" ht="14.4" customHeight="1" thickBot="1" x14ac:dyDescent="0.35">
      <c r="A196" s="689" t="s">
        <v>542</v>
      </c>
      <c r="B196" s="667">
        <v>2.0000002005369999</v>
      </c>
      <c r="C196" s="667">
        <v>40.149479999999997</v>
      </c>
      <c r="D196" s="668">
        <v>38.149479799462</v>
      </c>
      <c r="E196" s="669">
        <v>20.074737987132998</v>
      </c>
      <c r="F196" s="667">
        <v>3</v>
      </c>
      <c r="G196" s="668">
        <v>0.5</v>
      </c>
      <c r="H196" s="670">
        <v>0.16356000000000001</v>
      </c>
      <c r="I196" s="667">
        <v>0.72060000000000002</v>
      </c>
      <c r="J196" s="668">
        <v>0.22059999999999999</v>
      </c>
      <c r="K196" s="671">
        <v>0.2402</v>
      </c>
    </row>
    <row r="197" spans="1:11" ht="14.4" customHeight="1" thickBot="1" x14ac:dyDescent="0.35">
      <c r="A197" s="688" t="s">
        <v>543</v>
      </c>
      <c r="B197" s="672">
        <v>0</v>
      </c>
      <c r="C197" s="672">
        <v>-3.0923600000000002</v>
      </c>
      <c r="D197" s="673">
        <v>-3.0923600000000002</v>
      </c>
      <c r="E197" s="674" t="s">
        <v>354</v>
      </c>
      <c r="F197" s="672">
        <v>0</v>
      </c>
      <c r="G197" s="673">
        <v>0</v>
      </c>
      <c r="H197" s="675">
        <v>0</v>
      </c>
      <c r="I197" s="672">
        <v>0</v>
      </c>
      <c r="J197" s="673">
        <v>0</v>
      </c>
      <c r="K197" s="676" t="s">
        <v>354</v>
      </c>
    </row>
    <row r="198" spans="1:11" ht="14.4" customHeight="1" thickBot="1" x14ac:dyDescent="0.35">
      <c r="A198" s="689" t="s">
        <v>544</v>
      </c>
      <c r="B198" s="667">
        <v>0</v>
      </c>
      <c r="C198" s="667">
        <v>-0.41</v>
      </c>
      <c r="D198" s="668">
        <v>-0.41</v>
      </c>
      <c r="E198" s="677" t="s">
        <v>354</v>
      </c>
      <c r="F198" s="667">
        <v>0</v>
      </c>
      <c r="G198" s="668">
        <v>0</v>
      </c>
      <c r="H198" s="670">
        <v>0</v>
      </c>
      <c r="I198" s="667">
        <v>0</v>
      </c>
      <c r="J198" s="668">
        <v>0</v>
      </c>
      <c r="K198" s="678" t="s">
        <v>354</v>
      </c>
    </row>
    <row r="199" spans="1:11" ht="14.4" customHeight="1" thickBot="1" x14ac:dyDescent="0.35">
      <c r="A199" s="689" t="s">
        <v>545</v>
      </c>
      <c r="B199" s="667">
        <v>0</v>
      </c>
      <c r="C199" s="667">
        <v>-2.6823600000000001</v>
      </c>
      <c r="D199" s="668">
        <v>-2.6823600000000001</v>
      </c>
      <c r="E199" s="677" t="s">
        <v>354</v>
      </c>
      <c r="F199" s="667">
        <v>0</v>
      </c>
      <c r="G199" s="668">
        <v>0</v>
      </c>
      <c r="H199" s="670">
        <v>0</v>
      </c>
      <c r="I199" s="667">
        <v>0</v>
      </c>
      <c r="J199" s="668">
        <v>0</v>
      </c>
      <c r="K199" s="678" t="s">
        <v>354</v>
      </c>
    </row>
    <row r="200" spans="1:11" ht="14.4" customHeight="1" thickBot="1" x14ac:dyDescent="0.35">
      <c r="A200" s="688" t="s">
        <v>546</v>
      </c>
      <c r="B200" s="672">
        <v>0</v>
      </c>
      <c r="C200" s="672">
        <v>0.50560000000000005</v>
      </c>
      <c r="D200" s="673">
        <v>0.50560000000000005</v>
      </c>
      <c r="E200" s="674" t="s">
        <v>354</v>
      </c>
      <c r="F200" s="672">
        <v>0.48685941780199998</v>
      </c>
      <c r="G200" s="673">
        <v>8.1143236300000005E-2</v>
      </c>
      <c r="H200" s="675">
        <v>0</v>
      </c>
      <c r="I200" s="672">
        <v>0.14580000000000001</v>
      </c>
      <c r="J200" s="673">
        <v>6.4656763699000003E-2</v>
      </c>
      <c r="K200" s="680">
        <v>0.29947043164499998</v>
      </c>
    </row>
    <row r="201" spans="1:11" ht="14.4" customHeight="1" thickBot="1" x14ac:dyDescent="0.35">
      <c r="A201" s="689" t="s">
        <v>547</v>
      </c>
      <c r="B201" s="667">
        <v>0</v>
      </c>
      <c r="C201" s="667">
        <v>0.50560000000000005</v>
      </c>
      <c r="D201" s="668">
        <v>0.50560000000000005</v>
      </c>
      <c r="E201" s="677" t="s">
        <v>354</v>
      </c>
      <c r="F201" s="667">
        <v>0.48685941780199998</v>
      </c>
      <c r="G201" s="668">
        <v>8.1143236300000005E-2</v>
      </c>
      <c r="H201" s="670">
        <v>0</v>
      </c>
      <c r="I201" s="667">
        <v>0.14580000000000001</v>
      </c>
      <c r="J201" s="668">
        <v>6.4656763699000003E-2</v>
      </c>
      <c r="K201" s="671">
        <v>0.29947043164499998</v>
      </c>
    </row>
    <row r="202" spans="1:11" ht="14.4" customHeight="1" thickBot="1" x14ac:dyDescent="0.35">
      <c r="A202" s="688" t="s">
        <v>548</v>
      </c>
      <c r="B202" s="672">
        <v>52782.005292380301</v>
      </c>
      <c r="C202" s="672">
        <v>51017.815479999997</v>
      </c>
      <c r="D202" s="673">
        <v>-1764.18981238027</v>
      </c>
      <c r="E202" s="679">
        <v>0.96657592293700001</v>
      </c>
      <c r="F202" s="672">
        <v>55375</v>
      </c>
      <c r="G202" s="673">
        <v>9229.1666666666697</v>
      </c>
      <c r="H202" s="675">
        <v>4372.8647000000001</v>
      </c>
      <c r="I202" s="672">
        <v>9460.4077699999998</v>
      </c>
      <c r="J202" s="673">
        <v>231.241103333334</v>
      </c>
      <c r="K202" s="680">
        <v>0.17084257823900001</v>
      </c>
    </row>
    <row r="203" spans="1:11" ht="14.4" customHeight="1" thickBot="1" x14ac:dyDescent="0.35">
      <c r="A203" s="689" t="s">
        <v>549</v>
      </c>
      <c r="B203" s="667">
        <v>23830.0023894021</v>
      </c>
      <c r="C203" s="667">
        <v>22241.912110000001</v>
      </c>
      <c r="D203" s="668">
        <v>-1588.0902794020999</v>
      </c>
      <c r="E203" s="669">
        <v>0.93335752747900003</v>
      </c>
      <c r="F203" s="667">
        <v>24748</v>
      </c>
      <c r="G203" s="668">
        <v>4124.6666666666697</v>
      </c>
      <c r="H203" s="670">
        <v>1757.3538799999999</v>
      </c>
      <c r="I203" s="667">
        <v>3755.7154999999998</v>
      </c>
      <c r="J203" s="668">
        <v>-368.95116666666701</v>
      </c>
      <c r="K203" s="671">
        <v>0.15175834410799999</v>
      </c>
    </row>
    <row r="204" spans="1:11" ht="14.4" customHeight="1" thickBot="1" x14ac:dyDescent="0.35">
      <c r="A204" s="689" t="s">
        <v>550</v>
      </c>
      <c r="B204" s="667">
        <v>28952.002902978202</v>
      </c>
      <c r="C204" s="667">
        <v>28775.90337</v>
      </c>
      <c r="D204" s="668">
        <v>-176.09953297816199</v>
      </c>
      <c r="E204" s="669">
        <v>0.99391753539200001</v>
      </c>
      <c r="F204" s="667">
        <v>30627</v>
      </c>
      <c r="G204" s="668">
        <v>5104.5</v>
      </c>
      <c r="H204" s="670">
        <v>2615.51082</v>
      </c>
      <c r="I204" s="667">
        <v>5704.6922699999996</v>
      </c>
      <c r="J204" s="668">
        <v>600.19227000000001</v>
      </c>
      <c r="K204" s="671">
        <v>0.18626350181199999</v>
      </c>
    </row>
    <row r="205" spans="1:11" ht="14.4" customHeight="1" thickBot="1" x14ac:dyDescent="0.35">
      <c r="A205" s="688" t="s">
        <v>551</v>
      </c>
      <c r="B205" s="672">
        <v>0</v>
      </c>
      <c r="C205" s="672">
        <v>2271.8409200000001</v>
      </c>
      <c r="D205" s="673">
        <v>2271.8409200000001</v>
      </c>
      <c r="E205" s="674" t="s">
        <v>354</v>
      </c>
      <c r="F205" s="672">
        <v>0</v>
      </c>
      <c r="G205" s="673">
        <v>0</v>
      </c>
      <c r="H205" s="675">
        <v>8.0399999999999999E-2</v>
      </c>
      <c r="I205" s="672">
        <v>7.7530000000000002E-2</v>
      </c>
      <c r="J205" s="673">
        <v>7.7530000000000002E-2</v>
      </c>
      <c r="K205" s="676" t="s">
        <v>354</v>
      </c>
    </row>
    <row r="206" spans="1:11" ht="14.4" customHeight="1" thickBot="1" x14ac:dyDescent="0.35">
      <c r="A206" s="689" t="s">
        <v>552</v>
      </c>
      <c r="B206" s="667">
        <v>0</v>
      </c>
      <c r="C206" s="667">
        <v>264.18817000000001</v>
      </c>
      <c r="D206" s="668">
        <v>264.18817000000001</v>
      </c>
      <c r="E206" s="677" t="s">
        <v>354</v>
      </c>
      <c r="F206" s="667">
        <v>0</v>
      </c>
      <c r="G206" s="668">
        <v>0</v>
      </c>
      <c r="H206" s="670">
        <v>0</v>
      </c>
      <c r="I206" s="667">
        <v>0</v>
      </c>
      <c r="J206" s="668">
        <v>0</v>
      </c>
      <c r="K206" s="678" t="s">
        <v>354</v>
      </c>
    </row>
    <row r="207" spans="1:11" ht="14.4" customHeight="1" thickBot="1" x14ac:dyDescent="0.35">
      <c r="A207" s="689" t="s">
        <v>553</v>
      </c>
      <c r="B207" s="667">
        <v>0</v>
      </c>
      <c r="C207" s="667">
        <v>2007.65275</v>
      </c>
      <c r="D207" s="668">
        <v>2007.65275</v>
      </c>
      <c r="E207" s="677" t="s">
        <v>354</v>
      </c>
      <c r="F207" s="667">
        <v>0</v>
      </c>
      <c r="G207" s="668">
        <v>0</v>
      </c>
      <c r="H207" s="670">
        <v>8.0399999999999999E-2</v>
      </c>
      <c r="I207" s="667">
        <v>7.7530000000000002E-2</v>
      </c>
      <c r="J207" s="668">
        <v>7.7530000000000002E-2</v>
      </c>
      <c r="K207" s="678" t="s">
        <v>354</v>
      </c>
    </row>
    <row r="208" spans="1:11" ht="14.4" customHeight="1" thickBot="1" x14ac:dyDescent="0.35">
      <c r="A208" s="686" t="s">
        <v>554</v>
      </c>
      <c r="B208" s="667">
        <v>102.472157584212</v>
      </c>
      <c r="C208" s="667">
        <v>101.47297</v>
      </c>
      <c r="D208" s="668">
        <v>-0.99918758421200005</v>
      </c>
      <c r="E208" s="669">
        <v>0.99024917979799998</v>
      </c>
      <c r="F208" s="667">
        <v>19.156661869002999</v>
      </c>
      <c r="G208" s="668">
        <v>3.1927769781670001</v>
      </c>
      <c r="H208" s="670">
        <v>4.0489999999999998E-2</v>
      </c>
      <c r="I208" s="667">
        <v>8.3280000000000007E-2</v>
      </c>
      <c r="J208" s="668">
        <v>-3.1094969781669999</v>
      </c>
      <c r="K208" s="671">
        <v>4.347312729E-3</v>
      </c>
    </row>
    <row r="209" spans="1:11" ht="14.4" customHeight="1" thickBot="1" x14ac:dyDescent="0.35">
      <c r="A209" s="687" t="s">
        <v>555</v>
      </c>
      <c r="B209" s="667">
        <v>0</v>
      </c>
      <c r="C209" s="667">
        <v>41.821260000000002</v>
      </c>
      <c r="D209" s="668">
        <v>41.821260000000002</v>
      </c>
      <c r="E209" s="677" t="s">
        <v>354</v>
      </c>
      <c r="F209" s="667">
        <v>0</v>
      </c>
      <c r="G209" s="668">
        <v>0</v>
      </c>
      <c r="H209" s="670">
        <v>0</v>
      </c>
      <c r="I209" s="667">
        <v>0</v>
      </c>
      <c r="J209" s="668">
        <v>0</v>
      </c>
      <c r="K209" s="678" t="s">
        <v>354</v>
      </c>
    </row>
    <row r="210" spans="1:11" ht="14.4" customHeight="1" thickBot="1" x14ac:dyDescent="0.35">
      <c r="A210" s="688" t="s">
        <v>556</v>
      </c>
      <c r="B210" s="672">
        <v>0</v>
      </c>
      <c r="C210" s="672">
        <v>41.821260000000002</v>
      </c>
      <c r="D210" s="673">
        <v>41.821260000000002</v>
      </c>
      <c r="E210" s="674" t="s">
        <v>354</v>
      </c>
      <c r="F210" s="672">
        <v>0</v>
      </c>
      <c r="G210" s="673">
        <v>0</v>
      </c>
      <c r="H210" s="675">
        <v>0</v>
      </c>
      <c r="I210" s="672">
        <v>0</v>
      </c>
      <c r="J210" s="673">
        <v>0</v>
      </c>
      <c r="K210" s="676" t="s">
        <v>354</v>
      </c>
    </row>
    <row r="211" spans="1:11" ht="14.4" customHeight="1" thickBot="1" x14ac:dyDescent="0.35">
      <c r="A211" s="689" t="s">
        <v>557</v>
      </c>
      <c r="B211" s="667">
        <v>0</v>
      </c>
      <c r="C211" s="667">
        <v>41.821260000000002</v>
      </c>
      <c r="D211" s="668">
        <v>41.821260000000002</v>
      </c>
      <c r="E211" s="677" t="s">
        <v>354</v>
      </c>
      <c r="F211" s="667">
        <v>0</v>
      </c>
      <c r="G211" s="668">
        <v>0</v>
      </c>
      <c r="H211" s="670">
        <v>0</v>
      </c>
      <c r="I211" s="667">
        <v>0</v>
      </c>
      <c r="J211" s="668">
        <v>0</v>
      </c>
      <c r="K211" s="678" t="s">
        <v>354</v>
      </c>
    </row>
    <row r="212" spans="1:11" ht="14.4" customHeight="1" thickBot="1" x14ac:dyDescent="0.35">
      <c r="A212" s="692" t="s">
        <v>558</v>
      </c>
      <c r="B212" s="672">
        <v>102.472157584212</v>
      </c>
      <c r="C212" s="672">
        <v>59.651710000000001</v>
      </c>
      <c r="D212" s="673">
        <v>-42.820447584211998</v>
      </c>
      <c r="E212" s="679">
        <v>0.58212602726700002</v>
      </c>
      <c r="F212" s="672">
        <v>19.156661869002999</v>
      </c>
      <c r="G212" s="673">
        <v>3.1927769781670001</v>
      </c>
      <c r="H212" s="675">
        <v>4.0489999999999998E-2</v>
      </c>
      <c r="I212" s="672">
        <v>8.3280000000000007E-2</v>
      </c>
      <c r="J212" s="673">
        <v>-3.1094969781669999</v>
      </c>
      <c r="K212" s="680">
        <v>4.347312729E-3</v>
      </c>
    </row>
    <row r="213" spans="1:11" ht="14.4" customHeight="1" thickBot="1" x14ac:dyDescent="0.35">
      <c r="A213" s="688" t="s">
        <v>559</v>
      </c>
      <c r="B213" s="672">
        <v>0</v>
      </c>
      <c r="C213" s="672">
        <v>19.540559999999999</v>
      </c>
      <c r="D213" s="673">
        <v>19.540559999999999</v>
      </c>
      <c r="E213" s="674" t="s">
        <v>354</v>
      </c>
      <c r="F213" s="672">
        <v>0</v>
      </c>
      <c r="G213" s="673">
        <v>0</v>
      </c>
      <c r="H213" s="675">
        <v>-2.5000000000000001E-4</v>
      </c>
      <c r="I213" s="672">
        <v>-5.1999999999999995E-4</v>
      </c>
      <c r="J213" s="673">
        <v>-5.1999999999999995E-4</v>
      </c>
      <c r="K213" s="676" t="s">
        <v>354</v>
      </c>
    </row>
    <row r="214" spans="1:11" ht="14.4" customHeight="1" thickBot="1" x14ac:dyDescent="0.35">
      <c r="A214" s="689" t="s">
        <v>560</v>
      </c>
      <c r="B214" s="667">
        <v>0</v>
      </c>
      <c r="C214" s="667">
        <v>1.56E-3</v>
      </c>
      <c r="D214" s="668">
        <v>1.56E-3</v>
      </c>
      <c r="E214" s="677" t="s">
        <v>354</v>
      </c>
      <c r="F214" s="667">
        <v>0</v>
      </c>
      <c r="G214" s="668">
        <v>0</v>
      </c>
      <c r="H214" s="670">
        <v>-2.5000000000000001E-4</v>
      </c>
      <c r="I214" s="667">
        <v>-5.1999999999999995E-4</v>
      </c>
      <c r="J214" s="668">
        <v>-5.1999999999999995E-4</v>
      </c>
      <c r="K214" s="678" t="s">
        <v>354</v>
      </c>
    </row>
    <row r="215" spans="1:11" ht="14.4" customHeight="1" thickBot="1" x14ac:dyDescent="0.35">
      <c r="A215" s="689" t="s">
        <v>561</v>
      </c>
      <c r="B215" s="667">
        <v>0</v>
      </c>
      <c r="C215" s="667">
        <v>19.539000000000001</v>
      </c>
      <c r="D215" s="668">
        <v>19.539000000000001</v>
      </c>
      <c r="E215" s="677" t="s">
        <v>354</v>
      </c>
      <c r="F215" s="667">
        <v>0</v>
      </c>
      <c r="G215" s="668">
        <v>0</v>
      </c>
      <c r="H215" s="670">
        <v>0</v>
      </c>
      <c r="I215" s="667">
        <v>0</v>
      </c>
      <c r="J215" s="668">
        <v>0</v>
      </c>
      <c r="K215" s="678" t="s">
        <v>354</v>
      </c>
    </row>
    <row r="216" spans="1:11" ht="14.4" customHeight="1" thickBot="1" x14ac:dyDescent="0.35">
      <c r="A216" s="688" t="s">
        <v>562</v>
      </c>
      <c r="B216" s="672">
        <v>102.472157584212</v>
      </c>
      <c r="C216" s="672">
        <v>40.111150000000002</v>
      </c>
      <c r="D216" s="673">
        <v>-62.361007584211997</v>
      </c>
      <c r="E216" s="679">
        <v>0.39143461937000001</v>
      </c>
      <c r="F216" s="672">
        <v>19.156661869002999</v>
      </c>
      <c r="G216" s="673">
        <v>3.1927769781670001</v>
      </c>
      <c r="H216" s="675">
        <v>4.0739999999999998E-2</v>
      </c>
      <c r="I216" s="672">
        <v>8.3799999999999999E-2</v>
      </c>
      <c r="J216" s="673">
        <v>-3.108976978167</v>
      </c>
      <c r="K216" s="680">
        <v>4.374457333E-3</v>
      </c>
    </row>
    <row r="217" spans="1:11" ht="14.4" customHeight="1" thickBot="1" x14ac:dyDescent="0.35">
      <c r="A217" s="689" t="s">
        <v>563</v>
      </c>
      <c r="B217" s="667">
        <v>72.570731140269999</v>
      </c>
      <c r="C217" s="667">
        <v>19.350000000000001</v>
      </c>
      <c r="D217" s="668">
        <v>-53.220731140269997</v>
      </c>
      <c r="E217" s="669">
        <v>0.26663642071600002</v>
      </c>
      <c r="F217" s="667">
        <v>19.156661869002999</v>
      </c>
      <c r="G217" s="668">
        <v>3.1927769781670001</v>
      </c>
      <c r="H217" s="670">
        <v>0</v>
      </c>
      <c r="I217" s="667">
        <v>0</v>
      </c>
      <c r="J217" s="668">
        <v>-3.1927769781670001</v>
      </c>
      <c r="K217" s="671">
        <v>0</v>
      </c>
    </row>
    <row r="218" spans="1:11" ht="14.4" customHeight="1" thickBot="1" x14ac:dyDescent="0.35">
      <c r="A218" s="689" t="s">
        <v>564</v>
      </c>
      <c r="B218" s="667">
        <v>0</v>
      </c>
      <c r="C218" s="667">
        <v>0</v>
      </c>
      <c r="D218" s="668">
        <v>0</v>
      </c>
      <c r="E218" s="669">
        <v>1</v>
      </c>
      <c r="F218" s="667">
        <v>0</v>
      </c>
      <c r="G218" s="668">
        <v>0</v>
      </c>
      <c r="H218" s="670">
        <v>4.0739999999999998E-2</v>
      </c>
      <c r="I218" s="667">
        <v>8.3799999999999999E-2</v>
      </c>
      <c r="J218" s="668">
        <v>8.3799999999999999E-2</v>
      </c>
      <c r="K218" s="678" t="s">
        <v>399</v>
      </c>
    </row>
    <row r="219" spans="1:11" ht="14.4" customHeight="1" thickBot="1" x14ac:dyDescent="0.35">
      <c r="A219" s="689" t="s">
        <v>565</v>
      </c>
      <c r="B219" s="667">
        <v>29.901426443942</v>
      </c>
      <c r="C219" s="667">
        <v>20.761150000000001</v>
      </c>
      <c r="D219" s="668">
        <v>-9.1402764439419997</v>
      </c>
      <c r="E219" s="669">
        <v>0.69431971878999998</v>
      </c>
      <c r="F219" s="667">
        <v>0</v>
      </c>
      <c r="G219" s="668">
        <v>0</v>
      </c>
      <c r="H219" s="670">
        <v>0</v>
      </c>
      <c r="I219" s="667">
        <v>0</v>
      </c>
      <c r="J219" s="668">
        <v>0</v>
      </c>
      <c r="K219" s="678" t="s">
        <v>354</v>
      </c>
    </row>
    <row r="220" spans="1:11" ht="14.4" customHeight="1" thickBot="1" x14ac:dyDescent="0.35">
      <c r="A220" s="685" t="s">
        <v>566</v>
      </c>
      <c r="B220" s="667">
        <v>6659.2558645003401</v>
      </c>
      <c r="C220" s="667">
        <v>7905.6488300000001</v>
      </c>
      <c r="D220" s="668">
        <v>1246.39296549966</v>
      </c>
      <c r="E220" s="669">
        <v>1.1871670034699999</v>
      </c>
      <c r="F220" s="667">
        <v>0</v>
      </c>
      <c r="G220" s="668">
        <v>0</v>
      </c>
      <c r="H220" s="670">
        <v>570.01849000000004</v>
      </c>
      <c r="I220" s="667">
        <v>1155.47154</v>
      </c>
      <c r="J220" s="668">
        <v>1155.47154</v>
      </c>
      <c r="K220" s="678" t="s">
        <v>399</v>
      </c>
    </row>
    <row r="221" spans="1:11" ht="14.4" customHeight="1" thickBot="1" x14ac:dyDescent="0.35">
      <c r="A221" s="690" t="s">
        <v>567</v>
      </c>
      <c r="B221" s="672">
        <v>6659.2558645003401</v>
      </c>
      <c r="C221" s="672">
        <v>7905.6488300000001</v>
      </c>
      <c r="D221" s="673">
        <v>1246.39296549966</v>
      </c>
      <c r="E221" s="679">
        <v>1.1871670034699999</v>
      </c>
      <c r="F221" s="672">
        <v>0</v>
      </c>
      <c r="G221" s="673">
        <v>0</v>
      </c>
      <c r="H221" s="675">
        <v>570.01849000000004</v>
      </c>
      <c r="I221" s="672">
        <v>1155.47154</v>
      </c>
      <c r="J221" s="673">
        <v>1155.47154</v>
      </c>
      <c r="K221" s="676" t="s">
        <v>399</v>
      </c>
    </row>
    <row r="222" spans="1:11" ht="14.4" customHeight="1" thickBot="1" x14ac:dyDescent="0.35">
      <c r="A222" s="692" t="s">
        <v>54</v>
      </c>
      <c r="B222" s="672">
        <v>6659.2558645003401</v>
      </c>
      <c r="C222" s="672">
        <v>7905.6488300000001</v>
      </c>
      <c r="D222" s="673">
        <v>1246.39296549966</v>
      </c>
      <c r="E222" s="679">
        <v>1.1871670034699999</v>
      </c>
      <c r="F222" s="672">
        <v>0</v>
      </c>
      <c r="G222" s="673">
        <v>0</v>
      </c>
      <c r="H222" s="675">
        <v>570.01849000000004</v>
      </c>
      <c r="I222" s="672">
        <v>1155.47154</v>
      </c>
      <c r="J222" s="673">
        <v>1155.47154</v>
      </c>
      <c r="K222" s="676" t="s">
        <v>399</v>
      </c>
    </row>
    <row r="223" spans="1:11" ht="14.4" customHeight="1" thickBot="1" x14ac:dyDescent="0.35">
      <c r="A223" s="691" t="s">
        <v>568</v>
      </c>
      <c r="B223" s="667">
        <v>0</v>
      </c>
      <c r="C223" s="667">
        <v>0</v>
      </c>
      <c r="D223" s="668">
        <v>0</v>
      </c>
      <c r="E223" s="669">
        <v>1</v>
      </c>
      <c r="F223" s="667">
        <v>0</v>
      </c>
      <c r="G223" s="668">
        <v>0</v>
      </c>
      <c r="H223" s="670">
        <v>9.2396100000000008</v>
      </c>
      <c r="I223" s="667">
        <v>18.905370000000001</v>
      </c>
      <c r="J223" s="668">
        <v>18.905370000000001</v>
      </c>
      <c r="K223" s="678" t="s">
        <v>399</v>
      </c>
    </row>
    <row r="224" spans="1:11" ht="14.4" customHeight="1" thickBot="1" x14ac:dyDescent="0.35">
      <c r="A224" s="689" t="s">
        <v>569</v>
      </c>
      <c r="B224" s="667">
        <v>0</v>
      </c>
      <c r="C224" s="667">
        <v>0</v>
      </c>
      <c r="D224" s="668">
        <v>0</v>
      </c>
      <c r="E224" s="669">
        <v>1</v>
      </c>
      <c r="F224" s="667">
        <v>0</v>
      </c>
      <c r="G224" s="668">
        <v>0</v>
      </c>
      <c r="H224" s="670">
        <v>9.2396100000000008</v>
      </c>
      <c r="I224" s="667">
        <v>18.905370000000001</v>
      </c>
      <c r="J224" s="668">
        <v>18.905370000000001</v>
      </c>
      <c r="K224" s="678" t="s">
        <v>399</v>
      </c>
    </row>
    <row r="225" spans="1:11" ht="14.4" customHeight="1" thickBot="1" x14ac:dyDescent="0.35">
      <c r="A225" s="688" t="s">
        <v>570</v>
      </c>
      <c r="B225" s="672">
        <v>111.15125249994099</v>
      </c>
      <c r="C225" s="672">
        <v>102.932</v>
      </c>
      <c r="D225" s="673">
        <v>-8.2192524999399996</v>
      </c>
      <c r="E225" s="679">
        <v>0.92605344235800002</v>
      </c>
      <c r="F225" s="672">
        <v>0</v>
      </c>
      <c r="G225" s="673">
        <v>0</v>
      </c>
      <c r="H225" s="675">
        <v>9.8569999999999993</v>
      </c>
      <c r="I225" s="672">
        <v>19.713999999999999</v>
      </c>
      <c r="J225" s="673">
        <v>19.713999999999999</v>
      </c>
      <c r="K225" s="676" t="s">
        <v>399</v>
      </c>
    </row>
    <row r="226" spans="1:11" ht="14.4" customHeight="1" thickBot="1" x14ac:dyDescent="0.35">
      <c r="A226" s="689" t="s">
        <v>571</v>
      </c>
      <c r="B226" s="667">
        <v>111.15125249994099</v>
      </c>
      <c r="C226" s="667">
        <v>102.932</v>
      </c>
      <c r="D226" s="668">
        <v>-8.2192524999399996</v>
      </c>
      <c r="E226" s="669">
        <v>0.92605344235800002</v>
      </c>
      <c r="F226" s="667">
        <v>0</v>
      </c>
      <c r="G226" s="668">
        <v>0</v>
      </c>
      <c r="H226" s="670">
        <v>9.8569999999999993</v>
      </c>
      <c r="I226" s="667">
        <v>19.713999999999999</v>
      </c>
      <c r="J226" s="668">
        <v>19.713999999999999</v>
      </c>
      <c r="K226" s="678" t="s">
        <v>399</v>
      </c>
    </row>
    <row r="227" spans="1:11" ht="14.4" customHeight="1" thickBot="1" x14ac:dyDescent="0.35">
      <c r="A227" s="688" t="s">
        <v>572</v>
      </c>
      <c r="B227" s="672">
        <v>70.975475885592004</v>
      </c>
      <c r="C227" s="672">
        <v>70.857619999999997</v>
      </c>
      <c r="D227" s="673">
        <v>-0.117855885592</v>
      </c>
      <c r="E227" s="679">
        <v>0.99833948438999998</v>
      </c>
      <c r="F227" s="672">
        <v>0</v>
      </c>
      <c r="G227" s="673">
        <v>0</v>
      </c>
      <c r="H227" s="675">
        <v>4.6181599999999996</v>
      </c>
      <c r="I227" s="672">
        <v>8.3291799999999991</v>
      </c>
      <c r="J227" s="673">
        <v>8.3291799999999991</v>
      </c>
      <c r="K227" s="676" t="s">
        <v>399</v>
      </c>
    </row>
    <row r="228" spans="1:11" ht="14.4" customHeight="1" thickBot="1" x14ac:dyDescent="0.35">
      <c r="A228" s="689" t="s">
        <v>573</v>
      </c>
      <c r="B228" s="667">
        <v>49.490278912242999</v>
      </c>
      <c r="C228" s="667">
        <v>51.06</v>
      </c>
      <c r="D228" s="668">
        <v>1.5697210877559999</v>
      </c>
      <c r="E228" s="669">
        <v>1.031717766039</v>
      </c>
      <c r="F228" s="667">
        <v>0</v>
      </c>
      <c r="G228" s="668">
        <v>0</v>
      </c>
      <c r="H228" s="670">
        <v>2.96</v>
      </c>
      <c r="I228" s="667">
        <v>4.8099999999999996</v>
      </c>
      <c r="J228" s="668">
        <v>4.8099999999999996</v>
      </c>
      <c r="K228" s="678" t="s">
        <v>399</v>
      </c>
    </row>
    <row r="229" spans="1:11" ht="14.4" customHeight="1" thickBot="1" x14ac:dyDescent="0.35">
      <c r="A229" s="689" t="s">
        <v>574</v>
      </c>
      <c r="B229" s="667">
        <v>0.33885715784199999</v>
      </c>
      <c r="C229" s="667">
        <v>7.6100000000000001E-2</v>
      </c>
      <c r="D229" s="668">
        <v>-0.26275715784199999</v>
      </c>
      <c r="E229" s="669">
        <v>0.22457840490700001</v>
      </c>
      <c r="F229" s="667">
        <v>0</v>
      </c>
      <c r="G229" s="668">
        <v>0</v>
      </c>
      <c r="H229" s="670">
        <v>0</v>
      </c>
      <c r="I229" s="667">
        <v>0</v>
      </c>
      <c r="J229" s="668">
        <v>0</v>
      </c>
      <c r="K229" s="671">
        <v>2</v>
      </c>
    </row>
    <row r="230" spans="1:11" ht="14.4" customHeight="1" thickBot="1" x14ac:dyDescent="0.35">
      <c r="A230" s="689" t="s">
        <v>575</v>
      </c>
      <c r="B230" s="667">
        <v>21.146339815506</v>
      </c>
      <c r="C230" s="667">
        <v>19.721520000000002</v>
      </c>
      <c r="D230" s="668">
        <v>-1.4248198155059999</v>
      </c>
      <c r="E230" s="669">
        <v>0.93262097233100005</v>
      </c>
      <c r="F230" s="667">
        <v>0</v>
      </c>
      <c r="G230" s="668">
        <v>0</v>
      </c>
      <c r="H230" s="670">
        <v>1.6581600000000001</v>
      </c>
      <c r="I230" s="667">
        <v>3.51918</v>
      </c>
      <c r="J230" s="668">
        <v>3.51918</v>
      </c>
      <c r="K230" s="678" t="s">
        <v>399</v>
      </c>
    </row>
    <row r="231" spans="1:11" ht="14.4" customHeight="1" thickBot="1" x14ac:dyDescent="0.35">
      <c r="A231" s="688" t="s">
        <v>576</v>
      </c>
      <c r="B231" s="672">
        <v>861.21953740777303</v>
      </c>
      <c r="C231" s="672">
        <v>958.26967999999999</v>
      </c>
      <c r="D231" s="673">
        <v>97.050142592225995</v>
      </c>
      <c r="E231" s="679">
        <v>1.1126892022029999</v>
      </c>
      <c r="F231" s="672">
        <v>0</v>
      </c>
      <c r="G231" s="673">
        <v>0</v>
      </c>
      <c r="H231" s="675">
        <v>66.756640000000004</v>
      </c>
      <c r="I231" s="672">
        <v>138.38811999999999</v>
      </c>
      <c r="J231" s="673">
        <v>138.38811999999999</v>
      </c>
      <c r="K231" s="676" t="s">
        <v>399</v>
      </c>
    </row>
    <row r="232" spans="1:11" ht="14.4" customHeight="1" thickBot="1" x14ac:dyDescent="0.35">
      <c r="A232" s="689" t="s">
        <v>577</v>
      </c>
      <c r="B232" s="667">
        <v>861.21953740777303</v>
      </c>
      <c r="C232" s="667">
        <v>958.26967999999999</v>
      </c>
      <c r="D232" s="668">
        <v>97.050142592225995</v>
      </c>
      <c r="E232" s="669">
        <v>1.1126892022029999</v>
      </c>
      <c r="F232" s="667">
        <v>0</v>
      </c>
      <c r="G232" s="668">
        <v>0</v>
      </c>
      <c r="H232" s="670">
        <v>66.756640000000004</v>
      </c>
      <c r="I232" s="667">
        <v>138.38811999999999</v>
      </c>
      <c r="J232" s="668">
        <v>138.38811999999999</v>
      </c>
      <c r="K232" s="678" t="s">
        <v>399</v>
      </c>
    </row>
    <row r="233" spans="1:11" ht="14.4" customHeight="1" thickBot="1" x14ac:dyDescent="0.35">
      <c r="A233" s="688" t="s">
        <v>578</v>
      </c>
      <c r="B233" s="672">
        <v>0</v>
      </c>
      <c r="C233" s="672">
        <v>2.7440000000000002</v>
      </c>
      <c r="D233" s="673">
        <v>2.7440000000000002</v>
      </c>
      <c r="E233" s="674" t="s">
        <v>399</v>
      </c>
      <c r="F233" s="672">
        <v>0</v>
      </c>
      <c r="G233" s="673">
        <v>0</v>
      </c>
      <c r="H233" s="675">
        <v>0.13800000000000001</v>
      </c>
      <c r="I233" s="672">
        <v>0.22600000000000001</v>
      </c>
      <c r="J233" s="673">
        <v>0.22600000000000001</v>
      </c>
      <c r="K233" s="676" t="s">
        <v>399</v>
      </c>
    </row>
    <row r="234" spans="1:11" ht="14.4" customHeight="1" thickBot="1" x14ac:dyDescent="0.35">
      <c r="A234" s="689" t="s">
        <v>579</v>
      </c>
      <c r="B234" s="667">
        <v>0</v>
      </c>
      <c r="C234" s="667">
        <v>2.7440000000000002</v>
      </c>
      <c r="D234" s="668">
        <v>2.7440000000000002</v>
      </c>
      <c r="E234" s="677" t="s">
        <v>399</v>
      </c>
      <c r="F234" s="667">
        <v>0</v>
      </c>
      <c r="G234" s="668">
        <v>0</v>
      </c>
      <c r="H234" s="670">
        <v>0.13800000000000001</v>
      </c>
      <c r="I234" s="667">
        <v>0.22600000000000001</v>
      </c>
      <c r="J234" s="668">
        <v>0.22600000000000001</v>
      </c>
      <c r="K234" s="678" t="s">
        <v>399</v>
      </c>
    </row>
    <row r="235" spans="1:11" ht="14.4" customHeight="1" thickBot="1" x14ac:dyDescent="0.35">
      <c r="A235" s="688" t="s">
        <v>580</v>
      </c>
      <c r="B235" s="672">
        <v>775.35354980963496</v>
      </c>
      <c r="C235" s="672">
        <v>741.84888999999998</v>
      </c>
      <c r="D235" s="673">
        <v>-33.504659809635001</v>
      </c>
      <c r="E235" s="679">
        <v>0.95678789396399999</v>
      </c>
      <c r="F235" s="672">
        <v>0</v>
      </c>
      <c r="G235" s="673">
        <v>0</v>
      </c>
      <c r="H235" s="675">
        <v>40.907530000000001</v>
      </c>
      <c r="I235" s="672">
        <v>83.809219999999996</v>
      </c>
      <c r="J235" s="673">
        <v>83.809219999999996</v>
      </c>
      <c r="K235" s="676" t="s">
        <v>399</v>
      </c>
    </row>
    <row r="236" spans="1:11" ht="14.4" customHeight="1" thickBot="1" x14ac:dyDescent="0.35">
      <c r="A236" s="689" t="s">
        <v>581</v>
      </c>
      <c r="B236" s="667">
        <v>775.35354980963496</v>
      </c>
      <c r="C236" s="667">
        <v>741.84888999999998</v>
      </c>
      <c r="D236" s="668">
        <v>-33.504659809635001</v>
      </c>
      <c r="E236" s="669">
        <v>0.95678789396399999</v>
      </c>
      <c r="F236" s="667">
        <v>0</v>
      </c>
      <c r="G236" s="668">
        <v>0</v>
      </c>
      <c r="H236" s="670">
        <v>40.907530000000001</v>
      </c>
      <c r="I236" s="667">
        <v>83.809219999999996</v>
      </c>
      <c r="J236" s="668">
        <v>83.809219999999996</v>
      </c>
      <c r="K236" s="678" t="s">
        <v>399</v>
      </c>
    </row>
    <row r="237" spans="1:11" ht="14.4" customHeight="1" thickBot="1" x14ac:dyDescent="0.35">
      <c r="A237" s="688" t="s">
        <v>582</v>
      </c>
      <c r="B237" s="672">
        <v>0</v>
      </c>
      <c r="C237" s="672">
        <v>1027.4159299999999</v>
      </c>
      <c r="D237" s="673">
        <v>1027.4159299999999</v>
      </c>
      <c r="E237" s="674" t="s">
        <v>399</v>
      </c>
      <c r="F237" s="672">
        <v>0</v>
      </c>
      <c r="G237" s="673">
        <v>0</v>
      </c>
      <c r="H237" s="675">
        <v>79.593689999999995</v>
      </c>
      <c r="I237" s="672">
        <v>154.13952</v>
      </c>
      <c r="J237" s="673">
        <v>154.13952</v>
      </c>
      <c r="K237" s="676" t="s">
        <v>399</v>
      </c>
    </row>
    <row r="238" spans="1:11" ht="14.4" customHeight="1" thickBot="1" x14ac:dyDescent="0.35">
      <c r="A238" s="689" t="s">
        <v>583</v>
      </c>
      <c r="B238" s="667">
        <v>0</v>
      </c>
      <c r="C238" s="667">
        <v>1027.4159299999999</v>
      </c>
      <c r="D238" s="668">
        <v>1027.4159299999999</v>
      </c>
      <c r="E238" s="677" t="s">
        <v>399</v>
      </c>
      <c r="F238" s="667">
        <v>0</v>
      </c>
      <c r="G238" s="668">
        <v>0</v>
      </c>
      <c r="H238" s="670">
        <v>79.593689999999995</v>
      </c>
      <c r="I238" s="667">
        <v>154.13952</v>
      </c>
      <c r="J238" s="668">
        <v>154.13952</v>
      </c>
      <c r="K238" s="678" t="s">
        <v>399</v>
      </c>
    </row>
    <row r="239" spans="1:11" ht="14.4" customHeight="1" thickBot="1" x14ac:dyDescent="0.35">
      <c r="A239" s="688" t="s">
        <v>584</v>
      </c>
      <c r="B239" s="672">
        <v>4840.5560488973997</v>
      </c>
      <c r="C239" s="672">
        <v>5001.5807100000002</v>
      </c>
      <c r="D239" s="673">
        <v>161.02466110259999</v>
      </c>
      <c r="E239" s="679">
        <v>1.0332657363069999</v>
      </c>
      <c r="F239" s="672">
        <v>0</v>
      </c>
      <c r="G239" s="673">
        <v>0</v>
      </c>
      <c r="H239" s="675">
        <v>358.90786000000003</v>
      </c>
      <c r="I239" s="672">
        <v>731.96013000000005</v>
      </c>
      <c r="J239" s="673">
        <v>731.96013000000005</v>
      </c>
      <c r="K239" s="676" t="s">
        <v>399</v>
      </c>
    </row>
    <row r="240" spans="1:11" ht="14.4" customHeight="1" thickBot="1" x14ac:dyDescent="0.35">
      <c r="A240" s="689" t="s">
        <v>585</v>
      </c>
      <c r="B240" s="667">
        <v>4840.5560488973997</v>
      </c>
      <c r="C240" s="667">
        <v>5001.5807100000002</v>
      </c>
      <c r="D240" s="668">
        <v>161.02466110259999</v>
      </c>
      <c r="E240" s="669">
        <v>1.0332657363069999</v>
      </c>
      <c r="F240" s="667">
        <v>0</v>
      </c>
      <c r="G240" s="668">
        <v>0</v>
      </c>
      <c r="H240" s="670">
        <v>358.90786000000003</v>
      </c>
      <c r="I240" s="667">
        <v>731.96013000000005</v>
      </c>
      <c r="J240" s="668">
        <v>731.96013000000005</v>
      </c>
      <c r="K240" s="678" t="s">
        <v>399</v>
      </c>
    </row>
    <row r="241" spans="1:11" ht="14.4" customHeight="1" thickBot="1" x14ac:dyDescent="0.35">
      <c r="A241" s="693" t="s">
        <v>586</v>
      </c>
      <c r="B241" s="672">
        <v>0</v>
      </c>
      <c r="C241" s="672">
        <v>9.9082899999999992</v>
      </c>
      <c r="D241" s="673">
        <v>9.9082899999999992</v>
      </c>
      <c r="E241" s="674" t="s">
        <v>399</v>
      </c>
      <c r="F241" s="672">
        <v>0</v>
      </c>
      <c r="G241" s="673">
        <v>0</v>
      </c>
      <c r="H241" s="675">
        <v>0.33162999999999998</v>
      </c>
      <c r="I241" s="672">
        <v>1.8835900000000001</v>
      </c>
      <c r="J241" s="673">
        <v>1.8835900000000001</v>
      </c>
      <c r="K241" s="676" t="s">
        <v>399</v>
      </c>
    </row>
    <row r="242" spans="1:11" ht="14.4" customHeight="1" thickBot="1" x14ac:dyDescent="0.35">
      <c r="A242" s="690" t="s">
        <v>587</v>
      </c>
      <c r="B242" s="672">
        <v>0</v>
      </c>
      <c r="C242" s="672">
        <v>9.9082899999999992</v>
      </c>
      <c r="D242" s="673">
        <v>9.9082899999999992</v>
      </c>
      <c r="E242" s="674" t="s">
        <v>399</v>
      </c>
      <c r="F242" s="672">
        <v>0</v>
      </c>
      <c r="G242" s="673">
        <v>0</v>
      </c>
      <c r="H242" s="675">
        <v>0.33162999999999998</v>
      </c>
      <c r="I242" s="672">
        <v>1.8835900000000001</v>
      </c>
      <c r="J242" s="673">
        <v>1.8835900000000001</v>
      </c>
      <c r="K242" s="676" t="s">
        <v>399</v>
      </c>
    </row>
    <row r="243" spans="1:11" ht="14.4" customHeight="1" thickBot="1" x14ac:dyDescent="0.35">
      <c r="A243" s="692" t="s">
        <v>588</v>
      </c>
      <c r="B243" s="672">
        <v>0</v>
      </c>
      <c r="C243" s="672">
        <v>9.9082899999999992</v>
      </c>
      <c r="D243" s="673">
        <v>9.9082899999999992</v>
      </c>
      <c r="E243" s="674" t="s">
        <v>399</v>
      </c>
      <c r="F243" s="672">
        <v>0</v>
      </c>
      <c r="G243" s="673">
        <v>0</v>
      </c>
      <c r="H243" s="675">
        <v>0.33162999999999998</v>
      </c>
      <c r="I243" s="672">
        <v>1.8835900000000001</v>
      </c>
      <c r="J243" s="673">
        <v>1.8835900000000001</v>
      </c>
      <c r="K243" s="676" t="s">
        <v>399</v>
      </c>
    </row>
    <row r="244" spans="1:11" ht="14.4" customHeight="1" thickBot="1" x14ac:dyDescent="0.35">
      <c r="A244" s="688" t="s">
        <v>589</v>
      </c>
      <c r="B244" s="672">
        <v>0</v>
      </c>
      <c r="C244" s="672">
        <v>9.9082899999999992</v>
      </c>
      <c r="D244" s="673">
        <v>9.9082899999999992</v>
      </c>
      <c r="E244" s="674" t="s">
        <v>399</v>
      </c>
      <c r="F244" s="672">
        <v>0</v>
      </c>
      <c r="G244" s="673">
        <v>0</v>
      </c>
      <c r="H244" s="675">
        <v>0.33162999999999998</v>
      </c>
      <c r="I244" s="672">
        <v>1.8835900000000001</v>
      </c>
      <c r="J244" s="673">
        <v>1.8835900000000001</v>
      </c>
      <c r="K244" s="676" t="s">
        <v>399</v>
      </c>
    </row>
    <row r="245" spans="1:11" ht="14.4" customHeight="1" thickBot="1" x14ac:dyDescent="0.35">
      <c r="A245" s="689" t="s">
        <v>590</v>
      </c>
      <c r="B245" s="667">
        <v>0</v>
      </c>
      <c r="C245" s="667">
        <v>9.9082899999999992</v>
      </c>
      <c r="D245" s="668">
        <v>9.9082899999999992</v>
      </c>
      <c r="E245" s="677" t="s">
        <v>399</v>
      </c>
      <c r="F245" s="667">
        <v>0</v>
      </c>
      <c r="G245" s="668">
        <v>0</v>
      </c>
      <c r="H245" s="670">
        <v>0.33162999999999998</v>
      </c>
      <c r="I245" s="667">
        <v>1.8835900000000001</v>
      </c>
      <c r="J245" s="668">
        <v>1.8835900000000001</v>
      </c>
      <c r="K245" s="678" t="s">
        <v>399</v>
      </c>
    </row>
    <row r="246" spans="1:11" ht="14.4" customHeight="1" thickBot="1" x14ac:dyDescent="0.35">
      <c r="A246" s="694"/>
      <c r="B246" s="667">
        <v>-22031.265738964401</v>
      </c>
      <c r="C246" s="667">
        <v>-26124.117579999998</v>
      </c>
      <c r="D246" s="668">
        <v>-4092.8518410356301</v>
      </c>
      <c r="E246" s="669">
        <v>1.1857747026209999</v>
      </c>
      <c r="F246" s="667">
        <v>-17040.779143331401</v>
      </c>
      <c r="G246" s="668">
        <v>-2840.1298572218998</v>
      </c>
      <c r="H246" s="670">
        <v>-1835.3820800000001</v>
      </c>
      <c r="I246" s="667">
        <v>-3713.6710699999999</v>
      </c>
      <c r="J246" s="668">
        <v>-873.54121277809895</v>
      </c>
      <c r="K246" s="671">
        <v>0.21792847843099999</v>
      </c>
    </row>
    <row r="247" spans="1:11" ht="14.4" customHeight="1" thickBot="1" x14ac:dyDescent="0.35">
      <c r="A247" s="695" t="s">
        <v>66</v>
      </c>
      <c r="B247" s="681">
        <v>-22031.265738964401</v>
      </c>
      <c r="C247" s="681">
        <v>-26124.117579999998</v>
      </c>
      <c r="D247" s="682">
        <v>-4092.8518410356301</v>
      </c>
      <c r="E247" s="683" t="s">
        <v>399</v>
      </c>
      <c r="F247" s="681">
        <v>-17040.779143331401</v>
      </c>
      <c r="G247" s="682">
        <v>-2840.1298572218998</v>
      </c>
      <c r="H247" s="681">
        <v>-1835.3820800000001</v>
      </c>
      <c r="I247" s="681">
        <v>-3713.6710699999999</v>
      </c>
      <c r="J247" s="682">
        <v>-873.54121277809895</v>
      </c>
      <c r="K247" s="684">
        <v>0.21792847843099999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8" t="s">
        <v>176</v>
      </c>
      <c r="B1" s="549"/>
      <c r="C1" s="549"/>
      <c r="D1" s="549"/>
      <c r="E1" s="549"/>
      <c r="F1" s="549"/>
      <c r="G1" s="519"/>
      <c r="H1" s="550"/>
      <c r="I1" s="550"/>
    </row>
    <row r="2" spans="1:10" ht="14.4" customHeight="1" thickBot="1" x14ac:dyDescent="0.35">
      <c r="A2" s="374" t="s">
        <v>353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505"/>
      <c r="C3" s="504">
        <v>2015</v>
      </c>
      <c r="D3" s="435">
        <v>2016</v>
      </c>
      <c r="E3" s="11"/>
      <c r="F3" s="527">
        <v>2017</v>
      </c>
      <c r="G3" s="545"/>
      <c r="H3" s="545"/>
      <c r="I3" s="528"/>
    </row>
    <row r="4" spans="1:10" ht="14.4" customHeight="1" thickBot="1" x14ac:dyDescent="0.35">
      <c r="A4" s="439" t="s">
        <v>0</v>
      </c>
      <c r="B4" s="440" t="s">
        <v>279</v>
      </c>
      <c r="C4" s="546" t="s">
        <v>94</v>
      </c>
      <c r="D4" s="547"/>
      <c r="E4" s="441"/>
      <c r="F4" s="436" t="s">
        <v>94</v>
      </c>
      <c r="G4" s="437" t="s">
        <v>95</v>
      </c>
      <c r="H4" s="437" t="s">
        <v>69</v>
      </c>
      <c r="I4" s="438" t="s">
        <v>96</v>
      </c>
    </row>
    <row r="5" spans="1:10" ht="14.4" customHeight="1" x14ac:dyDescent="0.3">
      <c r="A5" s="696" t="s">
        <v>591</v>
      </c>
      <c r="B5" s="697" t="s">
        <v>592</v>
      </c>
      <c r="C5" s="698" t="s">
        <v>593</v>
      </c>
      <c r="D5" s="698" t="s">
        <v>593</v>
      </c>
      <c r="E5" s="698"/>
      <c r="F5" s="698" t="s">
        <v>593</v>
      </c>
      <c r="G5" s="698" t="s">
        <v>593</v>
      </c>
      <c r="H5" s="698" t="s">
        <v>593</v>
      </c>
      <c r="I5" s="699" t="s">
        <v>593</v>
      </c>
      <c r="J5" s="700" t="s">
        <v>74</v>
      </c>
    </row>
    <row r="6" spans="1:10" ht="14.4" customHeight="1" x14ac:dyDescent="0.3">
      <c r="A6" s="696" t="s">
        <v>591</v>
      </c>
      <c r="B6" s="697" t="s">
        <v>362</v>
      </c>
      <c r="C6" s="698">
        <v>184.35772</v>
      </c>
      <c r="D6" s="698">
        <v>169.52331999999998</v>
      </c>
      <c r="E6" s="698"/>
      <c r="F6" s="698">
        <v>138.03432000000001</v>
      </c>
      <c r="G6" s="698">
        <v>212.49999999999983</v>
      </c>
      <c r="H6" s="698">
        <v>-74.465679999999821</v>
      </c>
      <c r="I6" s="699">
        <v>0.64957327058823588</v>
      </c>
      <c r="J6" s="700" t="s">
        <v>1</v>
      </c>
    </row>
    <row r="7" spans="1:10" ht="14.4" customHeight="1" x14ac:dyDescent="0.3">
      <c r="A7" s="696" t="s">
        <v>591</v>
      </c>
      <c r="B7" s="697" t="s">
        <v>363</v>
      </c>
      <c r="C7" s="698">
        <v>0</v>
      </c>
      <c r="D7" s="698">
        <v>0</v>
      </c>
      <c r="E7" s="698"/>
      <c r="F7" s="698">
        <v>0</v>
      </c>
      <c r="G7" s="698">
        <v>9.999999999999833</v>
      </c>
      <c r="H7" s="698">
        <v>-9.999999999999833</v>
      </c>
      <c r="I7" s="699">
        <v>0</v>
      </c>
      <c r="J7" s="700" t="s">
        <v>1</v>
      </c>
    </row>
    <row r="8" spans="1:10" ht="14.4" customHeight="1" x14ac:dyDescent="0.3">
      <c r="A8" s="696" t="s">
        <v>591</v>
      </c>
      <c r="B8" s="697" t="s">
        <v>364</v>
      </c>
      <c r="C8" s="698">
        <v>8.2592600000000012</v>
      </c>
      <c r="D8" s="698">
        <v>0</v>
      </c>
      <c r="E8" s="698"/>
      <c r="F8" s="698">
        <v>0.78244999999999998</v>
      </c>
      <c r="G8" s="698">
        <v>0.83333333333316673</v>
      </c>
      <c r="H8" s="698">
        <v>-5.0883333333166747E-2</v>
      </c>
      <c r="I8" s="699">
        <v>0.93894000000018774</v>
      </c>
      <c r="J8" s="700" t="s">
        <v>1</v>
      </c>
    </row>
    <row r="9" spans="1:10" ht="14.4" customHeight="1" x14ac:dyDescent="0.3">
      <c r="A9" s="696" t="s">
        <v>591</v>
      </c>
      <c r="B9" s="697" t="s">
        <v>365</v>
      </c>
      <c r="C9" s="698">
        <v>0</v>
      </c>
      <c r="D9" s="698">
        <v>0</v>
      </c>
      <c r="E9" s="698"/>
      <c r="F9" s="698">
        <v>44.233719999999998</v>
      </c>
      <c r="G9" s="698">
        <v>36.666666666666664</v>
      </c>
      <c r="H9" s="698">
        <v>7.5670533333333339</v>
      </c>
      <c r="I9" s="699">
        <v>1.2063741818181819</v>
      </c>
      <c r="J9" s="700" t="s">
        <v>1</v>
      </c>
    </row>
    <row r="10" spans="1:10" ht="14.4" customHeight="1" x14ac:dyDescent="0.3">
      <c r="A10" s="696" t="s">
        <v>591</v>
      </c>
      <c r="B10" s="697" t="s">
        <v>366</v>
      </c>
      <c r="C10" s="698">
        <v>0</v>
      </c>
      <c r="D10" s="698">
        <v>0</v>
      </c>
      <c r="E10" s="698"/>
      <c r="F10" s="698">
        <v>140.33888999999999</v>
      </c>
      <c r="G10" s="698">
        <v>43.333333333333165</v>
      </c>
      <c r="H10" s="698">
        <v>97.00555666666682</v>
      </c>
      <c r="I10" s="699">
        <v>3.2385897692307815</v>
      </c>
      <c r="J10" s="700" t="s">
        <v>1</v>
      </c>
    </row>
    <row r="11" spans="1:10" ht="14.4" customHeight="1" x14ac:dyDescent="0.3">
      <c r="A11" s="696" t="s">
        <v>591</v>
      </c>
      <c r="B11" s="697" t="s">
        <v>367</v>
      </c>
      <c r="C11" s="698">
        <v>69.708889999999997</v>
      </c>
      <c r="D11" s="698">
        <v>30.77037</v>
      </c>
      <c r="E11" s="698"/>
      <c r="F11" s="698">
        <v>56.210380000000001</v>
      </c>
      <c r="G11" s="698">
        <v>100</v>
      </c>
      <c r="H11" s="698">
        <v>-43.789619999999999</v>
      </c>
      <c r="I11" s="699">
        <v>0.56210380000000004</v>
      </c>
      <c r="J11" s="700" t="s">
        <v>1</v>
      </c>
    </row>
    <row r="12" spans="1:10" ht="14.4" customHeight="1" x14ac:dyDescent="0.3">
      <c r="A12" s="696" t="s">
        <v>591</v>
      </c>
      <c r="B12" s="697" t="s">
        <v>368</v>
      </c>
      <c r="C12" s="698">
        <v>0.99371000000000009</v>
      </c>
      <c r="D12" s="698">
        <v>0</v>
      </c>
      <c r="E12" s="698"/>
      <c r="F12" s="698">
        <v>0.66605000000000003</v>
      </c>
      <c r="G12" s="698">
        <v>3.2666666666665001</v>
      </c>
      <c r="H12" s="698">
        <v>-2.6006166666665003</v>
      </c>
      <c r="I12" s="699">
        <v>0.20389285714286756</v>
      </c>
      <c r="J12" s="700" t="s">
        <v>1</v>
      </c>
    </row>
    <row r="13" spans="1:10" ht="14.4" customHeight="1" x14ac:dyDescent="0.3">
      <c r="A13" s="696" t="s">
        <v>591</v>
      </c>
      <c r="B13" s="697" t="s">
        <v>369</v>
      </c>
      <c r="C13" s="698">
        <v>2.8979999999999997</v>
      </c>
      <c r="D13" s="698">
        <v>2.0699999999999998</v>
      </c>
      <c r="E13" s="698"/>
      <c r="F13" s="698">
        <v>2.8979999999999997</v>
      </c>
      <c r="G13" s="698">
        <v>2.499999999999833</v>
      </c>
      <c r="H13" s="698">
        <v>0.39800000000016666</v>
      </c>
      <c r="I13" s="699">
        <v>1.1592000000000773</v>
      </c>
      <c r="J13" s="700" t="s">
        <v>1</v>
      </c>
    </row>
    <row r="14" spans="1:10" ht="14.4" customHeight="1" x14ac:dyDescent="0.3">
      <c r="A14" s="696" t="s">
        <v>591</v>
      </c>
      <c r="B14" s="697" t="s">
        <v>594</v>
      </c>
      <c r="C14" s="698">
        <v>266.21758000000005</v>
      </c>
      <c r="D14" s="698">
        <v>202.36368999999996</v>
      </c>
      <c r="E14" s="698"/>
      <c r="F14" s="698">
        <v>383.16381000000001</v>
      </c>
      <c r="G14" s="698">
        <v>409.09999999999894</v>
      </c>
      <c r="H14" s="698">
        <v>-25.93618999999893</v>
      </c>
      <c r="I14" s="699">
        <v>0.93660183329259594</v>
      </c>
      <c r="J14" s="700" t="s">
        <v>595</v>
      </c>
    </row>
    <row r="16" spans="1:10" ht="14.4" customHeight="1" x14ac:dyDescent="0.3">
      <c r="A16" s="696" t="s">
        <v>591</v>
      </c>
      <c r="B16" s="697" t="s">
        <v>592</v>
      </c>
      <c r="C16" s="698" t="s">
        <v>593</v>
      </c>
      <c r="D16" s="698" t="s">
        <v>593</v>
      </c>
      <c r="E16" s="698"/>
      <c r="F16" s="698" t="s">
        <v>593</v>
      </c>
      <c r="G16" s="698" t="s">
        <v>593</v>
      </c>
      <c r="H16" s="698" t="s">
        <v>593</v>
      </c>
      <c r="I16" s="699" t="s">
        <v>593</v>
      </c>
      <c r="J16" s="700" t="s">
        <v>74</v>
      </c>
    </row>
    <row r="17" spans="1:10" ht="14.4" customHeight="1" x14ac:dyDescent="0.3">
      <c r="A17" s="696" t="s">
        <v>596</v>
      </c>
      <c r="B17" s="697" t="s">
        <v>597</v>
      </c>
      <c r="C17" s="698" t="s">
        <v>593</v>
      </c>
      <c r="D17" s="698" t="s">
        <v>593</v>
      </c>
      <c r="E17" s="698"/>
      <c r="F17" s="698" t="s">
        <v>593</v>
      </c>
      <c r="G17" s="698" t="s">
        <v>593</v>
      </c>
      <c r="H17" s="698" t="s">
        <v>593</v>
      </c>
      <c r="I17" s="699" t="s">
        <v>593</v>
      </c>
      <c r="J17" s="700" t="s">
        <v>0</v>
      </c>
    </row>
    <row r="18" spans="1:10" ht="14.4" customHeight="1" x14ac:dyDescent="0.3">
      <c r="A18" s="696" t="s">
        <v>596</v>
      </c>
      <c r="B18" s="697" t="s">
        <v>362</v>
      </c>
      <c r="C18" s="698">
        <v>86.931160000000006</v>
      </c>
      <c r="D18" s="698">
        <v>76.546899999999994</v>
      </c>
      <c r="E18" s="698"/>
      <c r="F18" s="698">
        <v>73.733029999999999</v>
      </c>
      <c r="G18" s="698">
        <v>113.02475887771101</v>
      </c>
      <c r="H18" s="698">
        <v>-39.291728877711009</v>
      </c>
      <c r="I18" s="699">
        <v>0.65236175446989153</v>
      </c>
      <c r="J18" s="700" t="s">
        <v>1</v>
      </c>
    </row>
    <row r="19" spans="1:10" ht="14.4" customHeight="1" x14ac:dyDescent="0.3">
      <c r="A19" s="696" t="s">
        <v>596</v>
      </c>
      <c r="B19" s="697" t="s">
        <v>363</v>
      </c>
      <c r="C19" s="698">
        <v>0</v>
      </c>
      <c r="D19" s="698">
        <v>0</v>
      </c>
      <c r="E19" s="698"/>
      <c r="F19" s="698">
        <v>0</v>
      </c>
      <c r="G19" s="698">
        <v>0.47689545148983337</v>
      </c>
      <c r="H19" s="698">
        <v>-0.47689545148983337</v>
      </c>
      <c r="I19" s="699">
        <v>0</v>
      </c>
      <c r="J19" s="700" t="s">
        <v>1</v>
      </c>
    </row>
    <row r="20" spans="1:10" ht="14.4" customHeight="1" x14ac:dyDescent="0.3">
      <c r="A20" s="696" t="s">
        <v>596</v>
      </c>
      <c r="B20" s="697" t="s">
        <v>364</v>
      </c>
      <c r="C20" s="698">
        <v>0.11334</v>
      </c>
      <c r="D20" s="698">
        <v>0</v>
      </c>
      <c r="E20" s="698"/>
      <c r="F20" s="698">
        <v>0</v>
      </c>
      <c r="G20" s="698">
        <v>0.32533673503166666</v>
      </c>
      <c r="H20" s="698">
        <v>-0.32533673503166666</v>
      </c>
      <c r="I20" s="699">
        <v>0</v>
      </c>
      <c r="J20" s="700" t="s">
        <v>1</v>
      </c>
    </row>
    <row r="21" spans="1:10" ht="14.4" customHeight="1" x14ac:dyDescent="0.3">
      <c r="A21" s="696" t="s">
        <v>596</v>
      </c>
      <c r="B21" s="697" t="s">
        <v>365</v>
      </c>
      <c r="C21" s="698">
        <v>0</v>
      </c>
      <c r="D21" s="698">
        <v>0</v>
      </c>
      <c r="E21" s="698"/>
      <c r="F21" s="698">
        <v>0</v>
      </c>
      <c r="G21" s="698">
        <v>1.7928167328551667</v>
      </c>
      <c r="H21" s="698">
        <v>-1.7928167328551667</v>
      </c>
      <c r="I21" s="699">
        <v>0</v>
      </c>
      <c r="J21" s="700" t="s">
        <v>1</v>
      </c>
    </row>
    <row r="22" spans="1:10" ht="14.4" customHeight="1" x14ac:dyDescent="0.3">
      <c r="A22" s="696" t="s">
        <v>596</v>
      </c>
      <c r="B22" s="697" t="s">
        <v>366</v>
      </c>
      <c r="C22" s="698">
        <v>0</v>
      </c>
      <c r="D22" s="698">
        <v>0</v>
      </c>
      <c r="E22" s="698"/>
      <c r="F22" s="698">
        <v>140.33888999999999</v>
      </c>
      <c r="G22" s="698">
        <v>30.251533331413668</v>
      </c>
      <c r="H22" s="698">
        <v>110.08735666858632</v>
      </c>
      <c r="I22" s="699">
        <v>4.639067000754963</v>
      </c>
      <c r="J22" s="700" t="s">
        <v>1</v>
      </c>
    </row>
    <row r="23" spans="1:10" ht="14.4" customHeight="1" x14ac:dyDescent="0.3">
      <c r="A23" s="696" t="s">
        <v>596</v>
      </c>
      <c r="B23" s="697" t="s">
        <v>367</v>
      </c>
      <c r="C23" s="698">
        <v>54.476329999999997</v>
      </c>
      <c r="D23" s="698">
        <v>21.557490000000001</v>
      </c>
      <c r="E23" s="698"/>
      <c r="F23" s="698">
        <v>38.553199999999997</v>
      </c>
      <c r="G23" s="698">
        <v>73.71742259036516</v>
      </c>
      <c r="H23" s="698">
        <v>-35.164222590365164</v>
      </c>
      <c r="I23" s="699">
        <v>0.52298627170178469</v>
      </c>
      <c r="J23" s="700" t="s">
        <v>1</v>
      </c>
    </row>
    <row r="24" spans="1:10" ht="14.4" customHeight="1" x14ac:dyDescent="0.3">
      <c r="A24" s="696" t="s">
        <v>596</v>
      </c>
      <c r="B24" s="697" t="s">
        <v>368</v>
      </c>
      <c r="C24" s="698">
        <v>0.38930999999999999</v>
      </c>
      <c r="D24" s="698">
        <v>0</v>
      </c>
      <c r="E24" s="698"/>
      <c r="F24" s="698">
        <v>0.11165</v>
      </c>
      <c r="G24" s="698">
        <v>1.4577639698438334</v>
      </c>
      <c r="H24" s="698">
        <v>-1.3461139698438334</v>
      </c>
      <c r="I24" s="699">
        <v>7.6589902281616135E-2</v>
      </c>
      <c r="J24" s="700" t="s">
        <v>1</v>
      </c>
    </row>
    <row r="25" spans="1:10" ht="14.4" customHeight="1" x14ac:dyDescent="0.3">
      <c r="A25" s="696" t="s">
        <v>596</v>
      </c>
      <c r="B25" s="697" t="s">
        <v>598</v>
      </c>
      <c r="C25" s="698">
        <v>141.91013999999998</v>
      </c>
      <c r="D25" s="698">
        <v>98.104389999999995</v>
      </c>
      <c r="E25" s="698"/>
      <c r="F25" s="698">
        <v>252.73676999999998</v>
      </c>
      <c r="G25" s="698">
        <v>221.04652768871034</v>
      </c>
      <c r="H25" s="698">
        <v>31.690242311289637</v>
      </c>
      <c r="I25" s="699">
        <v>1.1433645786823556</v>
      </c>
      <c r="J25" s="700" t="s">
        <v>599</v>
      </c>
    </row>
    <row r="26" spans="1:10" ht="14.4" customHeight="1" x14ac:dyDescent="0.3">
      <c r="A26" s="696" t="s">
        <v>593</v>
      </c>
      <c r="B26" s="697" t="s">
        <v>593</v>
      </c>
      <c r="C26" s="698" t="s">
        <v>593</v>
      </c>
      <c r="D26" s="698" t="s">
        <v>593</v>
      </c>
      <c r="E26" s="698"/>
      <c r="F26" s="698" t="s">
        <v>593</v>
      </c>
      <c r="G26" s="698" t="s">
        <v>593</v>
      </c>
      <c r="H26" s="698" t="s">
        <v>593</v>
      </c>
      <c r="I26" s="699" t="s">
        <v>593</v>
      </c>
      <c r="J26" s="700" t="s">
        <v>600</v>
      </c>
    </row>
    <row r="27" spans="1:10" ht="14.4" customHeight="1" x14ac:dyDescent="0.3">
      <c r="A27" s="696" t="s">
        <v>601</v>
      </c>
      <c r="B27" s="697" t="s">
        <v>602</v>
      </c>
      <c r="C27" s="698" t="s">
        <v>593</v>
      </c>
      <c r="D27" s="698" t="s">
        <v>593</v>
      </c>
      <c r="E27" s="698"/>
      <c r="F27" s="698" t="s">
        <v>593</v>
      </c>
      <c r="G27" s="698" t="s">
        <v>593</v>
      </c>
      <c r="H27" s="698" t="s">
        <v>593</v>
      </c>
      <c r="I27" s="699" t="s">
        <v>593</v>
      </c>
      <c r="J27" s="700" t="s">
        <v>0</v>
      </c>
    </row>
    <row r="28" spans="1:10" ht="14.4" customHeight="1" x14ac:dyDescent="0.3">
      <c r="A28" s="696" t="s">
        <v>601</v>
      </c>
      <c r="B28" s="697" t="s">
        <v>362</v>
      </c>
      <c r="C28" s="698">
        <v>5.3725900000000006</v>
      </c>
      <c r="D28" s="698">
        <v>2.3039100000000001</v>
      </c>
      <c r="E28" s="698"/>
      <c r="F28" s="698">
        <v>3.35433</v>
      </c>
      <c r="G28" s="698">
        <v>5.6729246529861674</v>
      </c>
      <c r="H28" s="698">
        <v>-2.3185946529861674</v>
      </c>
      <c r="I28" s="699">
        <v>0.59128759946323561</v>
      </c>
      <c r="J28" s="700" t="s">
        <v>1</v>
      </c>
    </row>
    <row r="29" spans="1:10" ht="14.4" customHeight="1" x14ac:dyDescent="0.3">
      <c r="A29" s="696" t="s">
        <v>601</v>
      </c>
      <c r="B29" s="697" t="s">
        <v>369</v>
      </c>
      <c r="C29" s="698" t="s">
        <v>593</v>
      </c>
      <c r="D29" s="698">
        <v>0.41399999999999998</v>
      </c>
      <c r="E29" s="698"/>
      <c r="F29" s="698">
        <v>0</v>
      </c>
      <c r="G29" s="698">
        <v>6.9444444444333328E-2</v>
      </c>
      <c r="H29" s="698">
        <v>-6.9444444444333328E-2</v>
      </c>
      <c r="I29" s="699">
        <v>0</v>
      </c>
      <c r="J29" s="700" t="s">
        <v>1</v>
      </c>
    </row>
    <row r="30" spans="1:10" ht="14.4" customHeight="1" x14ac:dyDescent="0.3">
      <c r="A30" s="696" t="s">
        <v>601</v>
      </c>
      <c r="B30" s="697" t="s">
        <v>603</v>
      </c>
      <c r="C30" s="698">
        <v>5.3725900000000006</v>
      </c>
      <c r="D30" s="698">
        <v>2.7179100000000003</v>
      </c>
      <c r="E30" s="698"/>
      <c r="F30" s="698">
        <v>3.35433</v>
      </c>
      <c r="G30" s="698">
        <v>5.7423690974305011</v>
      </c>
      <c r="H30" s="698">
        <v>-2.388039097430501</v>
      </c>
      <c r="I30" s="699">
        <v>0.58413695516384334</v>
      </c>
      <c r="J30" s="700" t="s">
        <v>599</v>
      </c>
    </row>
    <row r="31" spans="1:10" ht="14.4" customHeight="1" x14ac:dyDescent="0.3">
      <c r="A31" s="696" t="s">
        <v>593</v>
      </c>
      <c r="B31" s="697" t="s">
        <v>593</v>
      </c>
      <c r="C31" s="698" t="s">
        <v>593</v>
      </c>
      <c r="D31" s="698" t="s">
        <v>593</v>
      </c>
      <c r="E31" s="698"/>
      <c r="F31" s="698" t="s">
        <v>593</v>
      </c>
      <c r="G31" s="698" t="s">
        <v>593</v>
      </c>
      <c r="H31" s="698" t="s">
        <v>593</v>
      </c>
      <c r="I31" s="699" t="s">
        <v>593</v>
      </c>
      <c r="J31" s="700" t="s">
        <v>600</v>
      </c>
    </row>
    <row r="32" spans="1:10" ht="14.4" customHeight="1" x14ac:dyDescent="0.3">
      <c r="A32" s="696" t="s">
        <v>604</v>
      </c>
      <c r="B32" s="697" t="s">
        <v>605</v>
      </c>
      <c r="C32" s="698" t="s">
        <v>593</v>
      </c>
      <c r="D32" s="698" t="s">
        <v>593</v>
      </c>
      <c r="E32" s="698"/>
      <c r="F32" s="698" t="s">
        <v>593</v>
      </c>
      <c r="G32" s="698" t="s">
        <v>593</v>
      </c>
      <c r="H32" s="698" t="s">
        <v>593</v>
      </c>
      <c r="I32" s="699" t="s">
        <v>593</v>
      </c>
      <c r="J32" s="700" t="s">
        <v>0</v>
      </c>
    </row>
    <row r="33" spans="1:10" ht="14.4" customHeight="1" x14ac:dyDescent="0.3">
      <c r="A33" s="696" t="s">
        <v>604</v>
      </c>
      <c r="B33" s="697" t="s">
        <v>362</v>
      </c>
      <c r="C33" s="698">
        <v>92.053969999999993</v>
      </c>
      <c r="D33" s="698">
        <v>90.672509999999988</v>
      </c>
      <c r="E33" s="698"/>
      <c r="F33" s="698">
        <v>60.946959999999997</v>
      </c>
      <c r="G33" s="698">
        <v>93.802316469302653</v>
      </c>
      <c r="H33" s="698">
        <v>-32.855356469302656</v>
      </c>
      <c r="I33" s="699">
        <v>0.64973832517180152</v>
      </c>
      <c r="J33" s="700" t="s">
        <v>1</v>
      </c>
    </row>
    <row r="34" spans="1:10" ht="14.4" customHeight="1" x14ac:dyDescent="0.3">
      <c r="A34" s="696" t="s">
        <v>604</v>
      </c>
      <c r="B34" s="697" t="s">
        <v>363</v>
      </c>
      <c r="C34" s="698">
        <v>0</v>
      </c>
      <c r="D34" s="698">
        <v>0</v>
      </c>
      <c r="E34" s="698"/>
      <c r="F34" s="698">
        <v>0</v>
      </c>
      <c r="G34" s="698">
        <v>9.5231045485100001</v>
      </c>
      <c r="H34" s="698">
        <v>-9.5231045485100001</v>
      </c>
      <c r="I34" s="699">
        <v>0</v>
      </c>
      <c r="J34" s="700" t="s">
        <v>1</v>
      </c>
    </row>
    <row r="35" spans="1:10" ht="14.4" customHeight="1" x14ac:dyDescent="0.3">
      <c r="A35" s="696" t="s">
        <v>604</v>
      </c>
      <c r="B35" s="697" t="s">
        <v>364</v>
      </c>
      <c r="C35" s="698">
        <v>8.1459200000000003</v>
      </c>
      <c r="D35" s="698">
        <v>0</v>
      </c>
      <c r="E35" s="698"/>
      <c r="F35" s="698">
        <v>0.78244999999999998</v>
      </c>
      <c r="G35" s="698">
        <v>0.50799659830150001</v>
      </c>
      <c r="H35" s="698">
        <v>0.27445340169849997</v>
      </c>
      <c r="I35" s="699">
        <v>1.5402662195300956</v>
      </c>
      <c r="J35" s="700" t="s">
        <v>1</v>
      </c>
    </row>
    <row r="36" spans="1:10" ht="14.4" customHeight="1" x14ac:dyDescent="0.3">
      <c r="A36" s="696" t="s">
        <v>604</v>
      </c>
      <c r="B36" s="697" t="s">
        <v>365</v>
      </c>
      <c r="C36" s="698">
        <v>0</v>
      </c>
      <c r="D36" s="698">
        <v>0</v>
      </c>
      <c r="E36" s="698"/>
      <c r="F36" s="698">
        <v>44.233719999999998</v>
      </c>
      <c r="G36" s="698">
        <v>34.873849933811499</v>
      </c>
      <c r="H36" s="698">
        <v>9.359870066188499</v>
      </c>
      <c r="I36" s="699">
        <v>1.2683922217923451</v>
      </c>
      <c r="J36" s="700" t="s">
        <v>1</v>
      </c>
    </row>
    <row r="37" spans="1:10" ht="14.4" customHeight="1" x14ac:dyDescent="0.3">
      <c r="A37" s="696" t="s">
        <v>604</v>
      </c>
      <c r="B37" s="697" t="s">
        <v>366</v>
      </c>
      <c r="C37" s="698" t="s">
        <v>593</v>
      </c>
      <c r="D37" s="698">
        <v>0</v>
      </c>
      <c r="E37" s="698"/>
      <c r="F37" s="698">
        <v>0</v>
      </c>
      <c r="G37" s="698">
        <v>13.081800001919499</v>
      </c>
      <c r="H37" s="698">
        <v>-13.081800001919499</v>
      </c>
      <c r="I37" s="699">
        <v>0</v>
      </c>
      <c r="J37" s="700" t="s">
        <v>1</v>
      </c>
    </row>
    <row r="38" spans="1:10" ht="14.4" customHeight="1" x14ac:dyDescent="0.3">
      <c r="A38" s="696" t="s">
        <v>604</v>
      </c>
      <c r="B38" s="697" t="s">
        <v>367</v>
      </c>
      <c r="C38" s="698">
        <v>15.232560000000001</v>
      </c>
      <c r="D38" s="698">
        <v>9.2128800000000002</v>
      </c>
      <c r="E38" s="698"/>
      <c r="F38" s="698">
        <v>17.65718</v>
      </c>
      <c r="G38" s="698">
        <v>26.282577409634836</v>
      </c>
      <c r="H38" s="698">
        <v>-8.6253974096348358</v>
      </c>
      <c r="I38" s="699">
        <v>0.67182071700194512</v>
      </c>
      <c r="J38" s="700" t="s">
        <v>1</v>
      </c>
    </row>
    <row r="39" spans="1:10" ht="14.4" customHeight="1" x14ac:dyDescent="0.3">
      <c r="A39" s="696" t="s">
        <v>604</v>
      </c>
      <c r="B39" s="697" t="s">
        <v>368</v>
      </c>
      <c r="C39" s="698">
        <v>0.60440000000000005</v>
      </c>
      <c r="D39" s="698">
        <v>0</v>
      </c>
      <c r="E39" s="698"/>
      <c r="F39" s="698">
        <v>0.5544</v>
      </c>
      <c r="G39" s="698">
        <v>1.8089026968226667</v>
      </c>
      <c r="H39" s="698">
        <v>-1.2545026968226667</v>
      </c>
      <c r="I39" s="699">
        <v>0.30648414697695031</v>
      </c>
      <c r="J39" s="700" t="s">
        <v>1</v>
      </c>
    </row>
    <row r="40" spans="1:10" ht="14.4" customHeight="1" x14ac:dyDescent="0.3">
      <c r="A40" s="696" t="s">
        <v>604</v>
      </c>
      <c r="B40" s="697" t="s">
        <v>369</v>
      </c>
      <c r="C40" s="698">
        <v>2.8979999999999997</v>
      </c>
      <c r="D40" s="698">
        <v>1.6559999999999999</v>
      </c>
      <c r="E40" s="698"/>
      <c r="F40" s="698">
        <v>2.8979999999999997</v>
      </c>
      <c r="G40" s="698">
        <v>2.4305555555554998</v>
      </c>
      <c r="H40" s="698">
        <v>0.46744444444449984</v>
      </c>
      <c r="I40" s="699">
        <v>1.1923200000000271</v>
      </c>
      <c r="J40" s="700" t="s">
        <v>1</v>
      </c>
    </row>
    <row r="41" spans="1:10" ht="14.4" customHeight="1" x14ac:dyDescent="0.3">
      <c r="A41" s="696" t="s">
        <v>604</v>
      </c>
      <c r="B41" s="697" t="s">
        <v>606</v>
      </c>
      <c r="C41" s="698">
        <v>118.93485</v>
      </c>
      <c r="D41" s="698">
        <v>101.54138999999999</v>
      </c>
      <c r="E41" s="698"/>
      <c r="F41" s="698">
        <v>127.07270999999999</v>
      </c>
      <c r="G41" s="698">
        <v>182.31110321385813</v>
      </c>
      <c r="H41" s="698">
        <v>-55.238393213858146</v>
      </c>
      <c r="I41" s="699">
        <v>0.69701026300597102</v>
      </c>
      <c r="J41" s="700" t="s">
        <v>599</v>
      </c>
    </row>
    <row r="42" spans="1:10" ht="14.4" customHeight="1" x14ac:dyDescent="0.3">
      <c r="A42" s="696" t="s">
        <v>593</v>
      </c>
      <c r="B42" s="697" t="s">
        <v>593</v>
      </c>
      <c r="C42" s="698" t="s">
        <v>593</v>
      </c>
      <c r="D42" s="698" t="s">
        <v>593</v>
      </c>
      <c r="E42" s="698"/>
      <c r="F42" s="698" t="s">
        <v>593</v>
      </c>
      <c r="G42" s="698" t="s">
        <v>593</v>
      </c>
      <c r="H42" s="698" t="s">
        <v>593</v>
      </c>
      <c r="I42" s="699" t="s">
        <v>593</v>
      </c>
      <c r="J42" s="700" t="s">
        <v>600</v>
      </c>
    </row>
    <row r="43" spans="1:10" ht="14.4" customHeight="1" x14ac:dyDescent="0.3">
      <c r="A43" s="696" t="s">
        <v>591</v>
      </c>
      <c r="B43" s="697" t="s">
        <v>594</v>
      </c>
      <c r="C43" s="698">
        <v>266.21758</v>
      </c>
      <c r="D43" s="698">
        <v>202.36368999999999</v>
      </c>
      <c r="E43" s="698"/>
      <c r="F43" s="698">
        <v>383.16380999999996</v>
      </c>
      <c r="G43" s="698">
        <v>409.09999999999894</v>
      </c>
      <c r="H43" s="698">
        <v>-25.936189999998987</v>
      </c>
      <c r="I43" s="699">
        <v>0.93660183329259583</v>
      </c>
      <c r="J43" s="700" t="s">
        <v>595</v>
      </c>
    </row>
  </sheetData>
  <mergeCells count="3">
    <mergeCell ref="F3:I3"/>
    <mergeCell ref="C4:D4"/>
    <mergeCell ref="A1:I1"/>
  </mergeCells>
  <conditionalFormatting sqref="F15 F44:F65537">
    <cfRule type="cellIs" dxfId="79" priority="18" stopIfTrue="1" operator="greaterThan">
      <formula>1</formula>
    </cfRule>
  </conditionalFormatting>
  <conditionalFormatting sqref="H5:H14">
    <cfRule type="expression" dxfId="78" priority="14">
      <formula>$H5&gt;0</formula>
    </cfRule>
  </conditionalFormatting>
  <conditionalFormatting sqref="I5:I14">
    <cfRule type="expression" dxfId="77" priority="15">
      <formula>$I5&gt;1</formula>
    </cfRule>
  </conditionalFormatting>
  <conditionalFormatting sqref="B5:B14">
    <cfRule type="expression" dxfId="76" priority="11">
      <formula>OR($J5="NS",$J5="SumaNS",$J5="Účet")</formula>
    </cfRule>
  </conditionalFormatting>
  <conditionalFormatting sqref="B5:D14 F5:I14">
    <cfRule type="expression" dxfId="75" priority="17">
      <formula>AND($J5&lt;&gt;"",$J5&lt;&gt;"mezeraKL")</formula>
    </cfRule>
  </conditionalFormatting>
  <conditionalFormatting sqref="B5:D14 F5:I14">
    <cfRule type="expression" dxfId="7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73" priority="13">
      <formula>OR($J5="SumaNS",$J5="NS")</formula>
    </cfRule>
  </conditionalFormatting>
  <conditionalFormatting sqref="A5:A14">
    <cfRule type="expression" dxfId="72" priority="9">
      <formula>AND($J5&lt;&gt;"mezeraKL",$J5&lt;&gt;"")</formula>
    </cfRule>
  </conditionalFormatting>
  <conditionalFormatting sqref="A5:A14">
    <cfRule type="expression" dxfId="71" priority="10">
      <formula>AND($J5&lt;&gt;"",$J5&lt;&gt;"mezeraKL")</formula>
    </cfRule>
  </conditionalFormatting>
  <conditionalFormatting sqref="H16:H43">
    <cfRule type="expression" dxfId="70" priority="5">
      <formula>$H16&gt;0</formula>
    </cfRule>
  </conditionalFormatting>
  <conditionalFormatting sqref="A16:A43">
    <cfRule type="expression" dxfId="69" priority="2">
      <formula>AND($J16&lt;&gt;"mezeraKL",$J16&lt;&gt;"")</formula>
    </cfRule>
  </conditionalFormatting>
  <conditionalFormatting sqref="I16:I43">
    <cfRule type="expression" dxfId="68" priority="6">
      <formula>$I16&gt;1</formula>
    </cfRule>
  </conditionalFormatting>
  <conditionalFormatting sqref="B16:B43">
    <cfRule type="expression" dxfId="67" priority="1">
      <formula>OR($J16="NS",$J16="SumaNS",$J16="Účet")</formula>
    </cfRule>
  </conditionalFormatting>
  <conditionalFormatting sqref="A16:D43 F16:I43">
    <cfRule type="expression" dxfId="66" priority="8">
      <formula>AND($J16&lt;&gt;"",$J16&lt;&gt;"mezeraKL")</formula>
    </cfRule>
  </conditionalFormatting>
  <conditionalFormatting sqref="B16:D43 F16:I43">
    <cfRule type="expression" dxfId="65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43 F16:I43">
    <cfRule type="expression" dxfId="64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6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55" t="s">
        <v>205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</row>
    <row r="2" spans="1:14" ht="14.4" customHeight="1" thickBot="1" x14ac:dyDescent="0.35">
      <c r="A2" s="374" t="s">
        <v>353</v>
      </c>
      <c r="B2" s="66"/>
      <c r="C2" s="333"/>
      <c r="D2" s="333"/>
      <c r="E2" s="333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51"/>
      <c r="D3" s="552"/>
      <c r="E3" s="552"/>
      <c r="F3" s="552"/>
      <c r="G3" s="552"/>
      <c r="H3" s="552"/>
      <c r="I3" s="552"/>
      <c r="J3" s="553" t="s">
        <v>159</v>
      </c>
      <c r="K3" s="554"/>
      <c r="L3" s="203">
        <f>IF(M3&lt;&gt;0,N3/M3,0)</f>
        <v>234.31073482370209</v>
      </c>
      <c r="M3" s="203">
        <f>SUBTOTAL(9,M5:M1048576)</f>
        <v>1622.8000000000002</v>
      </c>
      <c r="N3" s="204">
        <f>SUBTOTAL(9,N5:N1048576)</f>
        <v>380239.46047190379</v>
      </c>
    </row>
    <row r="4" spans="1:14" s="330" customFormat="1" ht="14.4" customHeight="1" thickBot="1" x14ac:dyDescent="0.35">
      <c r="A4" s="701" t="s">
        <v>4</v>
      </c>
      <c r="B4" s="702" t="s">
        <v>5</v>
      </c>
      <c r="C4" s="702" t="s">
        <v>0</v>
      </c>
      <c r="D4" s="702" t="s">
        <v>6</v>
      </c>
      <c r="E4" s="702" t="s">
        <v>7</v>
      </c>
      <c r="F4" s="702" t="s">
        <v>1</v>
      </c>
      <c r="G4" s="702" t="s">
        <v>8</v>
      </c>
      <c r="H4" s="702" t="s">
        <v>9</v>
      </c>
      <c r="I4" s="702" t="s">
        <v>10</v>
      </c>
      <c r="J4" s="703" t="s">
        <v>11</v>
      </c>
      <c r="K4" s="703" t="s">
        <v>12</v>
      </c>
      <c r="L4" s="704" t="s">
        <v>184</v>
      </c>
      <c r="M4" s="704" t="s">
        <v>13</v>
      </c>
      <c r="N4" s="705" t="s">
        <v>201</v>
      </c>
    </row>
    <row r="5" spans="1:14" ht="14.4" customHeight="1" x14ac:dyDescent="0.3">
      <c r="A5" s="706" t="s">
        <v>591</v>
      </c>
      <c r="B5" s="707" t="s">
        <v>592</v>
      </c>
      <c r="C5" s="708" t="s">
        <v>596</v>
      </c>
      <c r="D5" s="709" t="s">
        <v>1361</v>
      </c>
      <c r="E5" s="708" t="s">
        <v>607</v>
      </c>
      <c r="F5" s="709" t="s">
        <v>1364</v>
      </c>
      <c r="G5" s="708"/>
      <c r="H5" s="708" t="s">
        <v>608</v>
      </c>
      <c r="I5" s="708" t="s">
        <v>609</v>
      </c>
      <c r="J5" s="708" t="s">
        <v>610</v>
      </c>
      <c r="K5" s="708" t="s">
        <v>611</v>
      </c>
      <c r="L5" s="710">
        <v>39.879999999999995</v>
      </c>
      <c r="M5" s="710">
        <v>2</v>
      </c>
      <c r="N5" s="711">
        <v>79.759999999999991</v>
      </c>
    </row>
    <row r="6" spans="1:14" ht="14.4" customHeight="1" x14ac:dyDescent="0.3">
      <c r="A6" s="712" t="s">
        <v>591</v>
      </c>
      <c r="B6" s="713" t="s">
        <v>592</v>
      </c>
      <c r="C6" s="714" t="s">
        <v>596</v>
      </c>
      <c r="D6" s="715" t="s">
        <v>1361</v>
      </c>
      <c r="E6" s="714" t="s">
        <v>607</v>
      </c>
      <c r="F6" s="715" t="s">
        <v>1364</v>
      </c>
      <c r="G6" s="714"/>
      <c r="H6" s="714" t="s">
        <v>612</v>
      </c>
      <c r="I6" s="714" t="s">
        <v>613</v>
      </c>
      <c r="J6" s="714" t="s">
        <v>614</v>
      </c>
      <c r="K6" s="714" t="s">
        <v>615</v>
      </c>
      <c r="L6" s="716">
        <v>99.979999999999976</v>
      </c>
      <c r="M6" s="716">
        <v>1</v>
      </c>
      <c r="N6" s="717">
        <v>99.979999999999976</v>
      </c>
    </row>
    <row r="7" spans="1:14" ht="14.4" customHeight="1" x14ac:dyDescent="0.3">
      <c r="A7" s="712" t="s">
        <v>591</v>
      </c>
      <c r="B7" s="713" t="s">
        <v>592</v>
      </c>
      <c r="C7" s="714" t="s">
        <v>596</v>
      </c>
      <c r="D7" s="715" t="s">
        <v>1361</v>
      </c>
      <c r="E7" s="714" t="s">
        <v>607</v>
      </c>
      <c r="F7" s="715" t="s">
        <v>1364</v>
      </c>
      <c r="G7" s="714"/>
      <c r="H7" s="714" t="s">
        <v>616</v>
      </c>
      <c r="I7" s="714" t="s">
        <v>616</v>
      </c>
      <c r="J7" s="714" t="s">
        <v>617</v>
      </c>
      <c r="K7" s="714" t="s">
        <v>618</v>
      </c>
      <c r="L7" s="716">
        <v>43.999999999999993</v>
      </c>
      <c r="M7" s="716">
        <v>7</v>
      </c>
      <c r="N7" s="717">
        <v>307.99999999999994</v>
      </c>
    </row>
    <row r="8" spans="1:14" ht="14.4" customHeight="1" x14ac:dyDescent="0.3">
      <c r="A8" s="712" t="s">
        <v>591</v>
      </c>
      <c r="B8" s="713" t="s">
        <v>592</v>
      </c>
      <c r="C8" s="714" t="s">
        <v>596</v>
      </c>
      <c r="D8" s="715" t="s">
        <v>1361</v>
      </c>
      <c r="E8" s="714" t="s">
        <v>607</v>
      </c>
      <c r="F8" s="715" t="s">
        <v>1364</v>
      </c>
      <c r="G8" s="714"/>
      <c r="H8" s="714" t="s">
        <v>619</v>
      </c>
      <c r="I8" s="714" t="s">
        <v>619</v>
      </c>
      <c r="J8" s="714" t="s">
        <v>617</v>
      </c>
      <c r="K8" s="714" t="s">
        <v>620</v>
      </c>
      <c r="L8" s="716">
        <v>110.0000000000001</v>
      </c>
      <c r="M8" s="716">
        <v>1</v>
      </c>
      <c r="N8" s="717">
        <v>110.0000000000001</v>
      </c>
    </row>
    <row r="9" spans="1:14" ht="14.4" customHeight="1" x14ac:dyDescent="0.3">
      <c r="A9" s="712" t="s">
        <v>591</v>
      </c>
      <c r="B9" s="713" t="s">
        <v>592</v>
      </c>
      <c r="C9" s="714" t="s">
        <v>596</v>
      </c>
      <c r="D9" s="715" t="s">
        <v>1361</v>
      </c>
      <c r="E9" s="714" t="s">
        <v>607</v>
      </c>
      <c r="F9" s="715" t="s">
        <v>1364</v>
      </c>
      <c r="G9" s="714"/>
      <c r="H9" s="714" t="s">
        <v>621</v>
      </c>
      <c r="I9" s="714" t="s">
        <v>621</v>
      </c>
      <c r="J9" s="714" t="s">
        <v>622</v>
      </c>
      <c r="K9" s="714" t="s">
        <v>623</v>
      </c>
      <c r="L9" s="716">
        <v>103.31999999999996</v>
      </c>
      <c r="M9" s="716">
        <v>15</v>
      </c>
      <c r="N9" s="717">
        <v>1549.7999999999995</v>
      </c>
    </row>
    <row r="10" spans="1:14" ht="14.4" customHeight="1" x14ac:dyDescent="0.3">
      <c r="A10" s="712" t="s">
        <v>591</v>
      </c>
      <c r="B10" s="713" t="s">
        <v>592</v>
      </c>
      <c r="C10" s="714" t="s">
        <v>596</v>
      </c>
      <c r="D10" s="715" t="s">
        <v>1361</v>
      </c>
      <c r="E10" s="714" t="s">
        <v>607</v>
      </c>
      <c r="F10" s="715" t="s">
        <v>1364</v>
      </c>
      <c r="G10" s="714"/>
      <c r="H10" s="714" t="s">
        <v>624</v>
      </c>
      <c r="I10" s="714" t="s">
        <v>624</v>
      </c>
      <c r="J10" s="714" t="s">
        <v>625</v>
      </c>
      <c r="K10" s="714" t="s">
        <v>626</v>
      </c>
      <c r="L10" s="716">
        <v>98.439999999999984</v>
      </c>
      <c r="M10" s="716">
        <v>1</v>
      </c>
      <c r="N10" s="717">
        <v>98.439999999999984</v>
      </c>
    </row>
    <row r="11" spans="1:14" ht="14.4" customHeight="1" x14ac:dyDescent="0.3">
      <c r="A11" s="712" t="s">
        <v>591</v>
      </c>
      <c r="B11" s="713" t="s">
        <v>592</v>
      </c>
      <c r="C11" s="714" t="s">
        <v>596</v>
      </c>
      <c r="D11" s="715" t="s">
        <v>1361</v>
      </c>
      <c r="E11" s="714" t="s">
        <v>607</v>
      </c>
      <c r="F11" s="715" t="s">
        <v>1364</v>
      </c>
      <c r="G11" s="714" t="s">
        <v>627</v>
      </c>
      <c r="H11" s="714" t="s">
        <v>628</v>
      </c>
      <c r="I11" s="714" t="s">
        <v>628</v>
      </c>
      <c r="J11" s="714" t="s">
        <v>629</v>
      </c>
      <c r="K11" s="714" t="s">
        <v>630</v>
      </c>
      <c r="L11" s="716">
        <v>171.59999901380951</v>
      </c>
      <c r="M11" s="716">
        <v>31</v>
      </c>
      <c r="N11" s="717">
        <v>5319.5999694280945</v>
      </c>
    </row>
    <row r="12" spans="1:14" ht="14.4" customHeight="1" x14ac:dyDescent="0.3">
      <c r="A12" s="712" t="s">
        <v>591</v>
      </c>
      <c r="B12" s="713" t="s">
        <v>592</v>
      </c>
      <c r="C12" s="714" t="s">
        <v>596</v>
      </c>
      <c r="D12" s="715" t="s">
        <v>1361</v>
      </c>
      <c r="E12" s="714" t="s">
        <v>607</v>
      </c>
      <c r="F12" s="715" t="s">
        <v>1364</v>
      </c>
      <c r="G12" s="714" t="s">
        <v>627</v>
      </c>
      <c r="H12" s="714" t="s">
        <v>631</v>
      </c>
      <c r="I12" s="714" t="s">
        <v>631</v>
      </c>
      <c r="J12" s="714" t="s">
        <v>632</v>
      </c>
      <c r="K12" s="714" t="s">
        <v>633</v>
      </c>
      <c r="L12" s="716">
        <v>173.69</v>
      </c>
      <c r="M12" s="716">
        <v>2</v>
      </c>
      <c r="N12" s="717">
        <v>347.38</v>
      </c>
    </row>
    <row r="13" spans="1:14" ht="14.4" customHeight="1" x14ac:dyDescent="0.3">
      <c r="A13" s="712" t="s">
        <v>591</v>
      </c>
      <c r="B13" s="713" t="s">
        <v>592</v>
      </c>
      <c r="C13" s="714" t="s">
        <v>596</v>
      </c>
      <c r="D13" s="715" t="s">
        <v>1361</v>
      </c>
      <c r="E13" s="714" t="s">
        <v>607</v>
      </c>
      <c r="F13" s="715" t="s">
        <v>1364</v>
      </c>
      <c r="G13" s="714" t="s">
        <v>627</v>
      </c>
      <c r="H13" s="714" t="s">
        <v>634</v>
      </c>
      <c r="I13" s="714" t="s">
        <v>634</v>
      </c>
      <c r="J13" s="714" t="s">
        <v>635</v>
      </c>
      <c r="K13" s="714" t="s">
        <v>633</v>
      </c>
      <c r="L13" s="716">
        <v>143.00000926115138</v>
      </c>
      <c r="M13" s="716">
        <v>2</v>
      </c>
      <c r="N13" s="717">
        <v>286.00001852230275</v>
      </c>
    </row>
    <row r="14" spans="1:14" ht="14.4" customHeight="1" x14ac:dyDescent="0.3">
      <c r="A14" s="712" t="s">
        <v>591</v>
      </c>
      <c r="B14" s="713" t="s">
        <v>592</v>
      </c>
      <c r="C14" s="714" t="s">
        <v>596</v>
      </c>
      <c r="D14" s="715" t="s">
        <v>1361</v>
      </c>
      <c r="E14" s="714" t="s">
        <v>607</v>
      </c>
      <c r="F14" s="715" t="s">
        <v>1364</v>
      </c>
      <c r="G14" s="714" t="s">
        <v>627</v>
      </c>
      <c r="H14" s="714" t="s">
        <v>636</v>
      </c>
      <c r="I14" s="714" t="s">
        <v>636</v>
      </c>
      <c r="J14" s="714" t="s">
        <v>629</v>
      </c>
      <c r="K14" s="714" t="s">
        <v>637</v>
      </c>
      <c r="L14" s="716">
        <v>92.95</v>
      </c>
      <c r="M14" s="716">
        <v>8</v>
      </c>
      <c r="N14" s="717">
        <v>743.6</v>
      </c>
    </row>
    <row r="15" spans="1:14" ht="14.4" customHeight="1" x14ac:dyDescent="0.3">
      <c r="A15" s="712" t="s">
        <v>591</v>
      </c>
      <c r="B15" s="713" t="s">
        <v>592</v>
      </c>
      <c r="C15" s="714" t="s">
        <v>596</v>
      </c>
      <c r="D15" s="715" t="s">
        <v>1361</v>
      </c>
      <c r="E15" s="714" t="s">
        <v>607</v>
      </c>
      <c r="F15" s="715" t="s">
        <v>1364</v>
      </c>
      <c r="G15" s="714" t="s">
        <v>627</v>
      </c>
      <c r="H15" s="714" t="s">
        <v>638</v>
      </c>
      <c r="I15" s="714" t="s">
        <v>638</v>
      </c>
      <c r="J15" s="714" t="s">
        <v>629</v>
      </c>
      <c r="K15" s="714" t="s">
        <v>639</v>
      </c>
      <c r="L15" s="716">
        <v>93.5</v>
      </c>
      <c r="M15" s="716">
        <v>5</v>
      </c>
      <c r="N15" s="717">
        <v>467.5</v>
      </c>
    </row>
    <row r="16" spans="1:14" ht="14.4" customHeight="1" x14ac:dyDescent="0.3">
      <c r="A16" s="712" t="s">
        <v>591</v>
      </c>
      <c r="B16" s="713" t="s">
        <v>592</v>
      </c>
      <c r="C16" s="714" t="s">
        <v>596</v>
      </c>
      <c r="D16" s="715" t="s">
        <v>1361</v>
      </c>
      <c r="E16" s="714" t="s">
        <v>607</v>
      </c>
      <c r="F16" s="715" t="s">
        <v>1364</v>
      </c>
      <c r="G16" s="714" t="s">
        <v>627</v>
      </c>
      <c r="H16" s="714" t="s">
        <v>640</v>
      </c>
      <c r="I16" s="714" t="s">
        <v>641</v>
      </c>
      <c r="J16" s="714" t="s">
        <v>642</v>
      </c>
      <c r="K16" s="714" t="s">
        <v>643</v>
      </c>
      <c r="L16" s="716">
        <v>40.78</v>
      </c>
      <c r="M16" s="716">
        <v>1</v>
      </c>
      <c r="N16" s="717">
        <v>40.78</v>
      </c>
    </row>
    <row r="17" spans="1:14" ht="14.4" customHeight="1" x14ac:dyDescent="0.3">
      <c r="A17" s="712" t="s">
        <v>591</v>
      </c>
      <c r="B17" s="713" t="s">
        <v>592</v>
      </c>
      <c r="C17" s="714" t="s">
        <v>596</v>
      </c>
      <c r="D17" s="715" t="s">
        <v>1361</v>
      </c>
      <c r="E17" s="714" t="s">
        <v>607</v>
      </c>
      <c r="F17" s="715" t="s">
        <v>1364</v>
      </c>
      <c r="G17" s="714" t="s">
        <v>627</v>
      </c>
      <c r="H17" s="714" t="s">
        <v>644</v>
      </c>
      <c r="I17" s="714" t="s">
        <v>645</v>
      </c>
      <c r="J17" s="714" t="s">
        <v>646</v>
      </c>
      <c r="K17" s="714" t="s">
        <v>647</v>
      </c>
      <c r="L17" s="716">
        <v>64.538899873714598</v>
      </c>
      <c r="M17" s="716">
        <v>2</v>
      </c>
      <c r="N17" s="717">
        <v>129.0777997474292</v>
      </c>
    </row>
    <row r="18" spans="1:14" ht="14.4" customHeight="1" x14ac:dyDescent="0.3">
      <c r="A18" s="712" t="s">
        <v>591</v>
      </c>
      <c r="B18" s="713" t="s">
        <v>592</v>
      </c>
      <c r="C18" s="714" t="s">
        <v>596</v>
      </c>
      <c r="D18" s="715" t="s">
        <v>1361</v>
      </c>
      <c r="E18" s="714" t="s">
        <v>607</v>
      </c>
      <c r="F18" s="715" t="s">
        <v>1364</v>
      </c>
      <c r="G18" s="714" t="s">
        <v>627</v>
      </c>
      <c r="H18" s="714" t="s">
        <v>648</v>
      </c>
      <c r="I18" s="714" t="s">
        <v>649</v>
      </c>
      <c r="J18" s="714" t="s">
        <v>650</v>
      </c>
      <c r="K18" s="714" t="s">
        <v>651</v>
      </c>
      <c r="L18" s="716">
        <v>79.180000000000021</v>
      </c>
      <c r="M18" s="716">
        <v>5</v>
      </c>
      <c r="N18" s="717">
        <v>395.90000000000009</v>
      </c>
    </row>
    <row r="19" spans="1:14" ht="14.4" customHeight="1" x14ac:dyDescent="0.3">
      <c r="A19" s="712" t="s">
        <v>591</v>
      </c>
      <c r="B19" s="713" t="s">
        <v>592</v>
      </c>
      <c r="C19" s="714" t="s">
        <v>596</v>
      </c>
      <c r="D19" s="715" t="s">
        <v>1361</v>
      </c>
      <c r="E19" s="714" t="s">
        <v>607</v>
      </c>
      <c r="F19" s="715" t="s">
        <v>1364</v>
      </c>
      <c r="G19" s="714" t="s">
        <v>627</v>
      </c>
      <c r="H19" s="714" t="s">
        <v>652</v>
      </c>
      <c r="I19" s="714" t="s">
        <v>653</v>
      </c>
      <c r="J19" s="714" t="s">
        <v>654</v>
      </c>
      <c r="K19" s="714" t="s">
        <v>655</v>
      </c>
      <c r="L19" s="716">
        <v>77.647652453907966</v>
      </c>
      <c r="M19" s="716">
        <v>24</v>
      </c>
      <c r="N19" s="717">
        <v>1863.5436588937912</v>
      </c>
    </row>
    <row r="20" spans="1:14" ht="14.4" customHeight="1" x14ac:dyDescent="0.3">
      <c r="A20" s="712" t="s">
        <v>591</v>
      </c>
      <c r="B20" s="713" t="s">
        <v>592</v>
      </c>
      <c r="C20" s="714" t="s">
        <v>596</v>
      </c>
      <c r="D20" s="715" t="s">
        <v>1361</v>
      </c>
      <c r="E20" s="714" t="s">
        <v>607</v>
      </c>
      <c r="F20" s="715" t="s">
        <v>1364</v>
      </c>
      <c r="G20" s="714" t="s">
        <v>627</v>
      </c>
      <c r="H20" s="714" t="s">
        <v>656</v>
      </c>
      <c r="I20" s="714" t="s">
        <v>657</v>
      </c>
      <c r="J20" s="714" t="s">
        <v>658</v>
      </c>
      <c r="K20" s="714" t="s">
        <v>659</v>
      </c>
      <c r="L20" s="716">
        <v>66.030000000000015</v>
      </c>
      <c r="M20" s="716">
        <v>2</v>
      </c>
      <c r="N20" s="717">
        <v>132.06000000000003</v>
      </c>
    </row>
    <row r="21" spans="1:14" ht="14.4" customHeight="1" x14ac:dyDescent="0.3">
      <c r="A21" s="712" t="s">
        <v>591</v>
      </c>
      <c r="B21" s="713" t="s">
        <v>592</v>
      </c>
      <c r="C21" s="714" t="s">
        <v>596</v>
      </c>
      <c r="D21" s="715" t="s">
        <v>1361</v>
      </c>
      <c r="E21" s="714" t="s">
        <v>607</v>
      </c>
      <c r="F21" s="715" t="s">
        <v>1364</v>
      </c>
      <c r="G21" s="714" t="s">
        <v>627</v>
      </c>
      <c r="H21" s="714" t="s">
        <v>660</v>
      </c>
      <c r="I21" s="714" t="s">
        <v>661</v>
      </c>
      <c r="J21" s="714" t="s">
        <v>662</v>
      </c>
      <c r="K21" s="714" t="s">
        <v>663</v>
      </c>
      <c r="L21" s="716">
        <v>63.049999999999983</v>
      </c>
      <c r="M21" s="716">
        <v>1</v>
      </c>
      <c r="N21" s="717">
        <v>63.049999999999983</v>
      </c>
    </row>
    <row r="22" spans="1:14" ht="14.4" customHeight="1" x14ac:dyDescent="0.3">
      <c r="A22" s="712" t="s">
        <v>591</v>
      </c>
      <c r="B22" s="713" t="s">
        <v>592</v>
      </c>
      <c r="C22" s="714" t="s">
        <v>596</v>
      </c>
      <c r="D22" s="715" t="s">
        <v>1361</v>
      </c>
      <c r="E22" s="714" t="s">
        <v>607</v>
      </c>
      <c r="F22" s="715" t="s">
        <v>1364</v>
      </c>
      <c r="G22" s="714" t="s">
        <v>627</v>
      </c>
      <c r="H22" s="714" t="s">
        <v>664</v>
      </c>
      <c r="I22" s="714" t="s">
        <v>665</v>
      </c>
      <c r="J22" s="714" t="s">
        <v>666</v>
      </c>
      <c r="K22" s="714" t="s">
        <v>667</v>
      </c>
      <c r="L22" s="716">
        <v>164.48</v>
      </c>
      <c r="M22" s="716">
        <v>1</v>
      </c>
      <c r="N22" s="717">
        <v>164.48</v>
      </c>
    </row>
    <row r="23" spans="1:14" ht="14.4" customHeight="1" x14ac:dyDescent="0.3">
      <c r="A23" s="712" t="s">
        <v>591</v>
      </c>
      <c r="B23" s="713" t="s">
        <v>592</v>
      </c>
      <c r="C23" s="714" t="s">
        <v>596</v>
      </c>
      <c r="D23" s="715" t="s">
        <v>1361</v>
      </c>
      <c r="E23" s="714" t="s">
        <v>607</v>
      </c>
      <c r="F23" s="715" t="s">
        <v>1364</v>
      </c>
      <c r="G23" s="714" t="s">
        <v>627</v>
      </c>
      <c r="H23" s="714" t="s">
        <v>668</v>
      </c>
      <c r="I23" s="714" t="s">
        <v>669</v>
      </c>
      <c r="J23" s="714" t="s">
        <v>670</v>
      </c>
      <c r="K23" s="714" t="s">
        <v>671</v>
      </c>
      <c r="L23" s="716">
        <v>41.139999999999993</v>
      </c>
      <c r="M23" s="716">
        <v>1</v>
      </c>
      <c r="N23" s="717">
        <v>41.139999999999993</v>
      </c>
    </row>
    <row r="24" spans="1:14" ht="14.4" customHeight="1" x14ac:dyDescent="0.3">
      <c r="A24" s="712" t="s">
        <v>591</v>
      </c>
      <c r="B24" s="713" t="s">
        <v>592</v>
      </c>
      <c r="C24" s="714" t="s">
        <v>596</v>
      </c>
      <c r="D24" s="715" t="s">
        <v>1361</v>
      </c>
      <c r="E24" s="714" t="s">
        <v>607</v>
      </c>
      <c r="F24" s="715" t="s">
        <v>1364</v>
      </c>
      <c r="G24" s="714" t="s">
        <v>627</v>
      </c>
      <c r="H24" s="714" t="s">
        <v>672</v>
      </c>
      <c r="I24" s="714" t="s">
        <v>673</v>
      </c>
      <c r="J24" s="714" t="s">
        <v>674</v>
      </c>
      <c r="K24" s="714" t="s">
        <v>675</v>
      </c>
      <c r="L24" s="716">
        <v>93.759996729002822</v>
      </c>
      <c r="M24" s="716">
        <v>7</v>
      </c>
      <c r="N24" s="717">
        <v>656.31997710301971</v>
      </c>
    </row>
    <row r="25" spans="1:14" ht="14.4" customHeight="1" x14ac:dyDescent="0.3">
      <c r="A25" s="712" t="s">
        <v>591</v>
      </c>
      <c r="B25" s="713" t="s">
        <v>592</v>
      </c>
      <c r="C25" s="714" t="s">
        <v>596</v>
      </c>
      <c r="D25" s="715" t="s">
        <v>1361</v>
      </c>
      <c r="E25" s="714" t="s">
        <v>607</v>
      </c>
      <c r="F25" s="715" t="s">
        <v>1364</v>
      </c>
      <c r="G25" s="714" t="s">
        <v>627</v>
      </c>
      <c r="H25" s="714" t="s">
        <v>676</v>
      </c>
      <c r="I25" s="714" t="s">
        <v>677</v>
      </c>
      <c r="J25" s="714" t="s">
        <v>678</v>
      </c>
      <c r="K25" s="714" t="s">
        <v>679</v>
      </c>
      <c r="L25" s="716">
        <v>55.250000000000007</v>
      </c>
      <c r="M25" s="716">
        <v>2</v>
      </c>
      <c r="N25" s="717">
        <v>110.50000000000001</v>
      </c>
    </row>
    <row r="26" spans="1:14" ht="14.4" customHeight="1" x14ac:dyDescent="0.3">
      <c r="A26" s="712" t="s">
        <v>591</v>
      </c>
      <c r="B26" s="713" t="s">
        <v>592</v>
      </c>
      <c r="C26" s="714" t="s">
        <v>596</v>
      </c>
      <c r="D26" s="715" t="s">
        <v>1361</v>
      </c>
      <c r="E26" s="714" t="s">
        <v>607</v>
      </c>
      <c r="F26" s="715" t="s">
        <v>1364</v>
      </c>
      <c r="G26" s="714" t="s">
        <v>627</v>
      </c>
      <c r="H26" s="714" t="s">
        <v>680</v>
      </c>
      <c r="I26" s="714" t="s">
        <v>681</v>
      </c>
      <c r="J26" s="714" t="s">
        <v>682</v>
      </c>
      <c r="K26" s="714" t="s">
        <v>683</v>
      </c>
      <c r="L26" s="716">
        <v>216.67999999999995</v>
      </c>
      <c r="M26" s="716">
        <v>2</v>
      </c>
      <c r="N26" s="717">
        <v>433.3599999999999</v>
      </c>
    </row>
    <row r="27" spans="1:14" ht="14.4" customHeight="1" x14ac:dyDescent="0.3">
      <c r="A27" s="712" t="s">
        <v>591</v>
      </c>
      <c r="B27" s="713" t="s">
        <v>592</v>
      </c>
      <c r="C27" s="714" t="s">
        <v>596</v>
      </c>
      <c r="D27" s="715" t="s">
        <v>1361</v>
      </c>
      <c r="E27" s="714" t="s">
        <v>607</v>
      </c>
      <c r="F27" s="715" t="s">
        <v>1364</v>
      </c>
      <c r="G27" s="714" t="s">
        <v>627</v>
      </c>
      <c r="H27" s="714" t="s">
        <v>684</v>
      </c>
      <c r="I27" s="714" t="s">
        <v>685</v>
      </c>
      <c r="J27" s="714" t="s">
        <v>686</v>
      </c>
      <c r="K27" s="714" t="s">
        <v>683</v>
      </c>
      <c r="L27" s="716">
        <v>216.68000000000006</v>
      </c>
      <c r="M27" s="716">
        <v>1</v>
      </c>
      <c r="N27" s="717">
        <v>216.68000000000006</v>
      </c>
    </row>
    <row r="28" spans="1:14" ht="14.4" customHeight="1" x14ac:dyDescent="0.3">
      <c r="A28" s="712" t="s">
        <v>591</v>
      </c>
      <c r="B28" s="713" t="s">
        <v>592</v>
      </c>
      <c r="C28" s="714" t="s">
        <v>596</v>
      </c>
      <c r="D28" s="715" t="s">
        <v>1361</v>
      </c>
      <c r="E28" s="714" t="s">
        <v>607</v>
      </c>
      <c r="F28" s="715" t="s">
        <v>1364</v>
      </c>
      <c r="G28" s="714" t="s">
        <v>627</v>
      </c>
      <c r="H28" s="714" t="s">
        <v>687</v>
      </c>
      <c r="I28" s="714" t="s">
        <v>688</v>
      </c>
      <c r="J28" s="714" t="s">
        <v>689</v>
      </c>
      <c r="K28" s="714" t="s">
        <v>690</v>
      </c>
      <c r="L28" s="716">
        <v>158.38</v>
      </c>
      <c r="M28" s="716">
        <v>1</v>
      </c>
      <c r="N28" s="717">
        <v>158.38</v>
      </c>
    </row>
    <row r="29" spans="1:14" ht="14.4" customHeight="1" x14ac:dyDescent="0.3">
      <c r="A29" s="712" t="s">
        <v>591</v>
      </c>
      <c r="B29" s="713" t="s">
        <v>592</v>
      </c>
      <c r="C29" s="714" t="s">
        <v>596</v>
      </c>
      <c r="D29" s="715" t="s">
        <v>1361</v>
      </c>
      <c r="E29" s="714" t="s">
        <v>607</v>
      </c>
      <c r="F29" s="715" t="s">
        <v>1364</v>
      </c>
      <c r="G29" s="714" t="s">
        <v>627</v>
      </c>
      <c r="H29" s="714" t="s">
        <v>691</v>
      </c>
      <c r="I29" s="714" t="s">
        <v>692</v>
      </c>
      <c r="J29" s="714" t="s">
        <v>693</v>
      </c>
      <c r="K29" s="714" t="s">
        <v>694</v>
      </c>
      <c r="L29" s="716">
        <v>73.405000000000001</v>
      </c>
      <c r="M29" s="716">
        <v>2</v>
      </c>
      <c r="N29" s="717">
        <v>146.81</v>
      </c>
    </row>
    <row r="30" spans="1:14" ht="14.4" customHeight="1" x14ac:dyDescent="0.3">
      <c r="A30" s="712" t="s">
        <v>591</v>
      </c>
      <c r="B30" s="713" t="s">
        <v>592</v>
      </c>
      <c r="C30" s="714" t="s">
        <v>596</v>
      </c>
      <c r="D30" s="715" t="s">
        <v>1361</v>
      </c>
      <c r="E30" s="714" t="s">
        <v>607</v>
      </c>
      <c r="F30" s="715" t="s">
        <v>1364</v>
      </c>
      <c r="G30" s="714" t="s">
        <v>627</v>
      </c>
      <c r="H30" s="714" t="s">
        <v>695</v>
      </c>
      <c r="I30" s="714" t="s">
        <v>696</v>
      </c>
      <c r="J30" s="714" t="s">
        <v>697</v>
      </c>
      <c r="K30" s="714" t="s">
        <v>698</v>
      </c>
      <c r="L30" s="716">
        <v>98.21</v>
      </c>
      <c r="M30" s="716">
        <v>2</v>
      </c>
      <c r="N30" s="717">
        <v>196.42</v>
      </c>
    </row>
    <row r="31" spans="1:14" ht="14.4" customHeight="1" x14ac:dyDescent="0.3">
      <c r="A31" s="712" t="s">
        <v>591</v>
      </c>
      <c r="B31" s="713" t="s">
        <v>592</v>
      </c>
      <c r="C31" s="714" t="s">
        <v>596</v>
      </c>
      <c r="D31" s="715" t="s">
        <v>1361</v>
      </c>
      <c r="E31" s="714" t="s">
        <v>607</v>
      </c>
      <c r="F31" s="715" t="s">
        <v>1364</v>
      </c>
      <c r="G31" s="714" t="s">
        <v>627</v>
      </c>
      <c r="H31" s="714" t="s">
        <v>699</v>
      </c>
      <c r="I31" s="714" t="s">
        <v>700</v>
      </c>
      <c r="J31" s="714" t="s">
        <v>701</v>
      </c>
      <c r="K31" s="714" t="s">
        <v>702</v>
      </c>
      <c r="L31" s="716">
        <v>128.38999999999999</v>
      </c>
      <c r="M31" s="716">
        <v>1</v>
      </c>
      <c r="N31" s="717">
        <v>128.38999999999999</v>
      </c>
    </row>
    <row r="32" spans="1:14" ht="14.4" customHeight="1" x14ac:dyDescent="0.3">
      <c r="A32" s="712" t="s">
        <v>591</v>
      </c>
      <c r="B32" s="713" t="s">
        <v>592</v>
      </c>
      <c r="C32" s="714" t="s">
        <v>596</v>
      </c>
      <c r="D32" s="715" t="s">
        <v>1361</v>
      </c>
      <c r="E32" s="714" t="s">
        <v>607</v>
      </c>
      <c r="F32" s="715" t="s">
        <v>1364</v>
      </c>
      <c r="G32" s="714" t="s">
        <v>627</v>
      </c>
      <c r="H32" s="714" t="s">
        <v>703</v>
      </c>
      <c r="I32" s="714" t="s">
        <v>704</v>
      </c>
      <c r="J32" s="714" t="s">
        <v>705</v>
      </c>
      <c r="K32" s="714" t="s">
        <v>706</v>
      </c>
      <c r="L32" s="716">
        <v>150.70750000000001</v>
      </c>
      <c r="M32" s="716">
        <v>4</v>
      </c>
      <c r="N32" s="717">
        <v>602.83000000000004</v>
      </c>
    </row>
    <row r="33" spans="1:14" ht="14.4" customHeight="1" x14ac:dyDescent="0.3">
      <c r="A33" s="712" t="s">
        <v>591</v>
      </c>
      <c r="B33" s="713" t="s">
        <v>592</v>
      </c>
      <c r="C33" s="714" t="s">
        <v>596</v>
      </c>
      <c r="D33" s="715" t="s">
        <v>1361</v>
      </c>
      <c r="E33" s="714" t="s">
        <v>607</v>
      </c>
      <c r="F33" s="715" t="s">
        <v>1364</v>
      </c>
      <c r="G33" s="714" t="s">
        <v>627</v>
      </c>
      <c r="H33" s="714" t="s">
        <v>707</v>
      </c>
      <c r="I33" s="714" t="s">
        <v>708</v>
      </c>
      <c r="J33" s="714" t="s">
        <v>709</v>
      </c>
      <c r="K33" s="714" t="s">
        <v>710</v>
      </c>
      <c r="L33" s="716">
        <v>74.282519309595827</v>
      </c>
      <c r="M33" s="716">
        <v>3</v>
      </c>
      <c r="N33" s="717">
        <v>222.84755792878747</v>
      </c>
    </row>
    <row r="34" spans="1:14" ht="14.4" customHeight="1" x14ac:dyDescent="0.3">
      <c r="A34" s="712" t="s">
        <v>591</v>
      </c>
      <c r="B34" s="713" t="s">
        <v>592</v>
      </c>
      <c r="C34" s="714" t="s">
        <v>596</v>
      </c>
      <c r="D34" s="715" t="s">
        <v>1361</v>
      </c>
      <c r="E34" s="714" t="s">
        <v>607</v>
      </c>
      <c r="F34" s="715" t="s">
        <v>1364</v>
      </c>
      <c r="G34" s="714" t="s">
        <v>627</v>
      </c>
      <c r="H34" s="714" t="s">
        <v>711</v>
      </c>
      <c r="I34" s="714" t="s">
        <v>712</v>
      </c>
      <c r="J34" s="714" t="s">
        <v>713</v>
      </c>
      <c r="K34" s="714" t="s">
        <v>714</v>
      </c>
      <c r="L34" s="716">
        <v>71.137939247245086</v>
      </c>
      <c r="M34" s="716">
        <v>1</v>
      </c>
      <c r="N34" s="717">
        <v>71.137939247245086</v>
      </c>
    </row>
    <row r="35" spans="1:14" ht="14.4" customHeight="1" x14ac:dyDescent="0.3">
      <c r="A35" s="712" t="s">
        <v>591</v>
      </c>
      <c r="B35" s="713" t="s">
        <v>592</v>
      </c>
      <c r="C35" s="714" t="s">
        <v>596</v>
      </c>
      <c r="D35" s="715" t="s">
        <v>1361</v>
      </c>
      <c r="E35" s="714" t="s">
        <v>607</v>
      </c>
      <c r="F35" s="715" t="s">
        <v>1364</v>
      </c>
      <c r="G35" s="714" t="s">
        <v>627</v>
      </c>
      <c r="H35" s="714" t="s">
        <v>715</v>
      </c>
      <c r="I35" s="714" t="s">
        <v>716</v>
      </c>
      <c r="J35" s="714" t="s">
        <v>717</v>
      </c>
      <c r="K35" s="714" t="s">
        <v>718</v>
      </c>
      <c r="L35" s="716">
        <v>322.48999999999995</v>
      </c>
      <c r="M35" s="716">
        <v>1</v>
      </c>
      <c r="N35" s="717">
        <v>322.48999999999995</v>
      </c>
    </row>
    <row r="36" spans="1:14" ht="14.4" customHeight="1" x14ac:dyDescent="0.3">
      <c r="A36" s="712" t="s">
        <v>591</v>
      </c>
      <c r="B36" s="713" t="s">
        <v>592</v>
      </c>
      <c r="C36" s="714" t="s">
        <v>596</v>
      </c>
      <c r="D36" s="715" t="s">
        <v>1361</v>
      </c>
      <c r="E36" s="714" t="s">
        <v>607</v>
      </c>
      <c r="F36" s="715" t="s">
        <v>1364</v>
      </c>
      <c r="G36" s="714" t="s">
        <v>627</v>
      </c>
      <c r="H36" s="714" t="s">
        <v>719</v>
      </c>
      <c r="I36" s="714" t="s">
        <v>720</v>
      </c>
      <c r="J36" s="714" t="s">
        <v>721</v>
      </c>
      <c r="K36" s="714" t="s">
        <v>722</v>
      </c>
      <c r="L36" s="716">
        <v>127.44996589084357</v>
      </c>
      <c r="M36" s="716">
        <v>8</v>
      </c>
      <c r="N36" s="717">
        <v>1019.5997271267486</v>
      </c>
    </row>
    <row r="37" spans="1:14" ht="14.4" customHeight="1" x14ac:dyDescent="0.3">
      <c r="A37" s="712" t="s">
        <v>591</v>
      </c>
      <c r="B37" s="713" t="s">
        <v>592</v>
      </c>
      <c r="C37" s="714" t="s">
        <v>596</v>
      </c>
      <c r="D37" s="715" t="s">
        <v>1361</v>
      </c>
      <c r="E37" s="714" t="s">
        <v>607</v>
      </c>
      <c r="F37" s="715" t="s">
        <v>1364</v>
      </c>
      <c r="G37" s="714" t="s">
        <v>627</v>
      </c>
      <c r="H37" s="714" t="s">
        <v>723</v>
      </c>
      <c r="I37" s="714" t="s">
        <v>724</v>
      </c>
      <c r="J37" s="714" t="s">
        <v>725</v>
      </c>
      <c r="K37" s="714" t="s">
        <v>726</v>
      </c>
      <c r="L37" s="716">
        <v>142.43000000000004</v>
      </c>
      <c r="M37" s="716">
        <v>1</v>
      </c>
      <c r="N37" s="717">
        <v>142.43000000000004</v>
      </c>
    </row>
    <row r="38" spans="1:14" ht="14.4" customHeight="1" x14ac:dyDescent="0.3">
      <c r="A38" s="712" t="s">
        <v>591</v>
      </c>
      <c r="B38" s="713" t="s">
        <v>592</v>
      </c>
      <c r="C38" s="714" t="s">
        <v>596</v>
      </c>
      <c r="D38" s="715" t="s">
        <v>1361</v>
      </c>
      <c r="E38" s="714" t="s">
        <v>607</v>
      </c>
      <c r="F38" s="715" t="s">
        <v>1364</v>
      </c>
      <c r="G38" s="714" t="s">
        <v>627</v>
      </c>
      <c r="H38" s="714" t="s">
        <v>727</v>
      </c>
      <c r="I38" s="714" t="s">
        <v>728</v>
      </c>
      <c r="J38" s="714" t="s">
        <v>729</v>
      </c>
      <c r="K38" s="714" t="s">
        <v>730</v>
      </c>
      <c r="L38" s="716">
        <v>44.97</v>
      </c>
      <c r="M38" s="716">
        <v>4</v>
      </c>
      <c r="N38" s="717">
        <v>179.88</v>
      </c>
    </row>
    <row r="39" spans="1:14" ht="14.4" customHeight="1" x14ac:dyDescent="0.3">
      <c r="A39" s="712" t="s">
        <v>591</v>
      </c>
      <c r="B39" s="713" t="s">
        <v>592</v>
      </c>
      <c r="C39" s="714" t="s">
        <v>596</v>
      </c>
      <c r="D39" s="715" t="s">
        <v>1361</v>
      </c>
      <c r="E39" s="714" t="s">
        <v>607</v>
      </c>
      <c r="F39" s="715" t="s">
        <v>1364</v>
      </c>
      <c r="G39" s="714" t="s">
        <v>627</v>
      </c>
      <c r="H39" s="714" t="s">
        <v>731</v>
      </c>
      <c r="I39" s="714" t="s">
        <v>732</v>
      </c>
      <c r="J39" s="714" t="s">
        <v>733</v>
      </c>
      <c r="K39" s="714" t="s">
        <v>734</v>
      </c>
      <c r="L39" s="716">
        <v>37.220000000000013</v>
      </c>
      <c r="M39" s="716">
        <v>1</v>
      </c>
      <c r="N39" s="717">
        <v>37.220000000000013</v>
      </c>
    </row>
    <row r="40" spans="1:14" ht="14.4" customHeight="1" x14ac:dyDescent="0.3">
      <c r="A40" s="712" t="s">
        <v>591</v>
      </c>
      <c r="B40" s="713" t="s">
        <v>592</v>
      </c>
      <c r="C40" s="714" t="s">
        <v>596</v>
      </c>
      <c r="D40" s="715" t="s">
        <v>1361</v>
      </c>
      <c r="E40" s="714" t="s">
        <v>607</v>
      </c>
      <c r="F40" s="715" t="s">
        <v>1364</v>
      </c>
      <c r="G40" s="714" t="s">
        <v>627</v>
      </c>
      <c r="H40" s="714" t="s">
        <v>735</v>
      </c>
      <c r="I40" s="714" t="s">
        <v>736</v>
      </c>
      <c r="J40" s="714" t="s">
        <v>737</v>
      </c>
      <c r="K40" s="714" t="s">
        <v>738</v>
      </c>
      <c r="L40" s="716">
        <v>60.300000000000026</v>
      </c>
      <c r="M40" s="716">
        <v>1</v>
      </c>
      <c r="N40" s="717">
        <v>60.300000000000026</v>
      </c>
    </row>
    <row r="41" spans="1:14" ht="14.4" customHeight="1" x14ac:dyDescent="0.3">
      <c r="A41" s="712" t="s">
        <v>591</v>
      </c>
      <c r="B41" s="713" t="s">
        <v>592</v>
      </c>
      <c r="C41" s="714" t="s">
        <v>596</v>
      </c>
      <c r="D41" s="715" t="s">
        <v>1361</v>
      </c>
      <c r="E41" s="714" t="s">
        <v>607</v>
      </c>
      <c r="F41" s="715" t="s">
        <v>1364</v>
      </c>
      <c r="G41" s="714" t="s">
        <v>627</v>
      </c>
      <c r="H41" s="714" t="s">
        <v>739</v>
      </c>
      <c r="I41" s="714" t="s">
        <v>740</v>
      </c>
      <c r="J41" s="714" t="s">
        <v>741</v>
      </c>
      <c r="K41" s="714" t="s">
        <v>742</v>
      </c>
      <c r="L41" s="716">
        <v>26.28000000000003</v>
      </c>
      <c r="M41" s="716">
        <v>1</v>
      </c>
      <c r="N41" s="717">
        <v>26.28000000000003</v>
      </c>
    </row>
    <row r="42" spans="1:14" ht="14.4" customHeight="1" x14ac:dyDescent="0.3">
      <c r="A42" s="712" t="s">
        <v>591</v>
      </c>
      <c r="B42" s="713" t="s">
        <v>592</v>
      </c>
      <c r="C42" s="714" t="s">
        <v>596</v>
      </c>
      <c r="D42" s="715" t="s">
        <v>1361</v>
      </c>
      <c r="E42" s="714" t="s">
        <v>607</v>
      </c>
      <c r="F42" s="715" t="s">
        <v>1364</v>
      </c>
      <c r="G42" s="714" t="s">
        <v>627</v>
      </c>
      <c r="H42" s="714" t="s">
        <v>743</v>
      </c>
      <c r="I42" s="714" t="s">
        <v>744</v>
      </c>
      <c r="J42" s="714" t="s">
        <v>741</v>
      </c>
      <c r="K42" s="714" t="s">
        <v>745</v>
      </c>
      <c r="L42" s="716">
        <v>58.249999999999986</v>
      </c>
      <c r="M42" s="716">
        <v>2</v>
      </c>
      <c r="N42" s="717">
        <v>116.49999999999997</v>
      </c>
    </row>
    <row r="43" spans="1:14" ht="14.4" customHeight="1" x14ac:dyDescent="0.3">
      <c r="A43" s="712" t="s">
        <v>591</v>
      </c>
      <c r="B43" s="713" t="s">
        <v>592</v>
      </c>
      <c r="C43" s="714" t="s">
        <v>596</v>
      </c>
      <c r="D43" s="715" t="s">
        <v>1361</v>
      </c>
      <c r="E43" s="714" t="s">
        <v>607</v>
      </c>
      <c r="F43" s="715" t="s">
        <v>1364</v>
      </c>
      <c r="G43" s="714" t="s">
        <v>627</v>
      </c>
      <c r="H43" s="714" t="s">
        <v>746</v>
      </c>
      <c r="I43" s="714" t="s">
        <v>747</v>
      </c>
      <c r="J43" s="714" t="s">
        <v>748</v>
      </c>
      <c r="K43" s="714" t="s">
        <v>749</v>
      </c>
      <c r="L43" s="716">
        <v>67.389999999999986</v>
      </c>
      <c r="M43" s="716">
        <v>11</v>
      </c>
      <c r="N43" s="717">
        <v>741.28999999999985</v>
      </c>
    </row>
    <row r="44" spans="1:14" ht="14.4" customHeight="1" x14ac:dyDescent="0.3">
      <c r="A44" s="712" t="s">
        <v>591</v>
      </c>
      <c r="B44" s="713" t="s">
        <v>592</v>
      </c>
      <c r="C44" s="714" t="s">
        <v>596</v>
      </c>
      <c r="D44" s="715" t="s">
        <v>1361</v>
      </c>
      <c r="E44" s="714" t="s">
        <v>607</v>
      </c>
      <c r="F44" s="715" t="s">
        <v>1364</v>
      </c>
      <c r="G44" s="714" t="s">
        <v>627</v>
      </c>
      <c r="H44" s="714" t="s">
        <v>750</v>
      </c>
      <c r="I44" s="714" t="s">
        <v>751</v>
      </c>
      <c r="J44" s="714" t="s">
        <v>752</v>
      </c>
      <c r="K44" s="714" t="s">
        <v>753</v>
      </c>
      <c r="L44" s="716">
        <v>45.850053877154487</v>
      </c>
      <c r="M44" s="716">
        <v>8</v>
      </c>
      <c r="N44" s="717">
        <v>366.80043101723589</v>
      </c>
    </row>
    <row r="45" spans="1:14" ht="14.4" customHeight="1" x14ac:dyDescent="0.3">
      <c r="A45" s="712" t="s">
        <v>591</v>
      </c>
      <c r="B45" s="713" t="s">
        <v>592</v>
      </c>
      <c r="C45" s="714" t="s">
        <v>596</v>
      </c>
      <c r="D45" s="715" t="s">
        <v>1361</v>
      </c>
      <c r="E45" s="714" t="s">
        <v>607</v>
      </c>
      <c r="F45" s="715" t="s">
        <v>1364</v>
      </c>
      <c r="G45" s="714" t="s">
        <v>627</v>
      </c>
      <c r="H45" s="714" t="s">
        <v>754</v>
      </c>
      <c r="I45" s="714" t="s">
        <v>755</v>
      </c>
      <c r="J45" s="714" t="s">
        <v>756</v>
      </c>
      <c r="K45" s="714" t="s">
        <v>757</v>
      </c>
      <c r="L45" s="716">
        <v>257.18000000000006</v>
      </c>
      <c r="M45" s="716">
        <v>1</v>
      </c>
      <c r="N45" s="717">
        <v>257.18000000000006</v>
      </c>
    </row>
    <row r="46" spans="1:14" ht="14.4" customHeight="1" x14ac:dyDescent="0.3">
      <c r="A46" s="712" t="s">
        <v>591</v>
      </c>
      <c r="B46" s="713" t="s">
        <v>592</v>
      </c>
      <c r="C46" s="714" t="s">
        <v>596</v>
      </c>
      <c r="D46" s="715" t="s">
        <v>1361</v>
      </c>
      <c r="E46" s="714" t="s">
        <v>607</v>
      </c>
      <c r="F46" s="715" t="s">
        <v>1364</v>
      </c>
      <c r="G46" s="714" t="s">
        <v>627</v>
      </c>
      <c r="H46" s="714" t="s">
        <v>758</v>
      </c>
      <c r="I46" s="714" t="s">
        <v>759</v>
      </c>
      <c r="J46" s="714" t="s">
        <v>760</v>
      </c>
      <c r="K46" s="714" t="s">
        <v>761</v>
      </c>
      <c r="L46" s="716">
        <v>28.410000000000011</v>
      </c>
      <c r="M46" s="716">
        <v>2</v>
      </c>
      <c r="N46" s="717">
        <v>56.820000000000022</v>
      </c>
    </row>
    <row r="47" spans="1:14" ht="14.4" customHeight="1" x14ac:dyDescent="0.3">
      <c r="A47" s="712" t="s">
        <v>591</v>
      </c>
      <c r="B47" s="713" t="s">
        <v>592</v>
      </c>
      <c r="C47" s="714" t="s">
        <v>596</v>
      </c>
      <c r="D47" s="715" t="s">
        <v>1361</v>
      </c>
      <c r="E47" s="714" t="s">
        <v>607</v>
      </c>
      <c r="F47" s="715" t="s">
        <v>1364</v>
      </c>
      <c r="G47" s="714" t="s">
        <v>627</v>
      </c>
      <c r="H47" s="714" t="s">
        <v>762</v>
      </c>
      <c r="I47" s="714" t="s">
        <v>763</v>
      </c>
      <c r="J47" s="714" t="s">
        <v>764</v>
      </c>
      <c r="K47" s="714" t="s">
        <v>765</v>
      </c>
      <c r="L47" s="716">
        <v>175.03899999999999</v>
      </c>
      <c r="M47" s="716">
        <v>3</v>
      </c>
      <c r="N47" s="717">
        <v>525.11699999999996</v>
      </c>
    </row>
    <row r="48" spans="1:14" ht="14.4" customHeight="1" x14ac:dyDescent="0.3">
      <c r="A48" s="712" t="s">
        <v>591</v>
      </c>
      <c r="B48" s="713" t="s">
        <v>592</v>
      </c>
      <c r="C48" s="714" t="s">
        <v>596</v>
      </c>
      <c r="D48" s="715" t="s">
        <v>1361</v>
      </c>
      <c r="E48" s="714" t="s">
        <v>607</v>
      </c>
      <c r="F48" s="715" t="s">
        <v>1364</v>
      </c>
      <c r="G48" s="714" t="s">
        <v>627</v>
      </c>
      <c r="H48" s="714" t="s">
        <v>766</v>
      </c>
      <c r="I48" s="714" t="s">
        <v>767</v>
      </c>
      <c r="J48" s="714" t="s">
        <v>768</v>
      </c>
      <c r="K48" s="714" t="s">
        <v>769</v>
      </c>
      <c r="L48" s="716">
        <v>54.470000000000013</v>
      </c>
      <c r="M48" s="716">
        <v>2</v>
      </c>
      <c r="N48" s="717">
        <v>108.94000000000003</v>
      </c>
    </row>
    <row r="49" spans="1:14" ht="14.4" customHeight="1" x14ac:dyDescent="0.3">
      <c r="A49" s="712" t="s">
        <v>591</v>
      </c>
      <c r="B49" s="713" t="s">
        <v>592</v>
      </c>
      <c r="C49" s="714" t="s">
        <v>596</v>
      </c>
      <c r="D49" s="715" t="s">
        <v>1361</v>
      </c>
      <c r="E49" s="714" t="s">
        <v>607</v>
      </c>
      <c r="F49" s="715" t="s">
        <v>1364</v>
      </c>
      <c r="G49" s="714" t="s">
        <v>627</v>
      </c>
      <c r="H49" s="714" t="s">
        <v>770</v>
      </c>
      <c r="I49" s="714" t="s">
        <v>771</v>
      </c>
      <c r="J49" s="714" t="s">
        <v>772</v>
      </c>
      <c r="K49" s="714" t="s">
        <v>773</v>
      </c>
      <c r="L49" s="716">
        <v>1592.8</v>
      </c>
      <c r="M49" s="716">
        <v>1</v>
      </c>
      <c r="N49" s="717">
        <v>1592.8</v>
      </c>
    </row>
    <row r="50" spans="1:14" ht="14.4" customHeight="1" x14ac:dyDescent="0.3">
      <c r="A50" s="712" t="s">
        <v>591</v>
      </c>
      <c r="B50" s="713" t="s">
        <v>592</v>
      </c>
      <c r="C50" s="714" t="s">
        <v>596</v>
      </c>
      <c r="D50" s="715" t="s">
        <v>1361</v>
      </c>
      <c r="E50" s="714" t="s">
        <v>607</v>
      </c>
      <c r="F50" s="715" t="s">
        <v>1364</v>
      </c>
      <c r="G50" s="714" t="s">
        <v>627</v>
      </c>
      <c r="H50" s="714" t="s">
        <v>774</v>
      </c>
      <c r="I50" s="714" t="s">
        <v>775</v>
      </c>
      <c r="J50" s="714" t="s">
        <v>776</v>
      </c>
      <c r="K50" s="714" t="s">
        <v>777</v>
      </c>
      <c r="L50" s="716">
        <v>138.84000000000003</v>
      </c>
      <c r="M50" s="716">
        <v>1</v>
      </c>
      <c r="N50" s="717">
        <v>138.84000000000003</v>
      </c>
    </row>
    <row r="51" spans="1:14" ht="14.4" customHeight="1" x14ac:dyDescent="0.3">
      <c r="A51" s="712" t="s">
        <v>591</v>
      </c>
      <c r="B51" s="713" t="s">
        <v>592</v>
      </c>
      <c r="C51" s="714" t="s">
        <v>596</v>
      </c>
      <c r="D51" s="715" t="s">
        <v>1361</v>
      </c>
      <c r="E51" s="714" t="s">
        <v>607</v>
      </c>
      <c r="F51" s="715" t="s">
        <v>1364</v>
      </c>
      <c r="G51" s="714" t="s">
        <v>627</v>
      </c>
      <c r="H51" s="714" t="s">
        <v>778</v>
      </c>
      <c r="I51" s="714" t="s">
        <v>778</v>
      </c>
      <c r="J51" s="714" t="s">
        <v>779</v>
      </c>
      <c r="K51" s="714" t="s">
        <v>780</v>
      </c>
      <c r="L51" s="716">
        <v>240.90999999999994</v>
      </c>
      <c r="M51" s="716">
        <v>1</v>
      </c>
      <c r="N51" s="717">
        <v>240.90999999999994</v>
      </c>
    </row>
    <row r="52" spans="1:14" ht="14.4" customHeight="1" x14ac:dyDescent="0.3">
      <c r="A52" s="712" t="s">
        <v>591</v>
      </c>
      <c r="B52" s="713" t="s">
        <v>592</v>
      </c>
      <c r="C52" s="714" t="s">
        <v>596</v>
      </c>
      <c r="D52" s="715" t="s">
        <v>1361</v>
      </c>
      <c r="E52" s="714" t="s">
        <v>607</v>
      </c>
      <c r="F52" s="715" t="s">
        <v>1364</v>
      </c>
      <c r="G52" s="714" t="s">
        <v>627</v>
      </c>
      <c r="H52" s="714" t="s">
        <v>781</v>
      </c>
      <c r="I52" s="714" t="s">
        <v>782</v>
      </c>
      <c r="J52" s="714" t="s">
        <v>783</v>
      </c>
      <c r="K52" s="714" t="s">
        <v>710</v>
      </c>
      <c r="L52" s="716">
        <v>75.689999999999984</v>
      </c>
      <c r="M52" s="716">
        <v>1</v>
      </c>
      <c r="N52" s="717">
        <v>75.689999999999984</v>
      </c>
    </row>
    <row r="53" spans="1:14" ht="14.4" customHeight="1" x14ac:dyDescent="0.3">
      <c r="A53" s="712" t="s">
        <v>591</v>
      </c>
      <c r="B53" s="713" t="s">
        <v>592</v>
      </c>
      <c r="C53" s="714" t="s">
        <v>596</v>
      </c>
      <c r="D53" s="715" t="s">
        <v>1361</v>
      </c>
      <c r="E53" s="714" t="s">
        <v>607</v>
      </c>
      <c r="F53" s="715" t="s">
        <v>1364</v>
      </c>
      <c r="G53" s="714" t="s">
        <v>627</v>
      </c>
      <c r="H53" s="714" t="s">
        <v>784</v>
      </c>
      <c r="I53" s="714" t="s">
        <v>785</v>
      </c>
      <c r="J53" s="714" t="s">
        <v>786</v>
      </c>
      <c r="K53" s="714" t="s">
        <v>787</v>
      </c>
      <c r="L53" s="716">
        <v>68.789999999999992</v>
      </c>
      <c r="M53" s="716">
        <v>5</v>
      </c>
      <c r="N53" s="717">
        <v>343.94999999999993</v>
      </c>
    </row>
    <row r="54" spans="1:14" ht="14.4" customHeight="1" x14ac:dyDescent="0.3">
      <c r="A54" s="712" t="s">
        <v>591</v>
      </c>
      <c r="B54" s="713" t="s">
        <v>592</v>
      </c>
      <c r="C54" s="714" t="s">
        <v>596</v>
      </c>
      <c r="D54" s="715" t="s">
        <v>1361</v>
      </c>
      <c r="E54" s="714" t="s">
        <v>607</v>
      </c>
      <c r="F54" s="715" t="s">
        <v>1364</v>
      </c>
      <c r="G54" s="714" t="s">
        <v>627</v>
      </c>
      <c r="H54" s="714" t="s">
        <v>788</v>
      </c>
      <c r="I54" s="714" t="s">
        <v>789</v>
      </c>
      <c r="J54" s="714" t="s">
        <v>790</v>
      </c>
      <c r="K54" s="714" t="s">
        <v>791</v>
      </c>
      <c r="L54" s="716">
        <v>52.39</v>
      </c>
      <c r="M54" s="716">
        <v>1</v>
      </c>
      <c r="N54" s="717">
        <v>52.39</v>
      </c>
    </row>
    <row r="55" spans="1:14" ht="14.4" customHeight="1" x14ac:dyDescent="0.3">
      <c r="A55" s="712" t="s">
        <v>591</v>
      </c>
      <c r="B55" s="713" t="s">
        <v>592</v>
      </c>
      <c r="C55" s="714" t="s">
        <v>596</v>
      </c>
      <c r="D55" s="715" t="s">
        <v>1361</v>
      </c>
      <c r="E55" s="714" t="s">
        <v>607</v>
      </c>
      <c r="F55" s="715" t="s">
        <v>1364</v>
      </c>
      <c r="G55" s="714" t="s">
        <v>627</v>
      </c>
      <c r="H55" s="714" t="s">
        <v>792</v>
      </c>
      <c r="I55" s="714" t="s">
        <v>793</v>
      </c>
      <c r="J55" s="714" t="s">
        <v>790</v>
      </c>
      <c r="K55" s="714" t="s">
        <v>794</v>
      </c>
      <c r="L55" s="716">
        <v>62.399999999999991</v>
      </c>
      <c r="M55" s="716">
        <v>2</v>
      </c>
      <c r="N55" s="717">
        <v>124.79999999999998</v>
      </c>
    </row>
    <row r="56" spans="1:14" ht="14.4" customHeight="1" x14ac:dyDescent="0.3">
      <c r="A56" s="712" t="s">
        <v>591</v>
      </c>
      <c r="B56" s="713" t="s">
        <v>592</v>
      </c>
      <c r="C56" s="714" t="s">
        <v>596</v>
      </c>
      <c r="D56" s="715" t="s">
        <v>1361</v>
      </c>
      <c r="E56" s="714" t="s">
        <v>607</v>
      </c>
      <c r="F56" s="715" t="s">
        <v>1364</v>
      </c>
      <c r="G56" s="714" t="s">
        <v>627</v>
      </c>
      <c r="H56" s="714" t="s">
        <v>795</v>
      </c>
      <c r="I56" s="714" t="s">
        <v>796</v>
      </c>
      <c r="J56" s="714" t="s">
        <v>797</v>
      </c>
      <c r="K56" s="714" t="s">
        <v>798</v>
      </c>
      <c r="L56" s="716">
        <v>46.710000000000008</v>
      </c>
      <c r="M56" s="716">
        <v>2</v>
      </c>
      <c r="N56" s="717">
        <v>93.420000000000016</v>
      </c>
    </row>
    <row r="57" spans="1:14" ht="14.4" customHeight="1" x14ac:dyDescent="0.3">
      <c r="A57" s="712" t="s">
        <v>591</v>
      </c>
      <c r="B57" s="713" t="s">
        <v>592</v>
      </c>
      <c r="C57" s="714" t="s">
        <v>596</v>
      </c>
      <c r="D57" s="715" t="s">
        <v>1361</v>
      </c>
      <c r="E57" s="714" t="s">
        <v>607</v>
      </c>
      <c r="F57" s="715" t="s">
        <v>1364</v>
      </c>
      <c r="G57" s="714" t="s">
        <v>627</v>
      </c>
      <c r="H57" s="714" t="s">
        <v>799</v>
      </c>
      <c r="I57" s="714" t="s">
        <v>800</v>
      </c>
      <c r="J57" s="714" t="s">
        <v>801</v>
      </c>
      <c r="K57" s="714"/>
      <c r="L57" s="716">
        <v>30.879953444473134</v>
      </c>
      <c r="M57" s="716">
        <v>7</v>
      </c>
      <c r="N57" s="717">
        <v>216.15967411131194</v>
      </c>
    </row>
    <row r="58" spans="1:14" ht="14.4" customHeight="1" x14ac:dyDescent="0.3">
      <c r="A58" s="712" t="s">
        <v>591</v>
      </c>
      <c r="B58" s="713" t="s">
        <v>592</v>
      </c>
      <c r="C58" s="714" t="s">
        <v>596</v>
      </c>
      <c r="D58" s="715" t="s">
        <v>1361</v>
      </c>
      <c r="E58" s="714" t="s">
        <v>607</v>
      </c>
      <c r="F58" s="715" t="s">
        <v>1364</v>
      </c>
      <c r="G58" s="714" t="s">
        <v>627</v>
      </c>
      <c r="H58" s="714" t="s">
        <v>802</v>
      </c>
      <c r="I58" s="714" t="s">
        <v>800</v>
      </c>
      <c r="J58" s="714" t="s">
        <v>803</v>
      </c>
      <c r="K58" s="714"/>
      <c r="L58" s="716">
        <v>169.92</v>
      </c>
      <c r="M58" s="716">
        <v>1</v>
      </c>
      <c r="N58" s="717">
        <v>169.92</v>
      </c>
    </row>
    <row r="59" spans="1:14" ht="14.4" customHeight="1" x14ac:dyDescent="0.3">
      <c r="A59" s="712" t="s">
        <v>591</v>
      </c>
      <c r="B59" s="713" t="s">
        <v>592</v>
      </c>
      <c r="C59" s="714" t="s">
        <v>596</v>
      </c>
      <c r="D59" s="715" t="s">
        <v>1361</v>
      </c>
      <c r="E59" s="714" t="s">
        <v>607</v>
      </c>
      <c r="F59" s="715" t="s">
        <v>1364</v>
      </c>
      <c r="G59" s="714" t="s">
        <v>627</v>
      </c>
      <c r="H59" s="714" t="s">
        <v>804</v>
      </c>
      <c r="I59" s="714" t="s">
        <v>800</v>
      </c>
      <c r="J59" s="714" t="s">
        <v>805</v>
      </c>
      <c r="K59" s="714"/>
      <c r="L59" s="716">
        <v>75.166032348454053</v>
      </c>
      <c r="M59" s="716">
        <v>2</v>
      </c>
      <c r="N59" s="717">
        <v>150.33206469690811</v>
      </c>
    </row>
    <row r="60" spans="1:14" ht="14.4" customHeight="1" x14ac:dyDescent="0.3">
      <c r="A60" s="712" t="s">
        <v>591</v>
      </c>
      <c r="B60" s="713" t="s">
        <v>592</v>
      </c>
      <c r="C60" s="714" t="s">
        <v>596</v>
      </c>
      <c r="D60" s="715" t="s">
        <v>1361</v>
      </c>
      <c r="E60" s="714" t="s">
        <v>607</v>
      </c>
      <c r="F60" s="715" t="s">
        <v>1364</v>
      </c>
      <c r="G60" s="714" t="s">
        <v>627</v>
      </c>
      <c r="H60" s="714" t="s">
        <v>806</v>
      </c>
      <c r="I60" s="714" t="s">
        <v>800</v>
      </c>
      <c r="J60" s="714" t="s">
        <v>807</v>
      </c>
      <c r="K60" s="714"/>
      <c r="L60" s="716">
        <v>91.244833502621859</v>
      </c>
      <c r="M60" s="716">
        <v>2</v>
      </c>
      <c r="N60" s="717">
        <v>182.48966700524372</v>
      </c>
    </row>
    <row r="61" spans="1:14" ht="14.4" customHeight="1" x14ac:dyDescent="0.3">
      <c r="A61" s="712" t="s">
        <v>591</v>
      </c>
      <c r="B61" s="713" t="s">
        <v>592</v>
      </c>
      <c r="C61" s="714" t="s">
        <v>596</v>
      </c>
      <c r="D61" s="715" t="s">
        <v>1361</v>
      </c>
      <c r="E61" s="714" t="s">
        <v>607</v>
      </c>
      <c r="F61" s="715" t="s">
        <v>1364</v>
      </c>
      <c r="G61" s="714" t="s">
        <v>627</v>
      </c>
      <c r="H61" s="714" t="s">
        <v>808</v>
      </c>
      <c r="I61" s="714" t="s">
        <v>800</v>
      </c>
      <c r="J61" s="714" t="s">
        <v>809</v>
      </c>
      <c r="K61" s="714"/>
      <c r="L61" s="716">
        <v>72.872121410437472</v>
      </c>
      <c r="M61" s="716">
        <v>2</v>
      </c>
      <c r="N61" s="717">
        <v>145.74424282087494</v>
      </c>
    </row>
    <row r="62" spans="1:14" ht="14.4" customHeight="1" x14ac:dyDescent="0.3">
      <c r="A62" s="712" t="s">
        <v>591</v>
      </c>
      <c r="B62" s="713" t="s">
        <v>592</v>
      </c>
      <c r="C62" s="714" t="s">
        <v>596</v>
      </c>
      <c r="D62" s="715" t="s">
        <v>1361</v>
      </c>
      <c r="E62" s="714" t="s">
        <v>607</v>
      </c>
      <c r="F62" s="715" t="s">
        <v>1364</v>
      </c>
      <c r="G62" s="714" t="s">
        <v>627</v>
      </c>
      <c r="H62" s="714" t="s">
        <v>810</v>
      </c>
      <c r="I62" s="714" t="s">
        <v>811</v>
      </c>
      <c r="J62" s="714" t="s">
        <v>812</v>
      </c>
      <c r="K62" s="714" t="s">
        <v>813</v>
      </c>
      <c r="L62" s="716">
        <v>31.459999999999987</v>
      </c>
      <c r="M62" s="716">
        <v>2</v>
      </c>
      <c r="N62" s="717">
        <v>62.919999999999973</v>
      </c>
    </row>
    <row r="63" spans="1:14" ht="14.4" customHeight="1" x14ac:dyDescent="0.3">
      <c r="A63" s="712" t="s">
        <v>591</v>
      </c>
      <c r="B63" s="713" t="s">
        <v>592</v>
      </c>
      <c r="C63" s="714" t="s">
        <v>596</v>
      </c>
      <c r="D63" s="715" t="s">
        <v>1361</v>
      </c>
      <c r="E63" s="714" t="s">
        <v>607</v>
      </c>
      <c r="F63" s="715" t="s">
        <v>1364</v>
      </c>
      <c r="G63" s="714" t="s">
        <v>627</v>
      </c>
      <c r="H63" s="714" t="s">
        <v>814</v>
      </c>
      <c r="I63" s="714" t="s">
        <v>815</v>
      </c>
      <c r="J63" s="714" t="s">
        <v>816</v>
      </c>
      <c r="K63" s="714" t="s">
        <v>817</v>
      </c>
      <c r="L63" s="716">
        <v>149.64004692392297</v>
      </c>
      <c r="M63" s="716">
        <v>6</v>
      </c>
      <c r="N63" s="717">
        <v>897.8402815435378</v>
      </c>
    </row>
    <row r="64" spans="1:14" ht="14.4" customHeight="1" x14ac:dyDescent="0.3">
      <c r="A64" s="712" t="s">
        <v>591</v>
      </c>
      <c r="B64" s="713" t="s">
        <v>592</v>
      </c>
      <c r="C64" s="714" t="s">
        <v>596</v>
      </c>
      <c r="D64" s="715" t="s">
        <v>1361</v>
      </c>
      <c r="E64" s="714" t="s">
        <v>607</v>
      </c>
      <c r="F64" s="715" t="s">
        <v>1364</v>
      </c>
      <c r="G64" s="714" t="s">
        <v>627</v>
      </c>
      <c r="H64" s="714" t="s">
        <v>818</v>
      </c>
      <c r="I64" s="714" t="s">
        <v>819</v>
      </c>
      <c r="J64" s="714" t="s">
        <v>820</v>
      </c>
      <c r="K64" s="714" t="s">
        <v>821</v>
      </c>
      <c r="L64" s="716">
        <v>46.926896551724148</v>
      </c>
      <c r="M64" s="716">
        <v>29</v>
      </c>
      <c r="N64" s="717">
        <v>1360.8800000000003</v>
      </c>
    </row>
    <row r="65" spans="1:14" ht="14.4" customHeight="1" x14ac:dyDescent="0.3">
      <c r="A65" s="712" t="s">
        <v>591</v>
      </c>
      <c r="B65" s="713" t="s">
        <v>592</v>
      </c>
      <c r="C65" s="714" t="s">
        <v>596</v>
      </c>
      <c r="D65" s="715" t="s">
        <v>1361</v>
      </c>
      <c r="E65" s="714" t="s">
        <v>607</v>
      </c>
      <c r="F65" s="715" t="s">
        <v>1364</v>
      </c>
      <c r="G65" s="714" t="s">
        <v>627</v>
      </c>
      <c r="H65" s="714" t="s">
        <v>822</v>
      </c>
      <c r="I65" s="714" t="s">
        <v>823</v>
      </c>
      <c r="J65" s="714" t="s">
        <v>824</v>
      </c>
      <c r="K65" s="714" t="s">
        <v>825</v>
      </c>
      <c r="L65" s="716">
        <v>105.80999999999999</v>
      </c>
      <c r="M65" s="716">
        <v>8</v>
      </c>
      <c r="N65" s="717">
        <v>846.4799999999999</v>
      </c>
    </row>
    <row r="66" spans="1:14" ht="14.4" customHeight="1" x14ac:dyDescent="0.3">
      <c r="A66" s="712" t="s">
        <v>591</v>
      </c>
      <c r="B66" s="713" t="s">
        <v>592</v>
      </c>
      <c r="C66" s="714" t="s">
        <v>596</v>
      </c>
      <c r="D66" s="715" t="s">
        <v>1361</v>
      </c>
      <c r="E66" s="714" t="s">
        <v>607</v>
      </c>
      <c r="F66" s="715" t="s">
        <v>1364</v>
      </c>
      <c r="G66" s="714" t="s">
        <v>627</v>
      </c>
      <c r="H66" s="714" t="s">
        <v>826</v>
      </c>
      <c r="I66" s="714" t="s">
        <v>827</v>
      </c>
      <c r="J66" s="714" t="s">
        <v>828</v>
      </c>
      <c r="K66" s="714" t="s">
        <v>829</v>
      </c>
      <c r="L66" s="716">
        <v>33.720000000000006</v>
      </c>
      <c r="M66" s="716">
        <v>1</v>
      </c>
      <c r="N66" s="717">
        <v>33.720000000000006</v>
      </c>
    </row>
    <row r="67" spans="1:14" ht="14.4" customHeight="1" x14ac:dyDescent="0.3">
      <c r="A67" s="712" t="s">
        <v>591</v>
      </c>
      <c r="B67" s="713" t="s">
        <v>592</v>
      </c>
      <c r="C67" s="714" t="s">
        <v>596</v>
      </c>
      <c r="D67" s="715" t="s">
        <v>1361</v>
      </c>
      <c r="E67" s="714" t="s">
        <v>607</v>
      </c>
      <c r="F67" s="715" t="s">
        <v>1364</v>
      </c>
      <c r="G67" s="714" t="s">
        <v>627</v>
      </c>
      <c r="H67" s="714" t="s">
        <v>830</v>
      </c>
      <c r="I67" s="714" t="s">
        <v>831</v>
      </c>
      <c r="J67" s="714" t="s">
        <v>832</v>
      </c>
      <c r="K67" s="714" t="s">
        <v>833</v>
      </c>
      <c r="L67" s="716">
        <v>42.680000000000021</v>
      </c>
      <c r="M67" s="716">
        <v>2</v>
      </c>
      <c r="N67" s="717">
        <v>85.360000000000042</v>
      </c>
    </row>
    <row r="68" spans="1:14" ht="14.4" customHeight="1" x14ac:dyDescent="0.3">
      <c r="A68" s="712" t="s">
        <v>591</v>
      </c>
      <c r="B68" s="713" t="s">
        <v>592</v>
      </c>
      <c r="C68" s="714" t="s">
        <v>596</v>
      </c>
      <c r="D68" s="715" t="s">
        <v>1361</v>
      </c>
      <c r="E68" s="714" t="s">
        <v>607</v>
      </c>
      <c r="F68" s="715" t="s">
        <v>1364</v>
      </c>
      <c r="G68" s="714" t="s">
        <v>627</v>
      </c>
      <c r="H68" s="714" t="s">
        <v>834</v>
      </c>
      <c r="I68" s="714" t="s">
        <v>835</v>
      </c>
      <c r="J68" s="714" t="s">
        <v>836</v>
      </c>
      <c r="K68" s="714" t="s">
        <v>837</v>
      </c>
      <c r="L68" s="716">
        <v>111.51960000000001</v>
      </c>
      <c r="M68" s="716">
        <v>10</v>
      </c>
      <c r="N68" s="717">
        <v>1115.1960000000001</v>
      </c>
    </row>
    <row r="69" spans="1:14" ht="14.4" customHeight="1" x14ac:dyDescent="0.3">
      <c r="A69" s="712" t="s">
        <v>591</v>
      </c>
      <c r="B69" s="713" t="s">
        <v>592</v>
      </c>
      <c r="C69" s="714" t="s">
        <v>596</v>
      </c>
      <c r="D69" s="715" t="s">
        <v>1361</v>
      </c>
      <c r="E69" s="714" t="s">
        <v>607</v>
      </c>
      <c r="F69" s="715" t="s">
        <v>1364</v>
      </c>
      <c r="G69" s="714" t="s">
        <v>627</v>
      </c>
      <c r="H69" s="714" t="s">
        <v>838</v>
      </c>
      <c r="I69" s="714" t="s">
        <v>839</v>
      </c>
      <c r="J69" s="714" t="s">
        <v>840</v>
      </c>
      <c r="K69" s="714" t="s">
        <v>841</v>
      </c>
      <c r="L69" s="716">
        <v>326.4799955953502</v>
      </c>
      <c r="M69" s="716">
        <v>3.2</v>
      </c>
      <c r="N69" s="717">
        <v>1044.7359859051207</v>
      </c>
    </row>
    <row r="70" spans="1:14" ht="14.4" customHeight="1" x14ac:dyDescent="0.3">
      <c r="A70" s="712" t="s">
        <v>591</v>
      </c>
      <c r="B70" s="713" t="s">
        <v>592</v>
      </c>
      <c r="C70" s="714" t="s">
        <v>596</v>
      </c>
      <c r="D70" s="715" t="s">
        <v>1361</v>
      </c>
      <c r="E70" s="714" t="s">
        <v>607</v>
      </c>
      <c r="F70" s="715" t="s">
        <v>1364</v>
      </c>
      <c r="G70" s="714" t="s">
        <v>627</v>
      </c>
      <c r="H70" s="714" t="s">
        <v>842</v>
      </c>
      <c r="I70" s="714" t="s">
        <v>843</v>
      </c>
      <c r="J70" s="714" t="s">
        <v>844</v>
      </c>
      <c r="K70" s="714"/>
      <c r="L70" s="716">
        <v>477.40970947910432</v>
      </c>
      <c r="M70" s="716">
        <v>1</v>
      </c>
      <c r="N70" s="717">
        <v>477.40970947910432</v>
      </c>
    </row>
    <row r="71" spans="1:14" ht="14.4" customHeight="1" x14ac:dyDescent="0.3">
      <c r="A71" s="712" t="s">
        <v>591</v>
      </c>
      <c r="B71" s="713" t="s">
        <v>592</v>
      </c>
      <c r="C71" s="714" t="s">
        <v>596</v>
      </c>
      <c r="D71" s="715" t="s">
        <v>1361</v>
      </c>
      <c r="E71" s="714" t="s">
        <v>607</v>
      </c>
      <c r="F71" s="715" t="s">
        <v>1364</v>
      </c>
      <c r="G71" s="714" t="s">
        <v>627</v>
      </c>
      <c r="H71" s="714" t="s">
        <v>845</v>
      </c>
      <c r="I71" s="714" t="s">
        <v>800</v>
      </c>
      <c r="J71" s="714" t="s">
        <v>846</v>
      </c>
      <c r="K71" s="714"/>
      <c r="L71" s="716">
        <v>148.4137574118121</v>
      </c>
      <c r="M71" s="716">
        <v>3</v>
      </c>
      <c r="N71" s="717">
        <v>445.24127223543633</v>
      </c>
    </row>
    <row r="72" spans="1:14" ht="14.4" customHeight="1" x14ac:dyDescent="0.3">
      <c r="A72" s="712" t="s">
        <v>591</v>
      </c>
      <c r="B72" s="713" t="s">
        <v>592</v>
      </c>
      <c r="C72" s="714" t="s">
        <v>596</v>
      </c>
      <c r="D72" s="715" t="s">
        <v>1361</v>
      </c>
      <c r="E72" s="714" t="s">
        <v>607</v>
      </c>
      <c r="F72" s="715" t="s">
        <v>1364</v>
      </c>
      <c r="G72" s="714" t="s">
        <v>627</v>
      </c>
      <c r="H72" s="714" t="s">
        <v>847</v>
      </c>
      <c r="I72" s="714" t="s">
        <v>848</v>
      </c>
      <c r="J72" s="714" t="s">
        <v>849</v>
      </c>
      <c r="K72" s="714" t="s">
        <v>850</v>
      </c>
      <c r="L72" s="716">
        <v>576.32000000000016</v>
      </c>
      <c r="M72" s="716">
        <v>1</v>
      </c>
      <c r="N72" s="717">
        <v>576.32000000000016</v>
      </c>
    </row>
    <row r="73" spans="1:14" ht="14.4" customHeight="1" x14ac:dyDescent="0.3">
      <c r="A73" s="712" t="s">
        <v>591</v>
      </c>
      <c r="B73" s="713" t="s">
        <v>592</v>
      </c>
      <c r="C73" s="714" t="s">
        <v>596</v>
      </c>
      <c r="D73" s="715" t="s">
        <v>1361</v>
      </c>
      <c r="E73" s="714" t="s">
        <v>607</v>
      </c>
      <c r="F73" s="715" t="s">
        <v>1364</v>
      </c>
      <c r="G73" s="714" t="s">
        <v>627</v>
      </c>
      <c r="H73" s="714" t="s">
        <v>851</v>
      </c>
      <c r="I73" s="714" t="s">
        <v>852</v>
      </c>
      <c r="J73" s="714" t="s">
        <v>853</v>
      </c>
      <c r="K73" s="714" t="s">
        <v>854</v>
      </c>
      <c r="L73" s="716">
        <v>65.189999999999941</v>
      </c>
      <c r="M73" s="716">
        <v>1</v>
      </c>
      <c r="N73" s="717">
        <v>65.189999999999941</v>
      </c>
    </row>
    <row r="74" spans="1:14" ht="14.4" customHeight="1" x14ac:dyDescent="0.3">
      <c r="A74" s="712" t="s">
        <v>591</v>
      </c>
      <c r="B74" s="713" t="s">
        <v>592</v>
      </c>
      <c r="C74" s="714" t="s">
        <v>596</v>
      </c>
      <c r="D74" s="715" t="s">
        <v>1361</v>
      </c>
      <c r="E74" s="714" t="s">
        <v>607</v>
      </c>
      <c r="F74" s="715" t="s">
        <v>1364</v>
      </c>
      <c r="G74" s="714" t="s">
        <v>627</v>
      </c>
      <c r="H74" s="714" t="s">
        <v>855</v>
      </c>
      <c r="I74" s="714" t="s">
        <v>800</v>
      </c>
      <c r="J74" s="714" t="s">
        <v>856</v>
      </c>
      <c r="K74" s="714"/>
      <c r="L74" s="716">
        <v>48.342211134171954</v>
      </c>
      <c r="M74" s="716">
        <v>5</v>
      </c>
      <c r="N74" s="717">
        <v>241.71105567085976</v>
      </c>
    </row>
    <row r="75" spans="1:14" ht="14.4" customHeight="1" x14ac:dyDescent="0.3">
      <c r="A75" s="712" t="s">
        <v>591</v>
      </c>
      <c r="B75" s="713" t="s">
        <v>592</v>
      </c>
      <c r="C75" s="714" t="s">
        <v>596</v>
      </c>
      <c r="D75" s="715" t="s">
        <v>1361</v>
      </c>
      <c r="E75" s="714" t="s">
        <v>607</v>
      </c>
      <c r="F75" s="715" t="s">
        <v>1364</v>
      </c>
      <c r="G75" s="714" t="s">
        <v>627</v>
      </c>
      <c r="H75" s="714" t="s">
        <v>857</v>
      </c>
      <c r="I75" s="714" t="s">
        <v>858</v>
      </c>
      <c r="J75" s="714" t="s">
        <v>859</v>
      </c>
      <c r="K75" s="714" t="s">
        <v>860</v>
      </c>
      <c r="L75" s="716">
        <v>81.28</v>
      </c>
      <c r="M75" s="716">
        <v>1</v>
      </c>
      <c r="N75" s="717">
        <v>81.28</v>
      </c>
    </row>
    <row r="76" spans="1:14" ht="14.4" customHeight="1" x14ac:dyDescent="0.3">
      <c r="A76" s="712" t="s">
        <v>591</v>
      </c>
      <c r="B76" s="713" t="s">
        <v>592</v>
      </c>
      <c r="C76" s="714" t="s">
        <v>596</v>
      </c>
      <c r="D76" s="715" t="s">
        <v>1361</v>
      </c>
      <c r="E76" s="714" t="s">
        <v>607</v>
      </c>
      <c r="F76" s="715" t="s">
        <v>1364</v>
      </c>
      <c r="G76" s="714" t="s">
        <v>627</v>
      </c>
      <c r="H76" s="714" t="s">
        <v>861</v>
      </c>
      <c r="I76" s="714" t="s">
        <v>862</v>
      </c>
      <c r="J76" s="714" t="s">
        <v>863</v>
      </c>
      <c r="K76" s="714" t="s">
        <v>864</v>
      </c>
      <c r="L76" s="716">
        <v>119.07999999999994</v>
      </c>
      <c r="M76" s="716">
        <v>1</v>
      </c>
      <c r="N76" s="717">
        <v>119.07999999999994</v>
      </c>
    </row>
    <row r="77" spans="1:14" ht="14.4" customHeight="1" x14ac:dyDescent="0.3">
      <c r="A77" s="712" t="s">
        <v>591</v>
      </c>
      <c r="B77" s="713" t="s">
        <v>592</v>
      </c>
      <c r="C77" s="714" t="s">
        <v>596</v>
      </c>
      <c r="D77" s="715" t="s">
        <v>1361</v>
      </c>
      <c r="E77" s="714" t="s">
        <v>607</v>
      </c>
      <c r="F77" s="715" t="s">
        <v>1364</v>
      </c>
      <c r="G77" s="714" t="s">
        <v>627</v>
      </c>
      <c r="H77" s="714" t="s">
        <v>865</v>
      </c>
      <c r="I77" s="714" t="s">
        <v>866</v>
      </c>
      <c r="J77" s="714" t="s">
        <v>622</v>
      </c>
      <c r="K77" s="714" t="s">
        <v>867</v>
      </c>
      <c r="L77" s="716">
        <v>107.33</v>
      </c>
      <c r="M77" s="716">
        <v>3</v>
      </c>
      <c r="N77" s="717">
        <v>321.99</v>
      </c>
    </row>
    <row r="78" spans="1:14" ht="14.4" customHeight="1" x14ac:dyDescent="0.3">
      <c r="A78" s="712" t="s">
        <v>591</v>
      </c>
      <c r="B78" s="713" t="s">
        <v>592</v>
      </c>
      <c r="C78" s="714" t="s">
        <v>596</v>
      </c>
      <c r="D78" s="715" t="s">
        <v>1361</v>
      </c>
      <c r="E78" s="714" t="s">
        <v>607</v>
      </c>
      <c r="F78" s="715" t="s">
        <v>1364</v>
      </c>
      <c r="G78" s="714" t="s">
        <v>627</v>
      </c>
      <c r="H78" s="714" t="s">
        <v>868</v>
      </c>
      <c r="I78" s="714" t="s">
        <v>800</v>
      </c>
      <c r="J78" s="714" t="s">
        <v>869</v>
      </c>
      <c r="K78" s="714"/>
      <c r="L78" s="716">
        <v>71.627527777777772</v>
      </c>
      <c r="M78" s="716">
        <v>3</v>
      </c>
      <c r="N78" s="717">
        <v>214.88258333333332</v>
      </c>
    </row>
    <row r="79" spans="1:14" ht="14.4" customHeight="1" x14ac:dyDescent="0.3">
      <c r="A79" s="712" t="s">
        <v>591</v>
      </c>
      <c r="B79" s="713" t="s">
        <v>592</v>
      </c>
      <c r="C79" s="714" t="s">
        <v>596</v>
      </c>
      <c r="D79" s="715" t="s">
        <v>1361</v>
      </c>
      <c r="E79" s="714" t="s">
        <v>607</v>
      </c>
      <c r="F79" s="715" t="s">
        <v>1364</v>
      </c>
      <c r="G79" s="714" t="s">
        <v>627</v>
      </c>
      <c r="H79" s="714" t="s">
        <v>870</v>
      </c>
      <c r="I79" s="714" t="s">
        <v>871</v>
      </c>
      <c r="J79" s="714" t="s">
        <v>872</v>
      </c>
      <c r="K79" s="714" t="s">
        <v>873</v>
      </c>
      <c r="L79" s="716">
        <v>36.38000000000001</v>
      </c>
      <c r="M79" s="716">
        <v>1</v>
      </c>
      <c r="N79" s="717">
        <v>36.38000000000001</v>
      </c>
    </row>
    <row r="80" spans="1:14" ht="14.4" customHeight="1" x14ac:dyDescent="0.3">
      <c r="A80" s="712" t="s">
        <v>591</v>
      </c>
      <c r="B80" s="713" t="s">
        <v>592</v>
      </c>
      <c r="C80" s="714" t="s">
        <v>596</v>
      </c>
      <c r="D80" s="715" t="s">
        <v>1361</v>
      </c>
      <c r="E80" s="714" t="s">
        <v>607</v>
      </c>
      <c r="F80" s="715" t="s">
        <v>1364</v>
      </c>
      <c r="G80" s="714" t="s">
        <v>627</v>
      </c>
      <c r="H80" s="714" t="s">
        <v>874</v>
      </c>
      <c r="I80" s="714" t="s">
        <v>874</v>
      </c>
      <c r="J80" s="714" t="s">
        <v>875</v>
      </c>
      <c r="K80" s="714" t="s">
        <v>876</v>
      </c>
      <c r="L80" s="716">
        <v>95.89</v>
      </c>
      <c r="M80" s="716">
        <v>4</v>
      </c>
      <c r="N80" s="717">
        <v>383.56</v>
      </c>
    </row>
    <row r="81" spans="1:14" ht="14.4" customHeight="1" x14ac:dyDescent="0.3">
      <c r="A81" s="712" t="s">
        <v>591</v>
      </c>
      <c r="B81" s="713" t="s">
        <v>592</v>
      </c>
      <c r="C81" s="714" t="s">
        <v>596</v>
      </c>
      <c r="D81" s="715" t="s">
        <v>1361</v>
      </c>
      <c r="E81" s="714" t="s">
        <v>607</v>
      </c>
      <c r="F81" s="715" t="s">
        <v>1364</v>
      </c>
      <c r="G81" s="714" t="s">
        <v>627</v>
      </c>
      <c r="H81" s="714" t="s">
        <v>877</v>
      </c>
      <c r="I81" s="714" t="s">
        <v>878</v>
      </c>
      <c r="J81" s="714" t="s">
        <v>879</v>
      </c>
      <c r="K81" s="714" t="s">
        <v>880</v>
      </c>
      <c r="L81" s="716">
        <v>81.300000000000011</v>
      </c>
      <c r="M81" s="716">
        <v>2</v>
      </c>
      <c r="N81" s="717">
        <v>162.60000000000002</v>
      </c>
    </row>
    <row r="82" spans="1:14" ht="14.4" customHeight="1" x14ac:dyDescent="0.3">
      <c r="A82" s="712" t="s">
        <v>591</v>
      </c>
      <c r="B82" s="713" t="s">
        <v>592</v>
      </c>
      <c r="C82" s="714" t="s">
        <v>596</v>
      </c>
      <c r="D82" s="715" t="s">
        <v>1361</v>
      </c>
      <c r="E82" s="714" t="s">
        <v>607</v>
      </c>
      <c r="F82" s="715" t="s">
        <v>1364</v>
      </c>
      <c r="G82" s="714" t="s">
        <v>627</v>
      </c>
      <c r="H82" s="714" t="s">
        <v>881</v>
      </c>
      <c r="I82" s="714" t="s">
        <v>881</v>
      </c>
      <c r="J82" s="714" t="s">
        <v>882</v>
      </c>
      <c r="K82" s="714" t="s">
        <v>883</v>
      </c>
      <c r="L82" s="716">
        <v>74.92000000000003</v>
      </c>
      <c r="M82" s="716">
        <v>1</v>
      </c>
      <c r="N82" s="717">
        <v>74.92000000000003</v>
      </c>
    </row>
    <row r="83" spans="1:14" ht="14.4" customHeight="1" x14ac:dyDescent="0.3">
      <c r="A83" s="712" t="s">
        <v>591</v>
      </c>
      <c r="B83" s="713" t="s">
        <v>592</v>
      </c>
      <c r="C83" s="714" t="s">
        <v>596</v>
      </c>
      <c r="D83" s="715" t="s">
        <v>1361</v>
      </c>
      <c r="E83" s="714" t="s">
        <v>607</v>
      </c>
      <c r="F83" s="715" t="s">
        <v>1364</v>
      </c>
      <c r="G83" s="714" t="s">
        <v>627</v>
      </c>
      <c r="H83" s="714" t="s">
        <v>884</v>
      </c>
      <c r="I83" s="714" t="s">
        <v>885</v>
      </c>
      <c r="J83" s="714" t="s">
        <v>886</v>
      </c>
      <c r="K83" s="714" t="s">
        <v>887</v>
      </c>
      <c r="L83" s="716">
        <v>160.68999999999997</v>
      </c>
      <c r="M83" s="716">
        <v>1</v>
      </c>
      <c r="N83" s="717">
        <v>160.68999999999997</v>
      </c>
    </row>
    <row r="84" spans="1:14" ht="14.4" customHeight="1" x14ac:dyDescent="0.3">
      <c r="A84" s="712" t="s">
        <v>591</v>
      </c>
      <c r="B84" s="713" t="s">
        <v>592</v>
      </c>
      <c r="C84" s="714" t="s">
        <v>596</v>
      </c>
      <c r="D84" s="715" t="s">
        <v>1361</v>
      </c>
      <c r="E84" s="714" t="s">
        <v>607</v>
      </c>
      <c r="F84" s="715" t="s">
        <v>1364</v>
      </c>
      <c r="G84" s="714" t="s">
        <v>627</v>
      </c>
      <c r="H84" s="714" t="s">
        <v>888</v>
      </c>
      <c r="I84" s="714" t="s">
        <v>888</v>
      </c>
      <c r="J84" s="714" t="s">
        <v>889</v>
      </c>
      <c r="K84" s="714" t="s">
        <v>890</v>
      </c>
      <c r="L84" s="716">
        <v>84.72999999999999</v>
      </c>
      <c r="M84" s="716">
        <v>2</v>
      </c>
      <c r="N84" s="717">
        <v>169.45999999999998</v>
      </c>
    </row>
    <row r="85" spans="1:14" ht="14.4" customHeight="1" x14ac:dyDescent="0.3">
      <c r="A85" s="712" t="s">
        <v>591</v>
      </c>
      <c r="B85" s="713" t="s">
        <v>592</v>
      </c>
      <c r="C85" s="714" t="s">
        <v>596</v>
      </c>
      <c r="D85" s="715" t="s">
        <v>1361</v>
      </c>
      <c r="E85" s="714" t="s">
        <v>607</v>
      </c>
      <c r="F85" s="715" t="s">
        <v>1364</v>
      </c>
      <c r="G85" s="714" t="s">
        <v>627</v>
      </c>
      <c r="H85" s="714" t="s">
        <v>891</v>
      </c>
      <c r="I85" s="714" t="s">
        <v>891</v>
      </c>
      <c r="J85" s="714" t="s">
        <v>892</v>
      </c>
      <c r="K85" s="714" t="s">
        <v>883</v>
      </c>
      <c r="L85" s="716">
        <v>164.19</v>
      </c>
      <c r="M85" s="716">
        <v>1</v>
      </c>
      <c r="N85" s="717">
        <v>164.19</v>
      </c>
    </row>
    <row r="86" spans="1:14" ht="14.4" customHeight="1" x14ac:dyDescent="0.3">
      <c r="A86" s="712" t="s">
        <v>591</v>
      </c>
      <c r="B86" s="713" t="s">
        <v>592</v>
      </c>
      <c r="C86" s="714" t="s">
        <v>596</v>
      </c>
      <c r="D86" s="715" t="s">
        <v>1361</v>
      </c>
      <c r="E86" s="714" t="s">
        <v>607</v>
      </c>
      <c r="F86" s="715" t="s">
        <v>1364</v>
      </c>
      <c r="G86" s="714" t="s">
        <v>627</v>
      </c>
      <c r="H86" s="714" t="s">
        <v>893</v>
      </c>
      <c r="I86" s="714" t="s">
        <v>894</v>
      </c>
      <c r="J86" s="714" t="s">
        <v>895</v>
      </c>
      <c r="K86" s="714" t="s">
        <v>896</v>
      </c>
      <c r="L86" s="716">
        <v>109.81999999999998</v>
      </c>
      <c r="M86" s="716">
        <v>2</v>
      </c>
      <c r="N86" s="717">
        <v>219.63999999999996</v>
      </c>
    </row>
    <row r="87" spans="1:14" ht="14.4" customHeight="1" x14ac:dyDescent="0.3">
      <c r="A87" s="712" t="s">
        <v>591</v>
      </c>
      <c r="B87" s="713" t="s">
        <v>592</v>
      </c>
      <c r="C87" s="714" t="s">
        <v>596</v>
      </c>
      <c r="D87" s="715" t="s">
        <v>1361</v>
      </c>
      <c r="E87" s="714" t="s">
        <v>607</v>
      </c>
      <c r="F87" s="715" t="s">
        <v>1364</v>
      </c>
      <c r="G87" s="714" t="s">
        <v>627</v>
      </c>
      <c r="H87" s="714" t="s">
        <v>897</v>
      </c>
      <c r="I87" s="714" t="s">
        <v>897</v>
      </c>
      <c r="J87" s="714" t="s">
        <v>898</v>
      </c>
      <c r="K87" s="714" t="s">
        <v>899</v>
      </c>
      <c r="L87" s="716">
        <v>56.489895340542347</v>
      </c>
      <c r="M87" s="716">
        <v>2</v>
      </c>
      <c r="N87" s="717">
        <v>112.97979068108469</v>
      </c>
    </row>
    <row r="88" spans="1:14" ht="14.4" customHeight="1" x14ac:dyDescent="0.3">
      <c r="A88" s="712" t="s">
        <v>591</v>
      </c>
      <c r="B88" s="713" t="s">
        <v>592</v>
      </c>
      <c r="C88" s="714" t="s">
        <v>596</v>
      </c>
      <c r="D88" s="715" t="s">
        <v>1361</v>
      </c>
      <c r="E88" s="714" t="s">
        <v>607</v>
      </c>
      <c r="F88" s="715" t="s">
        <v>1364</v>
      </c>
      <c r="G88" s="714" t="s">
        <v>627</v>
      </c>
      <c r="H88" s="714" t="s">
        <v>900</v>
      </c>
      <c r="I88" s="714" t="s">
        <v>900</v>
      </c>
      <c r="J88" s="714" t="s">
        <v>901</v>
      </c>
      <c r="K88" s="714" t="s">
        <v>902</v>
      </c>
      <c r="L88" s="716">
        <v>81.899999999999991</v>
      </c>
      <c r="M88" s="716">
        <v>1</v>
      </c>
      <c r="N88" s="717">
        <v>81.899999999999991</v>
      </c>
    </row>
    <row r="89" spans="1:14" ht="14.4" customHeight="1" x14ac:dyDescent="0.3">
      <c r="A89" s="712" t="s">
        <v>591</v>
      </c>
      <c r="B89" s="713" t="s">
        <v>592</v>
      </c>
      <c r="C89" s="714" t="s">
        <v>596</v>
      </c>
      <c r="D89" s="715" t="s">
        <v>1361</v>
      </c>
      <c r="E89" s="714" t="s">
        <v>607</v>
      </c>
      <c r="F89" s="715" t="s">
        <v>1364</v>
      </c>
      <c r="G89" s="714" t="s">
        <v>627</v>
      </c>
      <c r="H89" s="714" t="s">
        <v>903</v>
      </c>
      <c r="I89" s="714" t="s">
        <v>903</v>
      </c>
      <c r="J89" s="714" t="s">
        <v>904</v>
      </c>
      <c r="K89" s="714" t="s">
        <v>905</v>
      </c>
      <c r="L89" s="716">
        <v>100.59999999999997</v>
      </c>
      <c r="M89" s="716">
        <v>2</v>
      </c>
      <c r="N89" s="717">
        <v>201.19999999999993</v>
      </c>
    </row>
    <row r="90" spans="1:14" ht="14.4" customHeight="1" x14ac:dyDescent="0.3">
      <c r="A90" s="712" t="s">
        <v>591</v>
      </c>
      <c r="B90" s="713" t="s">
        <v>592</v>
      </c>
      <c r="C90" s="714" t="s">
        <v>596</v>
      </c>
      <c r="D90" s="715" t="s">
        <v>1361</v>
      </c>
      <c r="E90" s="714" t="s">
        <v>607</v>
      </c>
      <c r="F90" s="715" t="s">
        <v>1364</v>
      </c>
      <c r="G90" s="714" t="s">
        <v>627</v>
      </c>
      <c r="H90" s="714" t="s">
        <v>906</v>
      </c>
      <c r="I90" s="714" t="s">
        <v>906</v>
      </c>
      <c r="J90" s="714" t="s">
        <v>907</v>
      </c>
      <c r="K90" s="714" t="s">
        <v>908</v>
      </c>
      <c r="L90" s="716">
        <v>28.6</v>
      </c>
      <c r="M90" s="716">
        <v>10</v>
      </c>
      <c r="N90" s="717">
        <v>286</v>
      </c>
    </row>
    <row r="91" spans="1:14" ht="14.4" customHeight="1" x14ac:dyDescent="0.3">
      <c r="A91" s="712" t="s">
        <v>591</v>
      </c>
      <c r="B91" s="713" t="s">
        <v>592</v>
      </c>
      <c r="C91" s="714" t="s">
        <v>596</v>
      </c>
      <c r="D91" s="715" t="s">
        <v>1361</v>
      </c>
      <c r="E91" s="714" t="s">
        <v>607</v>
      </c>
      <c r="F91" s="715" t="s">
        <v>1364</v>
      </c>
      <c r="G91" s="714" t="s">
        <v>627</v>
      </c>
      <c r="H91" s="714" t="s">
        <v>909</v>
      </c>
      <c r="I91" s="714" t="s">
        <v>909</v>
      </c>
      <c r="J91" s="714" t="s">
        <v>910</v>
      </c>
      <c r="K91" s="714" t="s">
        <v>911</v>
      </c>
      <c r="L91" s="716">
        <v>26.949999999999996</v>
      </c>
      <c r="M91" s="716">
        <v>2</v>
      </c>
      <c r="N91" s="717">
        <v>53.899999999999991</v>
      </c>
    </row>
    <row r="92" spans="1:14" ht="14.4" customHeight="1" x14ac:dyDescent="0.3">
      <c r="A92" s="712" t="s">
        <v>591</v>
      </c>
      <c r="B92" s="713" t="s">
        <v>592</v>
      </c>
      <c r="C92" s="714" t="s">
        <v>596</v>
      </c>
      <c r="D92" s="715" t="s">
        <v>1361</v>
      </c>
      <c r="E92" s="714" t="s">
        <v>607</v>
      </c>
      <c r="F92" s="715" t="s">
        <v>1364</v>
      </c>
      <c r="G92" s="714" t="s">
        <v>912</v>
      </c>
      <c r="H92" s="714" t="s">
        <v>913</v>
      </c>
      <c r="I92" s="714" t="s">
        <v>913</v>
      </c>
      <c r="J92" s="714" t="s">
        <v>914</v>
      </c>
      <c r="K92" s="714" t="s">
        <v>915</v>
      </c>
      <c r="L92" s="716">
        <v>14.879999999999997</v>
      </c>
      <c r="M92" s="716">
        <v>1</v>
      </c>
      <c r="N92" s="717">
        <v>14.879999999999997</v>
      </c>
    </row>
    <row r="93" spans="1:14" ht="14.4" customHeight="1" x14ac:dyDescent="0.3">
      <c r="A93" s="712" t="s">
        <v>591</v>
      </c>
      <c r="B93" s="713" t="s">
        <v>592</v>
      </c>
      <c r="C93" s="714" t="s">
        <v>596</v>
      </c>
      <c r="D93" s="715" t="s">
        <v>1361</v>
      </c>
      <c r="E93" s="714" t="s">
        <v>607</v>
      </c>
      <c r="F93" s="715" t="s">
        <v>1364</v>
      </c>
      <c r="G93" s="714" t="s">
        <v>912</v>
      </c>
      <c r="H93" s="714" t="s">
        <v>916</v>
      </c>
      <c r="I93" s="714" t="s">
        <v>917</v>
      </c>
      <c r="J93" s="714" t="s">
        <v>918</v>
      </c>
      <c r="K93" s="714" t="s">
        <v>919</v>
      </c>
      <c r="L93" s="716">
        <v>98.79</v>
      </c>
      <c r="M93" s="716">
        <v>1</v>
      </c>
      <c r="N93" s="717">
        <v>98.79</v>
      </c>
    </row>
    <row r="94" spans="1:14" ht="14.4" customHeight="1" x14ac:dyDescent="0.3">
      <c r="A94" s="712" t="s">
        <v>591</v>
      </c>
      <c r="B94" s="713" t="s">
        <v>592</v>
      </c>
      <c r="C94" s="714" t="s">
        <v>596</v>
      </c>
      <c r="D94" s="715" t="s">
        <v>1361</v>
      </c>
      <c r="E94" s="714" t="s">
        <v>607</v>
      </c>
      <c r="F94" s="715" t="s">
        <v>1364</v>
      </c>
      <c r="G94" s="714" t="s">
        <v>912</v>
      </c>
      <c r="H94" s="714" t="s">
        <v>920</v>
      </c>
      <c r="I94" s="714" t="s">
        <v>921</v>
      </c>
      <c r="J94" s="714" t="s">
        <v>922</v>
      </c>
      <c r="K94" s="714" t="s">
        <v>923</v>
      </c>
      <c r="L94" s="716">
        <v>36.61999999999999</v>
      </c>
      <c r="M94" s="716">
        <v>1</v>
      </c>
      <c r="N94" s="717">
        <v>36.61999999999999</v>
      </c>
    </row>
    <row r="95" spans="1:14" ht="14.4" customHeight="1" x14ac:dyDescent="0.3">
      <c r="A95" s="712" t="s">
        <v>591</v>
      </c>
      <c r="B95" s="713" t="s">
        <v>592</v>
      </c>
      <c r="C95" s="714" t="s">
        <v>596</v>
      </c>
      <c r="D95" s="715" t="s">
        <v>1361</v>
      </c>
      <c r="E95" s="714" t="s">
        <v>607</v>
      </c>
      <c r="F95" s="715" t="s">
        <v>1364</v>
      </c>
      <c r="G95" s="714" t="s">
        <v>912</v>
      </c>
      <c r="H95" s="714" t="s">
        <v>924</v>
      </c>
      <c r="I95" s="714" t="s">
        <v>925</v>
      </c>
      <c r="J95" s="714" t="s">
        <v>926</v>
      </c>
      <c r="K95" s="714" t="s">
        <v>927</v>
      </c>
      <c r="L95" s="716">
        <v>42.58</v>
      </c>
      <c r="M95" s="716">
        <v>1</v>
      </c>
      <c r="N95" s="717">
        <v>42.58</v>
      </c>
    </row>
    <row r="96" spans="1:14" ht="14.4" customHeight="1" x14ac:dyDescent="0.3">
      <c r="A96" s="712" t="s">
        <v>591</v>
      </c>
      <c r="B96" s="713" t="s">
        <v>592</v>
      </c>
      <c r="C96" s="714" t="s">
        <v>596</v>
      </c>
      <c r="D96" s="715" t="s">
        <v>1361</v>
      </c>
      <c r="E96" s="714" t="s">
        <v>607</v>
      </c>
      <c r="F96" s="715" t="s">
        <v>1364</v>
      </c>
      <c r="G96" s="714" t="s">
        <v>912</v>
      </c>
      <c r="H96" s="714" t="s">
        <v>928</v>
      </c>
      <c r="I96" s="714" t="s">
        <v>929</v>
      </c>
      <c r="J96" s="714" t="s">
        <v>930</v>
      </c>
      <c r="K96" s="714" t="s">
        <v>931</v>
      </c>
      <c r="L96" s="716">
        <v>44.590069955107246</v>
      </c>
      <c r="M96" s="716">
        <v>63</v>
      </c>
      <c r="N96" s="717">
        <v>2809.1744071717567</v>
      </c>
    </row>
    <row r="97" spans="1:14" ht="14.4" customHeight="1" x14ac:dyDescent="0.3">
      <c r="A97" s="712" t="s">
        <v>591</v>
      </c>
      <c r="B97" s="713" t="s">
        <v>592</v>
      </c>
      <c r="C97" s="714" t="s">
        <v>596</v>
      </c>
      <c r="D97" s="715" t="s">
        <v>1361</v>
      </c>
      <c r="E97" s="714" t="s">
        <v>607</v>
      </c>
      <c r="F97" s="715" t="s">
        <v>1364</v>
      </c>
      <c r="G97" s="714" t="s">
        <v>912</v>
      </c>
      <c r="H97" s="714" t="s">
        <v>932</v>
      </c>
      <c r="I97" s="714" t="s">
        <v>933</v>
      </c>
      <c r="J97" s="714" t="s">
        <v>934</v>
      </c>
      <c r="K97" s="714" t="s">
        <v>935</v>
      </c>
      <c r="L97" s="716">
        <v>30.220000000000013</v>
      </c>
      <c r="M97" s="716">
        <v>2</v>
      </c>
      <c r="N97" s="717">
        <v>60.440000000000026</v>
      </c>
    </row>
    <row r="98" spans="1:14" ht="14.4" customHeight="1" x14ac:dyDescent="0.3">
      <c r="A98" s="712" t="s">
        <v>591</v>
      </c>
      <c r="B98" s="713" t="s">
        <v>592</v>
      </c>
      <c r="C98" s="714" t="s">
        <v>596</v>
      </c>
      <c r="D98" s="715" t="s">
        <v>1361</v>
      </c>
      <c r="E98" s="714" t="s">
        <v>607</v>
      </c>
      <c r="F98" s="715" t="s">
        <v>1364</v>
      </c>
      <c r="G98" s="714" t="s">
        <v>912</v>
      </c>
      <c r="H98" s="714" t="s">
        <v>936</v>
      </c>
      <c r="I98" s="714" t="s">
        <v>937</v>
      </c>
      <c r="J98" s="714" t="s">
        <v>938</v>
      </c>
      <c r="K98" s="714" t="s">
        <v>939</v>
      </c>
      <c r="L98" s="716">
        <v>88.249999999999957</v>
      </c>
      <c r="M98" s="716">
        <v>1</v>
      </c>
      <c r="N98" s="717">
        <v>88.249999999999957</v>
      </c>
    </row>
    <row r="99" spans="1:14" ht="14.4" customHeight="1" x14ac:dyDescent="0.3">
      <c r="A99" s="712" t="s">
        <v>591</v>
      </c>
      <c r="B99" s="713" t="s">
        <v>592</v>
      </c>
      <c r="C99" s="714" t="s">
        <v>596</v>
      </c>
      <c r="D99" s="715" t="s">
        <v>1361</v>
      </c>
      <c r="E99" s="714" t="s">
        <v>607</v>
      </c>
      <c r="F99" s="715" t="s">
        <v>1364</v>
      </c>
      <c r="G99" s="714" t="s">
        <v>912</v>
      </c>
      <c r="H99" s="714" t="s">
        <v>940</v>
      </c>
      <c r="I99" s="714" t="s">
        <v>941</v>
      </c>
      <c r="J99" s="714" t="s">
        <v>942</v>
      </c>
      <c r="K99" s="714" t="s">
        <v>943</v>
      </c>
      <c r="L99" s="716">
        <v>297.92000000000007</v>
      </c>
      <c r="M99" s="716">
        <v>1</v>
      </c>
      <c r="N99" s="717">
        <v>297.92000000000007</v>
      </c>
    </row>
    <row r="100" spans="1:14" ht="14.4" customHeight="1" x14ac:dyDescent="0.3">
      <c r="A100" s="712" t="s">
        <v>591</v>
      </c>
      <c r="B100" s="713" t="s">
        <v>592</v>
      </c>
      <c r="C100" s="714" t="s">
        <v>596</v>
      </c>
      <c r="D100" s="715" t="s">
        <v>1361</v>
      </c>
      <c r="E100" s="714" t="s">
        <v>607</v>
      </c>
      <c r="F100" s="715" t="s">
        <v>1364</v>
      </c>
      <c r="G100" s="714" t="s">
        <v>912</v>
      </c>
      <c r="H100" s="714" t="s">
        <v>944</v>
      </c>
      <c r="I100" s="714" t="s">
        <v>945</v>
      </c>
      <c r="J100" s="714" t="s">
        <v>622</v>
      </c>
      <c r="K100" s="714" t="s">
        <v>946</v>
      </c>
      <c r="L100" s="716">
        <v>58.74</v>
      </c>
      <c r="M100" s="716">
        <v>30</v>
      </c>
      <c r="N100" s="717">
        <v>1762.2</v>
      </c>
    </row>
    <row r="101" spans="1:14" ht="14.4" customHeight="1" x14ac:dyDescent="0.3">
      <c r="A101" s="712" t="s">
        <v>591</v>
      </c>
      <c r="B101" s="713" t="s">
        <v>592</v>
      </c>
      <c r="C101" s="714" t="s">
        <v>596</v>
      </c>
      <c r="D101" s="715" t="s">
        <v>1361</v>
      </c>
      <c r="E101" s="714" t="s">
        <v>607</v>
      </c>
      <c r="F101" s="715" t="s">
        <v>1364</v>
      </c>
      <c r="G101" s="714" t="s">
        <v>912</v>
      </c>
      <c r="H101" s="714" t="s">
        <v>947</v>
      </c>
      <c r="I101" s="714" t="s">
        <v>948</v>
      </c>
      <c r="J101" s="714" t="s">
        <v>949</v>
      </c>
      <c r="K101" s="714" t="s">
        <v>950</v>
      </c>
      <c r="L101" s="716">
        <v>50.17</v>
      </c>
      <c r="M101" s="716">
        <v>1</v>
      </c>
      <c r="N101" s="717">
        <v>50.17</v>
      </c>
    </row>
    <row r="102" spans="1:14" ht="14.4" customHeight="1" x14ac:dyDescent="0.3">
      <c r="A102" s="712" t="s">
        <v>591</v>
      </c>
      <c r="B102" s="713" t="s">
        <v>592</v>
      </c>
      <c r="C102" s="714" t="s">
        <v>596</v>
      </c>
      <c r="D102" s="715" t="s">
        <v>1361</v>
      </c>
      <c r="E102" s="714" t="s">
        <v>607</v>
      </c>
      <c r="F102" s="715" t="s">
        <v>1364</v>
      </c>
      <c r="G102" s="714" t="s">
        <v>912</v>
      </c>
      <c r="H102" s="714" t="s">
        <v>951</v>
      </c>
      <c r="I102" s="714" t="s">
        <v>952</v>
      </c>
      <c r="J102" s="714" t="s">
        <v>930</v>
      </c>
      <c r="K102" s="714" t="s">
        <v>953</v>
      </c>
      <c r="L102" s="716">
        <v>56.880063477147679</v>
      </c>
      <c r="M102" s="716">
        <v>19</v>
      </c>
      <c r="N102" s="717">
        <v>1080.721206065806</v>
      </c>
    </row>
    <row r="103" spans="1:14" ht="14.4" customHeight="1" x14ac:dyDescent="0.3">
      <c r="A103" s="712" t="s">
        <v>591</v>
      </c>
      <c r="B103" s="713" t="s">
        <v>592</v>
      </c>
      <c r="C103" s="714" t="s">
        <v>596</v>
      </c>
      <c r="D103" s="715" t="s">
        <v>1361</v>
      </c>
      <c r="E103" s="714" t="s">
        <v>607</v>
      </c>
      <c r="F103" s="715" t="s">
        <v>1364</v>
      </c>
      <c r="G103" s="714" t="s">
        <v>912</v>
      </c>
      <c r="H103" s="714" t="s">
        <v>954</v>
      </c>
      <c r="I103" s="714" t="s">
        <v>955</v>
      </c>
      <c r="J103" s="714" t="s">
        <v>956</v>
      </c>
      <c r="K103" s="714" t="s">
        <v>957</v>
      </c>
      <c r="L103" s="716">
        <v>112.04</v>
      </c>
      <c r="M103" s="716">
        <v>1</v>
      </c>
      <c r="N103" s="717">
        <v>112.04</v>
      </c>
    </row>
    <row r="104" spans="1:14" ht="14.4" customHeight="1" x14ac:dyDescent="0.3">
      <c r="A104" s="712" t="s">
        <v>591</v>
      </c>
      <c r="B104" s="713" t="s">
        <v>592</v>
      </c>
      <c r="C104" s="714" t="s">
        <v>596</v>
      </c>
      <c r="D104" s="715" t="s">
        <v>1361</v>
      </c>
      <c r="E104" s="714" t="s">
        <v>607</v>
      </c>
      <c r="F104" s="715" t="s">
        <v>1364</v>
      </c>
      <c r="G104" s="714" t="s">
        <v>912</v>
      </c>
      <c r="H104" s="714" t="s">
        <v>958</v>
      </c>
      <c r="I104" s="714" t="s">
        <v>959</v>
      </c>
      <c r="J104" s="714" t="s">
        <v>960</v>
      </c>
      <c r="K104" s="714" t="s">
        <v>961</v>
      </c>
      <c r="L104" s="716">
        <v>78.289999999999964</v>
      </c>
      <c r="M104" s="716">
        <v>1</v>
      </c>
      <c r="N104" s="717">
        <v>78.289999999999964</v>
      </c>
    </row>
    <row r="105" spans="1:14" ht="14.4" customHeight="1" x14ac:dyDescent="0.3">
      <c r="A105" s="712" t="s">
        <v>591</v>
      </c>
      <c r="B105" s="713" t="s">
        <v>592</v>
      </c>
      <c r="C105" s="714" t="s">
        <v>596</v>
      </c>
      <c r="D105" s="715" t="s">
        <v>1361</v>
      </c>
      <c r="E105" s="714" t="s">
        <v>607</v>
      </c>
      <c r="F105" s="715" t="s">
        <v>1364</v>
      </c>
      <c r="G105" s="714" t="s">
        <v>912</v>
      </c>
      <c r="H105" s="714" t="s">
        <v>962</v>
      </c>
      <c r="I105" s="714" t="s">
        <v>963</v>
      </c>
      <c r="J105" s="714" t="s">
        <v>964</v>
      </c>
      <c r="K105" s="714" t="s">
        <v>965</v>
      </c>
      <c r="L105" s="716">
        <v>325.15999999999997</v>
      </c>
      <c r="M105" s="716">
        <v>29</v>
      </c>
      <c r="N105" s="717">
        <v>9429.64</v>
      </c>
    </row>
    <row r="106" spans="1:14" ht="14.4" customHeight="1" x14ac:dyDescent="0.3">
      <c r="A106" s="712" t="s">
        <v>591</v>
      </c>
      <c r="B106" s="713" t="s">
        <v>592</v>
      </c>
      <c r="C106" s="714" t="s">
        <v>596</v>
      </c>
      <c r="D106" s="715" t="s">
        <v>1361</v>
      </c>
      <c r="E106" s="714" t="s">
        <v>607</v>
      </c>
      <c r="F106" s="715" t="s">
        <v>1364</v>
      </c>
      <c r="G106" s="714" t="s">
        <v>912</v>
      </c>
      <c r="H106" s="714" t="s">
        <v>966</v>
      </c>
      <c r="I106" s="714" t="s">
        <v>967</v>
      </c>
      <c r="J106" s="714" t="s">
        <v>968</v>
      </c>
      <c r="K106" s="714" t="s">
        <v>969</v>
      </c>
      <c r="L106" s="716">
        <v>66.730000000000018</v>
      </c>
      <c r="M106" s="716">
        <v>1</v>
      </c>
      <c r="N106" s="717">
        <v>66.730000000000018</v>
      </c>
    </row>
    <row r="107" spans="1:14" ht="14.4" customHeight="1" x14ac:dyDescent="0.3">
      <c r="A107" s="712" t="s">
        <v>591</v>
      </c>
      <c r="B107" s="713" t="s">
        <v>592</v>
      </c>
      <c r="C107" s="714" t="s">
        <v>596</v>
      </c>
      <c r="D107" s="715" t="s">
        <v>1361</v>
      </c>
      <c r="E107" s="714" t="s">
        <v>607</v>
      </c>
      <c r="F107" s="715" t="s">
        <v>1364</v>
      </c>
      <c r="G107" s="714" t="s">
        <v>912</v>
      </c>
      <c r="H107" s="714" t="s">
        <v>970</v>
      </c>
      <c r="I107" s="714" t="s">
        <v>970</v>
      </c>
      <c r="J107" s="714" t="s">
        <v>971</v>
      </c>
      <c r="K107" s="714" t="s">
        <v>972</v>
      </c>
      <c r="L107" s="716">
        <v>167.56</v>
      </c>
      <c r="M107" s="716">
        <v>2</v>
      </c>
      <c r="N107" s="717">
        <v>335.12</v>
      </c>
    </row>
    <row r="108" spans="1:14" ht="14.4" customHeight="1" x14ac:dyDescent="0.3">
      <c r="A108" s="712" t="s">
        <v>591</v>
      </c>
      <c r="B108" s="713" t="s">
        <v>592</v>
      </c>
      <c r="C108" s="714" t="s">
        <v>596</v>
      </c>
      <c r="D108" s="715" t="s">
        <v>1361</v>
      </c>
      <c r="E108" s="714" t="s">
        <v>607</v>
      </c>
      <c r="F108" s="715" t="s">
        <v>1364</v>
      </c>
      <c r="G108" s="714" t="s">
        <v>912</v>
      </c>
      <c r="H108" s="714" t="s">
        <v>973</v>
      </c>
      <c r="I108" s="714" t="s">
        <v>973</v>
      </c>
      <c r="J108" s="714" t="s">
        <v>974</v>
      </c>
      <c r="K108" s="714" t="s">
        <v>975</v>
      </c>
      <c r="L108" s="716">
        <v>3300</v>
      </c>
      <c r="M108" s="716">
        <v>4</v>
      </c>
      <c r="N108" s="717">
        <v>13200</v>
      </c>
    </row>
    <row r="109" spans="1:14" ht="14.4" customHeight="1" x14ac:dyDescent="0.3">
      <c r="A109" s="712" t="s">
        <v>591</v>
      </c>
      <c r="B109" s="713" t="s">
        <v>592</v>
      </c>
      <c r="C109" s="714" t="s">
        <v>596</v>
      </c>
      <c r="D109" s="715" t="s">
        <v>1361</v>
      </c>
      <c r="E109" s="714" t="s">
        <v>607</v>
      </c>
      <c r="F109" s="715" t="s">
        <v>1364</v>
      </c>
      <c r="G109" s="714" t="s">
        <v>912</v>
      </c>
      <c r="H109" s="714" t="s">
        <v>976</v>
      </c>
      <c r="I109" s="714" t="s">
        <v>976</v>
      </c>
      <c r="J109" s="714" t="s">
        <v>977</v>
      </c>
      <c r="K109" s="714" t="s">
        <v>978</v>
      </c>
      <c r="L109" s="716">
        <v>408.95000000000005</v>
      </c>
      <c r="M109" s="716">
        <v>13</v>
      </c>
      <c r="N109" s="717">
        <v>5316.35</v>
      </c>
    </row>
    <row r="110" spans="1:14" ht="14.4" customHeight="1" x14ac:dyDescent="0.3">
      <c r="A110" s="712" t="s">
        <v>591</v>
      </c>
      <c r="B110" s="713" t="s">
        <v>592</v>
      </c>
      <c r="C110" s="714" t="s">
        <v>596</v>
      </c>
      <c r="D110" s="715" t="s">
        <v>1361</v>
      </c>
      <c r="E110" s="714" t="s">
        <v>607</v>
      </c>
      <c r="F110" s="715" t="s">
        <v>1364</v>
      </c>
      <c r="G110" s="714" t="s">
        <v>912</v>
      </c>
      <c r="H110" s="714" t="s">
        <v>979</v>
      </c>
      <c r="I110" s="714" t="s">
        <v>979</v>
      </c>
      <c r="J110" s="714" t="s">
        <v>980</v>
      </c>
      <c r="K110" s="714" t="s">
        <v>981</v>
      </c>
      <c r="L110" s="716">
        <v>67.894999999999996</v>
      </c>
      <c r="M110" s="716">
        <v>12</v>
      </c>
      <c r="N110" s="717">
        <v>814.74</v>
      </c>
    </row>
    <row r="111" spans="1:14" ht="14.4" customHeight="1" x14ac:dyDescent="0.3">
      <c r="A111" s="712" t="s">
        <v>591</v>
      </c>
      <c r="B111" s="713" t="s">
        <v>592</v>
      </c>
      <c r="C111" s="714" t="s">
        <v>596</v>
      </c>
      <c r="D111" s="715" t="s">
        <v>1361</v>
      </c>
      <c r="E111" s="714" t="s">
        <v>607</v>
      </c>
      <c r="F111" s="715" t="s">
        <v>1364</v>
      </c>
      <c r="G111" s="714" t="s">
        <v>912</v>
      </c>
      <c r="H111" s="714" t="s">
        <v>982</v>
      </c>
      <c r="I111" s="714" t="s">
        <v>982</v>
      </c>
      <c r="J111" s="714" t="s">
        <v>977</v>
      </c>
      <c r="K111" s="714" t="s">
        <v>983</v>
      </c>
      <c r="L111" s="716">
        <v>630.65901848980025</v>
      </c>
      <c r="M111" s="716">
        <v>8</v>
      </c>
      <c r="N111" s="717">
        <v>5045.272147918402</v>
      </c>
    </row>
    <row r="112" spans="1:14" ht="14.4" customHeight="1" x14ac:dyDescent="0.3">
      <c r="A112" s="712" t="s">
        <v>591</v>
      </c>
      <c r="B112" s="713" t="s">
        <v>592</v>
      </c>
      <c r="C112" s="714" t="s">
        <v>596</v>
      </c>
      <c r="D112" s="715" t="s">
        <v>1361</v>
      </c>
      <c r="E112" s="714" t="s">
        <v>607</v>
      </c>
      <c r="F112" s="715" t="s">
        <v>1364</v>
      </c>
      <c r="G112" s="714" t="s">
        <v>912</v>
      </c>
      <c r="H112" s="714" t="s">
        <v>984</v>
      </c>
      <c r="I112" s="714" t="s">
        <v>985</v>
      </c>
      <c r="J112" s="714" t="s">
        <v>986</v>
      </c>
      <c r="K112" s="714" t="s">
        <v>987</v>
      </c>
      <c r="L112" s="716">
        <v>63.401620141643761</v>
      </c>
      <c r="M112" s="716">
        <v>1</v>
      </c>
      <c r="N112" s="717">
        <v>63.401620141643761</v>
      </c>
    </row>
    <row r="113" spans="1:14" ht="14.4" customHeight="1" x14ac:dyDescent="0.3">
      <c r="A113" s="712" t="s">
        <v>591</v>
      </c>
      <c r="B113" s="713" t="s">
        <v>592</v>
      </c>
      <c r="C113" s="714" t="s">
        <v>596</v>
      </c>
      <c r="D113" s="715" t="s">
        <v>1361</v>
      </c>
      <c r="E113" s="714" t="s">
        <v>607</v>
      </c>
      <c r="F113" s="715" t="s">
        <v>1364</v>
      </c>
      <c r="G113" s="714" t="s">
        <v>912</v>
      </c>
      <c r="H113" s="714" t="s">
        <v>988</v>
      </c>
      <c r="I113" s="714" t="s">
        <v>989</v>
      </c>
      <c r="J113" s="714" t="s">
        <v>990</v>
      </c>
      <c r="K113" s="714"/>
      <c r="L113" s="716">
        <v>36.25</v>
      </c>
      <c r="M113" s="716">
        <v>3</v>
      </c>
      <c r="N113" s="717">
        <v>108.75</v>
      </c>
    </row>
    <row r="114" spans="1:14" ht="14.4" customHeight="1" x14ac:dyDescent="0.3">
      <c r="A114" s="712" t="s">
        <v>591</v>
      </c>
      <c r="B114" s="713" t="s">
        <v>592</v>
      </c>
      <c r="C114" s="714" t="s">
        <v>596</v>
      </c>
      <c r="D114" s="715" t="s">
        <v>1361</v>
      </c>
      <c r="E114" s="714" t="s">
        <v>607</v>
      </c>
      <c r="F114" s="715" t="s">
        <v>1364</v>
      </c>
      <c r="G114" s="714" t="s">
        <v>912</v>
      </c>
      <c r="H114" s="714" t="s">
        <v>991</v>
      </c>
      <c r="I114" s="714" t="s">
        <v>991</v>
      </c>
      <c r="J114" s="714" t="s">
        <v>992</v>
      </c>
      <c r="K114" s="714" t="s">
        <v>993</v>
      </c>
      <c r="L114" s="716">
        <v>24.930000000000007</v>
      </c>
      <c r="M114" s="716">
        <v>1</v>
      </c>
      <c r="N114" s="717">
        <v>24.930000000000007</v>
      </c>
    </row>
    <row r="115" spans="1:14" ht="14.4" customHeight="1" x14ac:dyDescent="0.3">
      <c r="A115" s="712" t="s">
        <v>591</v>
      </c>
      <c r="B115" s="713" t="s">
        <v>592</v>
      </c>
      <c r="C115" s="714" t="s">
        <v>596</v>
      </c>
      <c r="D115" s="715" t="s">
        <v>1361</v>
      </c>
      <c r="E115" s="714" t="s">
        <v>994</v>
      </c>
      <c r="F115" s="715" t="s">
        <v>1365</v>
      </c>
      <c r="G115" s="714" t="s">
        <v>627</v>
      </c>
      <c r="H115" s="714" t="s">
        <v>995</v>
      </c>
      <c r="I115" s="714" t="s">
        <v>996</v>
      </c>
      <c r="J115" s="714" t="s">
        <v>997</v>
      </c>
      <c r="K115" s="714" t="s">
        <v>998</v>
      </c>
      <c r="L115" s="716">
        <v>51.04000000000002</v>
      </c>
      <c r="M115" s="716">
        <v>4</v>
      </c>
      <c r="N115" s="717">
        <v>204.16000000000008</v>
      </c>
    </row>
    <row r="116" spans="1:14" ht="14.4" customHeight="1" x14ac:dyDescent="0.3">
      <c r="A116" s="712" t="s">
        <v>591</v>
      </c>
      <c r="B116" s="713" t="s">
        <v>592</v>
      </c>
      <c r="C116" s="714" t="s">
        <v>596</v>
      </c>
      <c r="D116" s="715" t="s">
        <v>1361</v>
      </c>
      <c r="E116" s="714" t="s">
        <v>994</v>
      </c>
      <c r="F116" s="715" t="s">
        <v>1365</v>
      </c>
      <c r="G116" s="714" t="s">
        <v>627</v>
      </c>
      <c r="H116" s="714" t="s">
        <v>999</v>
      </c>
      <c r="I116" s="714" t="s">
        <v>1000</v>
      </c>
      <c r="J116" s="714" t="s">
        <v>1001</v>
      </c>
      <c r="K116" s="714" t="s">
        <v>1002</v>
      </c>
      <c r="L116" s="716">
        <v>67.739999999999981</v>
      </c>
      <c r="M116" s="716">
        <v>4</v>
      </c>
      <c r="N116" s="717">
        <v>270.95999999999992</v>
      </c>
    </row>
    <row r="117" spans="1:14" ht="14.4" customHeight="1" x14ac:dyDescent="0.3">
      <c r="A117" s="712" t="s">
        <v>591</v>
      </c>
      <c r="B117" s="713" t="s">
        <v>592</v>
      </c>
      <c r="C117" s="714" t="s">
        <v>596</v>
      </c>
      <c r="D117" s="715" t="s">
        <v>1361</v>
      </c>
      <c r="E117" s="714" t="s">
        <v>994</v>
      </c>
      <c r="F117" s="715" t="s">
        <v>1365</v>
      </c>
      <c r="G117" s="714" t="s">
        <v>627</v>
      </c>
      <c r="H117" s="714" t="s">
        <v>1003</v>
      </c>
      <c r="I117" s="714" t="s">
        <v>1004</v>
      </c>
      <c r="J117" s="714" t="s">
        <v>1005</v>
      </c>
      <c r="K117" s="714" t="s">
        <v>1006</v>
      </c>
      <c r="L117" s="716">
        <v>25.630000000000003</v>
      </c>
      <c r="M117" s="716">
        <v>2</v>
      </c>
      <c r="N117" s="717">
        <v>51.260000000000005</v>
      </c>
    </row>
    <row r="118" spans="1:14" ht="14.4" customHeight="1" x14ac:dyDescent="0.3">
      <c r="A118" s="712" t="s">
        <v>591</v>
      </c>
      <c r="B118" s="713" t="s">
        <v>592</v>
      </c>
      <c r="C118" s="714" t="s">
        <v>596</v>
      </c>
      <c r="D118" s="715" t="s">
        <v>1361</v>
      </c>
      <c r="E118" s="714" t="s">
        <v>994</v>
      </c>
      <c r="F118" s="715" t="s">
        <v>1365</v>
      </c>
      <c r="G118" s="714" t="s">
        <v>627</v>
      </c>
      <c r="H118" s="714" t="s">
        <v>1007</v>
      </c>
      <c r="I118" s="714" t="s">
        <v>1008</v>
      </c>
      <c r="J118" s="714" t="s">
        <v>1009</v>
      </c>
      <c r="K118" s="714" t="s">
        <v>1010</v>
      </c>
      <c r="L118" s="716">
        <v>1739.0999999999997</v>
      </c>
      <c r="M118" s="716">
        <v>1.4</v>
      </c>
      <c r="N118" s="717">
        <v>2434.7399999999993</v>
      </c>
    </row>
    <row r="119" spans="1:14" ht="14.4" customHeight="1" x14ac:dyDescent="0.3">
      <c r="A119" s="712" t="s">
        <v>591</v>
      </c>
      <c r="B119" s="713" t="s">
        <v>592</v>
      </c>
      <c r="C119" s="714" t="s">
        <v>596</v>
      </c>
      <c r="D119" s="715" t="s">
        <v>1361</v>
      </c>
      <c r="E119" s="714" t="s">
        <v>994</v>
      </c>
      <c r="F119" s="715" t="s">
        <v>1365</v>
      </c>
      <c r="G119" s="714" t="s">
        <v>627</v>
      </c>
      <c r="H119" s="714" t="s">
        <v>1011</v>
      </c>
      <c r="I119" s="714" t="s">
        <v>1012</v>
      </c>
      <c r="J119" s="714" t="s">
        <v>1013</v>
      </c>
      <c r="K119" s="714" t="s">
        <v>1014</v>
      </c>
      <c r="L119" s="716">
        <v>31.889965861404526</v>
      </c>
      <c r="M119" s="716">
        <v>4</v>
      </c>
      <c r="N119" s="717">
        <v>127.55986344561811</v>
      </c>
    </row>
    <row r="120" spans="1:14" ht="14.4" customHeight="1" x14ac:dyDescent="0.3">
      <c r="A120" s="712" t="s">
        <v>591</v>
      </c>
      <c r="B120" s="713" t="s">
        <v>592</v>
      </c>
      <c r="C120" s="714" t="s">
        <v>596</v>
      </c>
      <c r="D120" s="715" t="s">
        <v>1361</v>
      </c>
      <c r="E120" s="714" t="s">
        <v>994</v>
      </c>
      <c r="F120" s="715" t="s">
        <v>1365</v>
      </c>
      <c r="G120" s="714" t="s">
        <v>627</v>
      </c>
      <c r="H120" s="714" t="s">
        <v>1015</v>
      </c>
      <c r="I120" s="714" t="s">
        <v>1016</v>
      </c>
      <c r="J120" s="714" t="s">
        <v>1017</v>
      </c>
      <c r="K120" s="714" t="s">
        <v>1018</v>
      </c>
      <c r="L120" s="716">
        <v>23.560050439798058</v>
      </c>
      <c r="M120" s="716">
        <v>172</v>
      </c>
      <c r="N120" s="717">
        <v>4052.3286756452662</v>
      </c>
    </row>
    <row r="121" spans="1:14" ht="14.4" customHeight="1" x14ac:dyDescent="0.3">
      <c r="A121" s="712" t="s">
        <v>591</v>
      </c>
      <c r="B121" s="713" t="s">
        <v>592</v>
      </c>
      <c r="C121" s="714" t="s">
        <v>596</v>
      </c>
      <c r="D121" s="715" t="s">
        <v>1361</v>
      </c>
      <c r="E121" s="714" t="s">
        <v>994</v>
      </c>
      <c r="F121" s="715" t="s">
        <v>1365</v>
      </c>
      <c r="G121" s="714" t="s">
        <v>627</v>
      </c>
      <c r="H121" s="714" t="s">
        <v>1019</v>
      </c>
      <c r="I121" s="714" t="s">
        <v>1020</v>
      </c>
      <c r="J121" s="714" t="s">
        <v>1017</v>
      </c>
      <c r="K121" s="714" t="s">
        <v>1021</v>
      </c>
      <c r="L121" s="716">
        <v>163.53923076923076</v>
      </c>
      <c r="M121" s="716">
        <v>13</v>
      </c>
      <c r="N121" s="717">
        <v>2126.0099999999998</v>
      </c>
    </row>
    <row r="122" spans="1:14" ht="14.4" customHeight="1" x14ac:dyDescent="0.3">
      <c r="A122" s="712" t="s">
        <v>591</v>
      </c>
      <c r="B122" s="713" t="s">
        <v>592</v>
      </c>
      <c r="C122" s="714" t="s">
        <v>596</v>
      </c>
      <c r="D122" s="715" t="s">
        <v>1361</v>
      </c>
      <c r="E122" s="714" t="s">
        <v>994</v>
      </c>
      <c r="F122" s="715" t="s">
        <v>1365</v>
      </c>
      <c r="G122" s="714" t="s">
        <v>627</v>
      </c>
      <c r="H122" s="714" t="s">
        <v>1022</v>
      </c>
      <c r="I122" s="714" t="s">
        <v>1023</v>
      </c>
      <c r="J122" s="714" t="s">
        <v>1024</v>
      </c>
      <c r="K122" s="714" t="s">
        <v>1025</v>
      </c>
      <c r="L122" s="716">
        <v>126.95</v>
      </c>
      <c r="M122" s="716">
        <v>3</v>
      </c>
      <c r="N122" s="717">
        <v>380.85</v>
      </c>
    </row>
    <row r="123" spans="1:14" ht="14.4" customHeight="1" x14ac:dyDescent="0.3">
      <c r="A123" s="712" t="s">
        <v>591</v>
      </c>
      <c r="B123" s="713" t="s">
        <v>592</v>
      </c>
      <c r="C123" s="714" t="s">
        <v>596</v>
      </c>
      <c r="D123" s="715" t="s">
        <v>1361</v>
      </c>
      <c r="E123" s="714" t="s">
        <v>994</v>
      </c>
      <c r="F123" s="715" t="s">
        <v>1365</v>
      </c>
      <c r="G123" s="714" t="s">
        <v>627</v>
      </c>
      <c r="H123" s="714" t="s">
        <v>1026</v>
      </c>
      <c r="I123" s="714" t="s">
        <v>1027</v>
      </c>
      <c r="J123" s="714" t="s">
        <v>1028</v>
      </c>
      <c r="K123" s="714" t="s">
        <v>1029</v>
      </c>
      <c r="L123" s="716">
        <v>52.67</v>
      </c>
      <c r="M123" s="716">
        <v>2</v>
      </c>
      <c r="N123" s="717">
        <v>105.34</v>
      </c>
    </row>
    <row r="124" spans="1:14" ht="14.4" customHeight="1" x14ac:dyDescent="0.3">
      <c r="A124" s="712" t="s">
        <v>591</v>
      </c>
      <c r="B124" s="713" t="s">
        <v>592</v>
      </c>
      <c r="C124" s="714" t="s">
        <v>596</v>
      </c>
      <c r="D124" s="715" t="s">
        <v>1361</v>
      </c>
      <c r="E124" s="714" t="s">
        <v>994</v>
      </c>
      <c r="F124" s="715" t="s">
        <v>1365</v>
      </c>
      <c r="G124" s="714" t="s">
        <v>627</v>
      </c>
      <c r="H124" s="714" t="s">
        <v>1030</v>
      </c>
      <c r="I124" s="714" t="s">
        <v>1031</v>
      </c>
      <c r="J124" s="714" t="s">
        <v>1032</v>
      </c>
      <c r="K124" s="714" t="s">
        <v>1033</v>
      </c>
      <c r="L124" s="716">
        <v>181.5</v>
      </c>
      <c r="M124" s="716">
        <v>12</v>
      </c>
      <c r="N124" s="717">
        <v>2178</v>
      </c>
    </row>
    <row r="125" spans="1:14" ht="14.4" customHeight="1" x14ac:dyDescent="0.3">
      <c r="A125" s="712" t="s">
        <v>591</v>
      </c>
      <c r="B125" s="713" t="s">
        <v>592</v>
      </c>
      <c r="C125" s="714" t="s">
        <v>596</v>
      </c>
      <c r="D125" s="715" t="s">
        <v>1361</v>
      </c>
      <c r="E125" s="714" t="s">
        <v>994</v>
      </c>
      <c r="F125" s="715" t="s">
        <v>1365</v>
      </c>
      <c r="G125" s="714" t="s">
        <v>627</v>
      </c>
      <c r="H125" s="714" t="s">
        <v>1034</v>
      </c>
      <c r="I125" s="714" t="s">
        <v>1034</v>
      </c>
      <c r="J125" s="714" t="s">
        <v>1035</v>
      </c>
      <c r="K125" s="714" t="s">
        <v>1036</v>
      </c>
      <c r="L125" s="716">
        <v>517</v>
      </c>
      <c r="M125" s="716">
        <v>1.7999999999999998</v>
      </c>
      <c r="N125" s="717">
        <v>930.59999999999991</v>
      </c>
    </row>
    <row r="126" spans="1:14" ht="14.4" customHeight="1" x14ac:dyDescent="0.3">
      <c r="A126" s="712" t="s">
        <v>591</v>
      </c>
      <c r="B126" s="713" t="s">
        <v>592</v>
      </c>
      <c r="C126" s="714" t="s">
        <v>596</v>
      </c>
      <c r="D126" s="715" t="s">
        <v>1361</v>
      </c>
      <c r="E126" s="714" t="s">
        <v>994</v>
      </c>
      <c r="F126" s="715" t="s">
        <v>1365</v>
      </c>
      <c r="G126" s="714" t="s">
        <v>627</v>
      </c>
      <c r="H126" s="714" t="s">
        <v>1037</v>
      </c>
      <c r="I126" s="714" t="s">
        <v>1038</v>
      </c>
      <c r="J126" s="714" t="s">
        <v>1039</v>
      </c>
      <c r="K126" s="714" t="s">
        <v>1040</v>
      </c>
      <c r="L126" s="716">
        <v>122.00999999999998</v>
      </c>
      <c r="M126" s="716">
        <v>1</v>
      </c>
      <c r="N126" s="717">
        <v>122.00999999999998</v>
      </c>
    </row>
    <row r="127" spans="1:14" ht="14.4" customHeight="1" x14ac:dyDescent="0.3">
      <c r="A127" s="712" t="s">
        <v>591</v>
      </c>
      <c r="B127" s="713" t="s">
        <v>592</v>
      </c>
      <c r="C127" s="714" t="s">
        <v>596</v>
      </c>
      <c r="D127" s="715" t="s">
        <v>1361</v>
      </c>
      <c r="E127" s="714" t="s">
        <v>994</v>
      </c>
      <c r="F127" s="715" t="s">
        <v>1365</v>
      </c>
      <c r="G127" s="714" t="s">
        <v>627</v>
      </c>
      <c r="H127" s="714" t="s">
        <v>1041</v>
      </c>
      <c r="I127" s="714" t="s">
        <v>1042</v>
      </c>
      <c r="J127" s="714" t="s">
        <v>1043</v>
      </c>
      <c r="K127" s="714" t="s">
        <v>998</v>
      </c>
      <c r="L127" s="716">
        <v>51.739999999999988</v>
      </c>
      <c r="M127" s="716">
        <v>1</v>
      </c>
      <c r="N127" s="717">
        <v>51.739999999999988</v>
      </c>
    </row>
    <row r="128" spans="1:14" ht="14.4" customHeight="1" x14ac:dyDescent="0.3">
      <c r="A128" s="712" t="s">
        <v>591</v>
      </c>
      <c r="B128" s="713" t="s">
        <v>592</v>
      </c>
      <c r="C128" s="714" t="s">
        <v>596</v>
      </c>
      <c r="D128" s="715" t="s">
        <v>1361</v>
      </c>
      <c r="E128" s="714" t="s">
        <v>994</v>
      </c>
      <c r="F128" s="715" t="s">
        <v>1365</v>
      </c>
      <c r="G128" s="714" t="s">
        <v>627</v>
      </c>
      <c r="H128" s="714" t="s">
        <v>1044</v>
      </c>
      <c r="I128" s="714" t="s">
        <v>1044</v>
      </c>
      <c r="J128" s="714" t="s">
        <v>1045</v>
      </c>
      <c r="K128" s="714" t="s">
        <v>1046</v>
      </c>
      <c r="L128" s="716">
        <v>462</v>
      </c>
      <c r="M128" s="716">
        <v>4.9000000000000004</v>
      </c>
      <c r="N128" s="717">
        <v>2263.8000000000002</v>
      </c>
    </row>
    <row r="129" spans="1:14" ht="14.4" customHeight="1" x14ac:dyDescent="0.3">
      <c r="A129" s="712" t="s">
        <v>591</v>
      </c>
      <c r="B129" s="713" t="s">
        <v>592</v>
      </c>
      <c r="C129" s="714" t="s">
        <v>596</v>
      </c>
      <c r="D129" s="715" t="s">
        <v>1361</v>
      </c>
      <c r="E129" s="714" t="s">
        <v>994</v>
      </c>
      <c r="F129" s="715" t="s">
        <v>1365</v>
      </c>
      <c r="G129" s="714" t="s">
        <v>627</v>
      </c>
      <c r="H129" s="714" t="s">
        <v>1047</v>
      </c>
      <c r="I129" s="714" t="s">
        <v>1047</v>
      </c>
      <c r="J129" s="714" t="s">
        <v>1048</v>
      </c>
      <c r="K129" s="714" t="s">
        <v>1049</v>
      </c>
      <c r="L129" s="716">
        <v>155.76486314831726</v>
      </c>
      <c r="M129" s="716">
        <v>29.700000000000049</v>
      </c>
      <c r="N129" s="717">
        <v>4626.2164355050299</v>
      </c>
    </row>
    <row r="130" spans="1:14" ht="14.4" customHeight="1" x14ac:dyDescent="0.3">
      <c r="A130" s="712" t="s">
        <v>591</v>
      </c>
      <c r="B130" s="713" t="s">
        <v>592</v>
      </c>
      <c r="C130" s="714" t="s">
        <v>596</v>
      </c>
      <c r="D130" s="715" t="s">
        <v>1361</v>
      </c>
      <c r="E130" s="714" t="s">
        <v>994</v>
      </c>
      <c r="F130" s="715" t="s">
        <v>1365</v>
      </c>
      <c r="G130" s="714" t="s">
        <v>627</v>
      </c>
      <c r="H130" s="714" t="s">
        <v>1050</v>
      </c>
      <c r="I130" s="714" t="s">
        <v>1050</v>
      </c>
      <c r="J130" s="714" t="s">
        <v>1051</v>
      </c>
      <c r="K130" s="714" t="s">
        <v>1052</v>
      </c>
      <c r="L130" s="716">
        <v>217.80000000000004</v>
      </c>
      <c r="M130" s="716">
        <v>1.5</v>
      </c>
      <c r="N130" s="717">
        <v>326.70000000000005</v>
      </c>
    </row>
    <row r="131" spans="1:14" ht="14.4" customHeight="1" x14ac:dyDescent="0.3">
      <c r="A131" s="712" t="s">
        <v>591</v>
      </c>
      <c r="B131" s="713" t="s">
        <v>592</v>
      </c>
      <c r="C131" s="714" t="s">
        <v>596</v>
      </c>
      <c r="D131" s="715" t="s">
        <v>1361</v>
      </c>
      <c r="E131" s="714" t="s">
        <v>994</v>
      </c>
      <c r="F131" s="715" t="s">
        <v>1365</v>
      </c>
      <c r="G131" s="714" t="s">
        <v>627</v>
      </c>
      <c r="H131" s="714" t="s">
        <v>1053</v>
      </c>
      <c r="I131" s="714" t="s">
        <v>1053</v>
      </c>
      <c r="J131" s="714" t="s">
        <v>1054</v>
      </c>
      <c r="K131" s="714" t="s">
        <v>1055</v>
      </c>
      <c r="L131" s="716">
        <v>286</v>
      </c>
      <c r="M131" s="716">
        <v>1.2</v>
      </c>
      <c r="N131" s="717">
        <v>343.2</v>
      </c>
    </row>
    <row r="132" spans="1:14" ht="14.4" customHeight="1" x14ac:dyDescent="0.3">
      <c r="A132" s="712" t="s">
        <v>591</v>
      </c>
      <c r="B132" s="713" t="s">
        <v>592</v>
      </c>
      <c r="C132" s="714" t="s">
        <v>596</v>
      </c>
      <c r="D132" s="715" t="s">
        <v>1361</v>
      </c>
      <c r="E132" s="714" t="s">
        <v>994</v>
      </c>
      <c r="F132" s="715" t="s">
        <v>1365</v>
      </c>
      <c r="G132" s="714" t="s">
        <v>627</v>
      </c>
      <c r="H132" s="714" t="s">
        <v>1056</v>
      </c>
      <c r="I132" s="714" t="s">
        <v>1057</v>
      </c>
      <c r="J132" s="714" t="s">
        <v>1058</v>
      </c>
      <c r="K132" s="714" t="s">
        <v>1059</v>
      </c>
      <c r="L132" s="716">
        <v>264</v>
      </c>
      <c r="M132" s="716">
        <v>7.1</v>
      </c>
      <c r="N132" s="717">
        <v>1874.4</v>
      </c>
    </row>
    <row r="133" spans="1:14" ht="14.4" customHeight="1" x14ac:dyDescent="0.3">
      <c r="A133" s="712" t="s">
        <v>591</v>
      </c>
      <c r="B133" s="713" t="s">
        <v>592</v>
      </c>
      <c r="C133" s="714" t="s">
        <v>596</v>
      </c>
      <c r="D133" s="715" t="s">
        <v>1361</v>
      </c>
      <c r="E133" s="714" t="s">
        <v>994</v>
      </c>
      <c r="F133" s="715" t="s">
        <v>1365</v>
      </c>
      <c r="G133" s="714" t="s">
        <v>627</v>
      </c>
      <c r="H133" s="714" t="s">
        <v>1060</v>
      </c>
      <c r="I133" s="714" t="s">
        <v>1061</v>
      </c>
      <c r="J133" s="714" t="s">
        <v>1062</v>
      </c>
      <c r="K133" s="714" t="s">
        <v>1025</v>
      </c>
      <c r="L133" s="716">
        <v>58.72</v>
      </c>
      <c r="M133" s="716">
        <v>3</v>
      </c>
      <c r="N133" s="717">
        <v>176.16</v>
      </c>
    </row>
    <row r="134" spans="1:14" ht="14.4" customHeight="1" x14ac:dyDescent="0.3">
      <c r="A134" s="712" t="s">
        <v>591</v>
      </c>
      <c r="B134" s="713" t="s">
        <v>592</v>
      </c>
      <c r="C134" s="714" t="s">
        <v>596</v>
      </c>
      <c r="D134" s="715" t="s">
        <v>1361</v>
      </c>
      <c r="E134" s="714" t="s">
        <v>994</v>
      </c>
      <c r="F134" s="715" t="s">
        <v>1365</v>
      </c>
      <c r="G134" s="714" t="s">
        <v>912</v>
      </c>
      <c r="H134" s="714" t="s">
        <v>1063</v>
      </c>
      <c r="I134" s="714" t="s">
        <v>1064</v>
      </c>
      <c r="J134" s="714" t="s">
        <v>1065</v>
      </c>
      <c r="K134" s="714" t="s">
        <v>1066</v>
      </c>
      <c r="L134" s="716">
        <v>114.93000000000002</v>
      </c>
      <c r="M134" s="716">
        <v>4</v>
      </c>
      <c r="N134" s="717">
        <v>459.72000000000008</v>
      </c>
    </row>
    <row r="135" spans="1:14" ht="14.4" customHeight="1" x14ac:dyDescent="0.3">
      <c r="A135" s="712" t="s">
        <v>591</v>
      </c>
      <c r="B135" s="713" t="s">
        <v>592</v>
      </c>
      <c r="C135" s="714" t="s">
        <v>596</v>
      </c>
      <c r="D135" s="715" t="s">
        <v>1361</v>
      </c>
      <c r="E135" s="714" t="s">
        <v>994</v>
      </c>
      <c r="F135" s="715" t="s">
        <v>1365</v>
      </c>
      <c r="G135" s="714" t="s">
        <v>912</v>
      </c>
      <c r="H135" s="714" t="s">
        <v>1067</v>
      </c>
      <c r="I135" s="714" t="s">
        <v>1068</v>
      </c>
      <c r="J135" s="714" t="s">
        <v>1069</v>
      </c>
      <c r="K135" s="714" t="s">
        <v>1070</v>
      </c>
      <c r="L135" s="716">
        <v>111.31999999999998</v>
      </c>
      <c r="M135" s="716">
        <v>1</v>
      </c>
      <c r="N135" s="717">
        <v>111.31999999999998</v>
      </c>
    </row>
    <row r="136" spans="1:14" ht="14.4" customHeight="1" x14ac:dyDescent="0.3">
      <c r="A136" s="712" t="s">
        <v>591</v>
      </c>
      <c r="B136" s="713" t="s">
        <v>592</v>
      </c>
      <c r="C136" s="714" t="s">
        <v>596</v>
      </c>
      <c r="D136" s="715" t="s">
        <v>1361</v>
      </c>
      <c r="E136" s="714" t="s">
        <v>994</v>
      </c>
      <c r="F136" s="715" t="s">
        <v>1365</v>
      </c>
      <c r="G136" s="714" t="s">
        <v>912</v>
      </c>
      <c r="H136" s="714" t="s">
        <v>1071</v>
      </c>
      <c r="I136" s="714" t="s">
        <v>1072</v>
      </c>
      <c r="J136" s="714" t="s">
        <v>1073</v>
      </c>
      <c r="K136" s="714" t="s">
        <v>1074</v>
      </c>
      <c r="L136" s="716">
        <v>29.37</v>
      </c>
      <c r="M136" s="716">
        <v>15</v>
      </c>
      <c r="N136" s="717">
        <v>440.55</v>
      </c>
    </row>
    <row r="137" spans="1:14" ht="14.4" customHeight="1" x14ac:dyDescent="0.3">
      <c r="A137" s="712" t="s">
        <v>591</v>
      </c>
      <c r="B137" s="713" t="s">
        <v>592</v>
      </c>
      <c r="C137" s="714" t="s">
        <v>596</v>
      </c>
      <c r="D137" s="715" t="s">
        <v>1361</v>
      </c>
      <c r="E137" s="714" t="s">
        <v>994</v>
      </c>
      <c r="F137" s="715" t="s">
        <v>1365</v>
      </c>
      <c r="G137" s="714" t="s">
        <v>912</v>
      </c>
      <c r="H137" s="714" t="s">
        <v>1075</v>
      </c>
      <c r="I137" s="714" t="s">
        <v>1076</v>
      </c>
      <c r="J137" s="714" t="s">
        <v>1077</v>
      </c>
      <c r="K137" s="714" t="s">
        <v>1078</v>
      </c>
      <c r="L137" s="716">
        <v>12412.949999999999</v>
      </c>
      <c r="M137" s="716">
        <v>1.2</v>
      </c>
      <c r="N137" s="717">
        <v>14895.539999999997</v>
      </c>
    </row>
    <row r="138" spans="1:14" ht="14.4" customHeight="1" x14ac:dyDescent="0.3">
      <c r="A138" s="712" t="s">
        <v>591</v>
      </c>
      <c r="B138" s="713" t="s">
        <v>592</v>
      </c>
      <c r="C138" s="714" t="s">
        <v>596</v>
      </c>
      <c r="D138" s="715" t="s">
        <v>1361</v>
      </c>
      <c r="E138" s="714" t="s">
        <v>1079</v>
      </c>
      <c r="F138" s="715" t="s">
        <v>1366</v>
      </c>
      <c r="G138" s="714" t="s">
        <v>912</v>
      </c>
      <c r="H138" s="714" t="s">
        <v>1080</v>
      </c>
      <c r="I138" s="714" t="s">
        <v>1080</v>
      </c>
      <c r="J138" s="714" t="s">
        <v>1081</v>
      </c>
      <c r="K138" s="714" t="s">
        <v>1082</v>
      </c>
      <c r="L138" s="716">
        <v>159.5</v>
      </c>
      <c r="M138" s="716">
        <v>0.7</v>
      </c>
      <c r="N138" s="717">
        <v>111.64999999999999</v>
      </c>
    </row>
    <row r="139" spans="1:14" ht="14.4" customHeight="1" x14ac:dyDescent="0.3">
      <c r="A139" s="712" t="s">
        <v>591</v>
      </c>
      <c r="B139" s="713" t="s">
        <v>592</v>
      </c>
      <c r="C139" s="714" t="s">
        <v>596</v>
      </c>
      <c r="D139" s="715" t="s">
        <v>1361</v>
      </c>
      <c r="E139" s="714" t="s">
        <v>1083</v>
      </c>
      <c r="F139" s="715" t="s">
        <v>1367</v>
      </c>
      <c r="G139" s="714"/>
      <c r="H139" s="714"/>
      <c r="I139" s="714" t="s">
        <v>1084</v>
      </c>
      <c r="J139" s="714" t="s">
        <v>1085</v>
      </c>
      <c r="K139" s="714"/>
      <c r="L139" s="716">
        <v>8505.39</v>
      </c>
      <c r="M139" s="716">
        <v>12</v>
      </c>
      <c r="N139" s="717">
        <v>102064.68</v>
      </c>
    </row>
    <row r="140" spans="1:14" ht="14.4" customHeight="1" x14ac:dyDescent="0.3">
      <c r="A140" s="712" t="s">
        <v>591</v>
      </c>
      <c r="B140" s="713" t="s">
        <v>592</v>
      </c>
      <c r="C140" s="714" t="s">
        <v>596</v>
      </c>
      <c r="D140" s="715" t="s">
        <v>1361</v>
      </c>
      <c r="E140" s="714" t="s">
        <v>1083</v>
      </c>
      <c r="F140" s="715" t="s">
        <v>1367</v>
      </c>
      <c r="G140" s="714"/>
      <c r="H140" s="714"/>
      <c r="I140" s="714" t="s">
        <v>1086</v>
      </c>
      <c r="J140" s="714" t="s">
        <v>1087</v>
      </c>
      <c r="K140" s="714"/>
      <c r="L140" s="716">
        <v>4252.6899999999996</v>
      </c>
      <c r="M140" s="716">
        <v>9</v>
      </c>
      <c r="N140" s="717">
        <v>38274.21</v>
      </c>
    </row>
    <row r="141" spans="1:14" ht="14.4" customHeight="1" x14ac:dyDescent="0.3">
      <c r="A141" s="712" t="s">
        <v>591</v>
      </c>
      <c r="B141" s="713" t="s">
        <v>592</v>
      </c>
      <c r="C141" s="714" t="s">
        <v>601</v>
      </c>
      <c r="D141" s="715" t="s">
        <v>1362</v>
      </c>
      <c r="E141" s="714" t="s">
        <v>607</v>
      </c>
      <c r="F141" s="715" t="s">
        <v>1364</v>
      </c>
      <c r="G141" s="714" t="s">
        <v>627</v>
      </c>
      <c r="H141" s="714" t="s">
        <v>1088</v>
      </c>
      <c r="I141" s="714" t="s">
        <v>1089</v>
      </c>
      <c r="J141" s="714" t="s">
        <v>1090</v>
      </c>
      <c r="K141" s="714" t="s">
        <v>1091</v>
      </c>
      <c r="L141" s="716">
        <v>87.200000000000017</v>
      </c>
      <c r="M141" s="716">
        <v>1</v>
      </c>
      <c r="N141" s="717">
        <v>87.200000000000017</v>
      </c>
    </row>
    <row r="142" spans="1:14" ht="14.4" customHeight="1" x14ac:dyDescent="0.3">
      <c r="A142" s="712" t="s">
        <v>591</v>
      </c>
      <c r="B142" s="713" t="s">
        <v>592</v>
      </c>
      <c r="C142" s="714" t="s">
        <v>601</v>
      </c>
      <c r="D142" s="715" t="s">
        <v>1362</v>
      </c>
      <c r="E142" s="714" t="s">
        <v>607</v>
      </c>
      <c r="F142" s="715" t="s">
        <v>1364</v>
      </c>
      <c r="G142" s="714" t="s">
        <v>627</v>
      </c>
      <c r="H142" s="714" t="s">
        <v>1092</v>
      </c>
      <c r="I142" s="714" t="s">
        <v>1093</v>
      </c>
      <c r="J142" s="714" t="s">
        <v>1094</v>
      </c>
      <c r="K142" s="714" t="s">
        <v>1095</v>
      </c>
      <c r="L142" s="716">
        <v>177.21000000000018</v>
      </c>
      <c r="M142" s="716">
        <v>6</v>
      </c>
      <c r="N142" s="717">
        <v>1063.2600000000011</v>
      </c>
    </row>
    <row r="143" spans="1:14" ht="14.4" customHeight="1" x14ac:dyDescent="0.3">
      <c r="A143" s="712" t="s">
        <v>591</v>
      </c>
      <c r="B143" s="713" t="s">
        <v>592</v>
      </c>
      <c r="C143" s="714" t="s">
        <v>601</v>
      </c>
      <c r="D143" s="715" t="s">
        <v>1362</v>
      </c>
      <c r="E143" s="714" t="s">
        <v>607</v>
      </c>
      <c r="F143" s="715" t="s">
        <v>1364</v>
      </c>
      <c r="G143" s="714" t="s">
        <v>627</v>
      </c>
      <c r="H143" s="714" t="s">
        <v>1096</v>
      </c>
      <c r="I143" s="714" t="s">
        <v>1097</v>
      </c>
      <c r="J143" s="714" t="s">
        <v>1098</v>
      </c>
      <c r="K143" s="714" t="s">
        <v>1099</v>
      </c>
      <c r="L143" s="716">
        <v>66.140000000000015</v>
      </c>
      <c r="M143" s="716">
        <v>1</v>
      </c>
      <c r="N143" s="717">
        <v>66.140000000000015</v>
      </c>
    </row>
    <row r="144" spans="1:14" ht="14.4" customHeight="1" x14ac:dyDescent="0.3">
      <c r="A144" s="712" t="s">
        <v>591</v>
      </c>
      <c r="B144" s="713" t="s">
        <v>592</v>
      </c>
      <c r="C144" s="714" t="s">
        <v>601</v>
      </c>
      <c r="D144" s="715" t="s">
        <v>1362</v>
      </c>
      <c r="E144" s="714" t="s">
        <v>607</v>
      </c>
      <c r="F144" s="715" t="s">
        <v>1364</v>
      </c>
      <c r="G144" s="714" t="s">
        <v>627</v>
      </c>
      <c r="H144" s="714" t="s">
        <v>1100</v>
      </c>
      <c r="I144" s="714" t="s">
        <v>1101</v>
      </c>
      <c r="J144" s="714" t="s">
        <v>1102</v>
      </c>
      <c r="K144" s="714" t="s">
        <v>1103</v>
      </c>
      <c r="L144" s="716">
        <v>36.93</v>
      </c>
      <c r="M144" s="716">
        <v>1</v>
      </c>
      <c r="N144" s="717">
        <v>36.93</v>
      </c>
    </row>
    <row r="145" spans="1:14" ht="14.4" customHeight="1" x14ac:dyDescent="0.3">
      <c r="A145" s="712" t="s">
        <v>591</v>
      </c>
      <c r="B145" s="713" t="s">
        <v>592</v>
      </c>
      <c r="C145" s="714" t="s">
        <v>601</v>
      </c>
      <c r="D145" s="715" t="s">
        <v>1362</v>
      </c>
      <c r="E145" s="714" t="s">
        <v>607</v>
      </c>
      <c r="F145" s="715" t="s">
        <v>1364</v>
      </c>
      <c r="G145" s="714" t="s">
        <v>627</v>
      </c>
      <c r="H145" s="714" t="s">
        <v>1104</v>
      </c>
      <c r="I145" s="714" t="s">
        <v>800</v>
      </c>
      <c r="J145" s="714" t="s">
        <v>1105</v>
      </c>
      <c r="K145" s="714"/>
      <c r="L145" s="716">
        <v>321.86115749314035</v>
      </c>
      <c r="M145" s="716">
        <v>1</v>
      </c>
      <c r="N145" s="717">
        <v>321.86115749314035</v>
      </c>
    </row>
    <row r="146" spans="1:14" ht="14.4" customHeight="1" x14ac:dyDescent="0.3">
      <c r="A146" s="712" t="s">
        <v>591</v>
      </c>
      <c r="B146" s="713" t="s">
        <v>592</v>
      </c>
      <c r="C146" s="714" t="s">
        <v>601</v>
      </c>
      <c r="D146" s="715" t="s">
        <v>1362</v>
      </c>
      <c r="E146" s="714" t="s">
        <v>607</v>
      </c>
      <c r="F146" s="715" t="s">
        <v>1364</v>
      </c>
      <c r="G146" s="714" t="s">
        <v>627</v>
      </c>
      <c r="H146" s="714" t="s">
        <v>1106</v>
      </c>
      <c r="I146" s="714" t="s">
        <v>1106</v>
      </c>
      <c r="J146" s="714" t="s">
        <v>1107</v>
      </c>
      <c r="K146" s="714" t="s">
        <v>1108</v>
      </c>
      <c r="L146" s="716">
        <v>216.07999999999993</v>
      </c>
      <c r="M146" s="716">
        <v>6</v>
      </c>
      <c r="N146" s="717">
        <v>1296.4799999999996</v>
      </c>
    </row>
    <row r="147" spans="1:14" ht="14.4" customHeight="1" x14ac:dyDescent="0.3">
      <c r="A147" s="712" t="s">
        <v>591</v>
      </c>
      <c r="B147" s="713" t="s">
        <v>592</v>
      </c>
      <c r="C147" s="714" t="s">
        <v>601</v>
      </c>
      <c r="D147" s="715" t="s">
        <v>1362</v>
      </c>
      <c r="E147" s="714" t="s">
        <v>607</v>
      </c>
      <c r="F147" s="715" t="s">
        <v>1364</v>
      </c>
      <c r="G147" s="714" t="s">
        <v>627</v>
      </c>
      <c r="H147" s="714" t="s">
        <v>1109</v>
      </c>
      <c r="I147" s="714" t="s">
        <v>1109</v>
      </c>
      <c r="J147" s="714" t="s">
        <v>1110</v>
      </c>
      <c r="K147" s="714" t="s">
        <v>1111</v>
      </c>
      <c r="L147" s="716">
        <v>482.46</v>
      </c>
      <c r="M147" s="716">
        <v>1</v>
      </c>
      <c r="N147" s="717">
        <v>482.46</v>
      </c>
    </row>
    <row r="148" spans="1:14" ht="14.4" customHeight="1" x14ac:dyDescent="0.3">
      <c r="A148" s="712" t="s">
        <v>591</v>
      </c>
      <c r="B148" s="713" t="s">
        <v>592</v>
      </c>
      <c r="C148" s="714" t="s">
        <v>604</v>
      </c>
      <c r="D148" s="715" t="s">
        <v>1363</v>
      </c>
      <c r="E148" s="714" t="s">
        <v>607</v>
      </c>
      <c r="F148" s="715" t="s">
        <v>1364</v>
      </c>
      <c r="G148" s="714"/>
      <c r="H148" s="714" t="s">
        <v>1112</v>
      </c>
      <c r="I148" s="714" t="s">
        <v>1113</v>
      </c>
      <c r="J148" s="714" t="s">
        <v>1114</v>
      </c>
      <c r="K148" s="714" t="s">
        <v>1115</v>
      </c>
      <c r="L148" s="716">
        <v>46.989999999999995</v>
      </c>
      <c r="M148" s="716">
        <v>1</v>
      </c>
      <c r="N148" s="717">
        <v>46.989999999999995</v>
      </c>
    </row>
    <row r="149" spans="1:14" ht="14.4" customHeight="1" x14ac:dyDescent="0.3">
      <c r="A149" s="712" t="s">
        <v>591</v>
      </c>
      <c r="B149" s="713" t="s">
        <v>592</v>
      </c>
      <c r="C149" s="714" t="s">
        <v>604</v>
      </c>
      <c r="D149" s="715" t="s">
        <v>1363</v>
      </c>
      <c r="E149" s="714" t="s">
        <v>607</v>
      </c>
      <c r="F149" s="715" t="s">
        <v>1364</v>
      </c>
      <c r="G149" s="714"/>
      <c r="H149" s="714" t="s">
        <v>1116</v>
      </c>
      <c r="I149" s="714" t="s">
        <v>1117</v>
      </c>
      <c r="J149" s="714" t="s">
        <v>1118</v>
      </c>
      <c r="K149" s="714" t="s">
        <v>1119</v>
      </c>
      <c r="L149" s="716">
        <v>107.45</v>
      </c>
      <c r="M149" s="716">
        <v>1</v>
      </c>
      <c r="N149" s="717">
        <v>107.45</v>
      </c>
    </row>
    <row r="150" spans="1:14" ht="14.4" customHeight="1" x14ac:dyDescent="0.3">
      <c r="A150" s="712" t="s">
        <v>591</v>
      </c>
      <c r="B150" s="713" t="s">
        <v>592</v>
      </c>
      <c r="C150" s="714" t="s">
        <v>604</v>
      </c>
      <c r="D150" s="715" t="s">
        <v>1363</v>
      </c>
      <c r="E150" s="714" t="s">
        <v>607</v>
      </c>
      <c r="F150" s="715" t="s">
        <v>1364</v>
      </c>
      <c r="G150" s="714"/>
      <c r="H150" s="714" t="s">
        <v>1120</v>
      </c>
      <c r="I150" s="714" t="s">
        <v>1121</v>
      </c>
      <c r="J150" s="714" t="s">
        <v>1118</v>
      </c>
      <c r="K150" s="714" t="s">
        <v>1122</v>
      </c>
      <c r="L150" s="716">
        <v>466.02</v>
      </c>
      <c r="M150" s="716">
        <v>1</v>
      </c>
      <c r="N150" s="717">
        <v>466.02</v>
      </c>
    </row>
    <row r="151" spans="1:14" ht="14.4" customHeight="1" x14ac:dyDescent="0.3">
      <c r="A151" s="712" t="s">
        <v>591</v>
      </c>
      <c r="B151" s="713" t="s">
        <v>592</v>
      </c>
      <c r="C151" s="714" t="s">
        <v>604</v>
      </c>
      <c r="D151" s="715" t="s">
        <v>1363</v>
      </c>
      <c r="E151" s="714" t="s">
        <v>607</v>
      </c>
      <c r="F151" s="715" t="s">
        <v>1364</v>
      </c>
      <c r="G151" s="714"/>
      <c r="H151" s="714" t="s">
        <v>616</v>
      </c>
      <c r="I151" s="714" t="s">
        <v>616</v>
      </c>
      <c r="J151" s="714" t="s">
        <v>617</v>
      </c>
      <c r="K151" s="714" t="s">
        <v>618</v>
      </c>
      <c r="L151" s="716">
        <v>43.999999999999993</v>
      </c>
      <c r="M151" s="716">
        <v>1</v>
      </c>
      <c r="N151" s="717">
        <v>43.999999999999993</v>
      </c>
    </row>
    <row r="152" spans="1:14" ht="14.4" customHeight="1" x14ac:dyDescent="0.3">
      <c r="A152" s="712" t="s">
        <v>591</v>
      </c>
      <c r="B152" s="713" t="s">
        <v>592</v>
      </c>
      <c r="C152" s="714" t="s">
        <v>604</v>
      </c>
      <c r="D152" s="715" t="s">
        <v>1363</v>
      </c>
      <c r="E152" s="714" t="s">
        <v>607</v>
      </c>
      <c r="F152" s="715" t="s">
        <v>1364</v>
      </c>
      <c r="G152" s="714"/>
      <c r="H152" s="714" t="s">
        <v>621</v>
      </c>
      <c r="I152" s="714" t="s">
        <v>621</v>
      </c>
      <c r="J152" s="714" t="s">
        <v>622</v>
      </c>
      <c r="K152" s="714" t="s">
        <v>623</v>
      </c>
      <c r="L152" s="716">
        <v>103.31999999999996</v>
      </c>
      <c r="M152" s="716">
        <v>7</v>
      </c>
      <c r="N152" s="717">
        <v>723.23999999999978</v>
      </c>
    </row>
    <row r="153" spans="1:14" ht="14.4" customHeight="1" x14ac:dyDescent="0.3">
      <c r="A153" s="712" t="s">
        <v>591</v>
      </c>
      <c r="B153" s="713" t="s">
        <v>592</v>
      </c>
      <c r="C153" s="714" t="s">
        <v>604</v>
      </c>
      <c r="D153" s="715" t="s">
        <v>1363</v>
      </c>
      <c r="E153" s="714" t="s">
        <v>607</v>
      </c>
      <c r="F153" s="715" t="s">
        <v>1364</v>
      </c>
      <c r="G153" s="714" t="s">
        <v>627</v>
      </c>
      <c r="H153" s="714" t="s">
        <v>628</v>
      </c>
      <c r="I153" s="714" t="s">
        <v>628</v>
      </c>
      <c r="J153" s="714" t="s">
        <v>629</v>
      </c>
      <c r="K153" s="714" t="s">
        <v>630</v>
      </c>
      <c r="L153" s="716">
        <v>171.59999816728424</v>
      </c>
      <c r="M153" s="716">
        <v>37</v>
      </c>
      <c r="N153" s="717">
        <v>6349.1999321895173</v>
      </c>
    </row>
    <row r="154" spans="1:14" ht="14.4" customHeight="1" x14ac:dyDescent="0.3">
      <c r="A154" s="712" t="s">
        <v>591</v>
      </c>
      <c r="B154" s="713" t="s">
        <v>592</v>
      </c>
      <c r="C154" s="714" t="s">
        <v>604</v>
      </c>
      <c r="D154" s="715" t="s">
        <v>1363</v>
      </c>
      <c r="E154" s="714" t="s">
        <v>607</v>
      </c>
      <c r="F154" s="715" t="s">
        <v>1364</v>
      </c>
      <c r="G154" s="714" t="s">
        <v>627</v>
      </c>
      <c r="H154" s="714" t="s">
        <v>631</v>
      </c>
      <c r="I154" s="714" t="s">
        <v>631</v>
      </c>
      <c r="J154" s="714" t="s">
        <v>632</v>
      </c>
      <c r="K154" s="714" t="s">
        <v>633</v>
      </c>
      <c r="L154" s="716">
        <v>173.68999956630219</v>
      </c>
      <c r="M154" s="716">
        <v>1</v>
      </c>
      <c r="N154" s="717">
        <v>173.68999956630219</v>
      </c>
    </row>
    <row r="155" spans="1:14" ht="14.4" customHeight="1" x14ac:dyDescent="0.3">
      <c r="A155" s="712" t="s">
        <v>591</v>
      </c>
      <c r="B155" s="713" t="s">
        <v>592</v>
      </c>
      <c r="C155" s="714" t="s">
        <v>604</v>
      </c>
      <c r="D155" s="715" t="s">
        <v>1363</v>
      </c>
      <c r="E155" s="714" t="s">
        <v>607</v>
      </c>
      <c r="F155" s="715" t="s">
        <v>1364</v>
      </c>
      <c r="G155" s="714" t="s">
        <v>627</v>
      </c>
      <c r="H155" s="714" t="s">
        <v>634</v>
      </c>
      <c r="I155" s="714" t="s">
        <v>634</v>
      </c>
      <c r="J155" s="714" t="s">
        <v>635</v>
      </c>
      <c r="K155" s="714" t="s">
        <v>633</v>
      </c>
      <c r="L155" s="716">
        <v>143</v>
      </c>
      <c r="M155" s="716">
        <v>1</v>
      </c>
      <c r="N155" s="717">
        <v>143</v>
      </c>
    </row>
    <row r="156" spans="1:14" ht="14.4" customHeight="1" x14ac:dyDescent="0.3">
      <c r="A156" s="712" t="s">
        <v>591</v>
      </c>
      <c r="B156" s="713" t="s">
        <v>592</v>
      </c>
      <c r="C156" s="714" t="s">
        <v>604</v>
      </c>
      <c r="D156" s="715" t="s">
        <v>1363</v>
      </c>
      <c r="E156" s="714" t="s">
        <v>607</v>
      </c>
      <c r="F156" s="715" t="s">
        <v>1364</v>
      </c>
      <c r="G156" s="714" t="s">
        <v>627</v>
      </c>
      <c r="H156" s="714" t="s">
        <v>1123</v>
      </c>
      <c r="I156" s="714" t="s">
        <v>1123</v>
      </c>
      <c r="J156" s="714" t="s">
        <v>635</v>
      </c>
      <c r="K156" s="714" t="s">
        <v>1124</v>
      </c>
      <c r="L156" s="716">
        <v>126.5</v>
      </c>
      <c r="M156" s="716">
        <v>1</v>
      </c>
      <c r="N156" s="717">
        <v>126.5</v>
      </c>
    </row>
    <row r="157" spans="1:14" ht="14.4" customHeight="1" x14ac:dyDescent="0.3">
      <c r="A157" s="712" t="s">
        <v>591</v>
      </c>
      <c r="B157" s="713" t="s">
        <v>592</v>
      </c>
      <c r="C157" s="714" t="s">
        <v>604</v>
      </c>
      <c r="D157" s="715" t="s">
        <v>1363</v>
      </c>
      <c r="E157" s="714" t="s">
        <v>607</v>
      </c>
      <c r="F157" s="715" t="s">
        <v>1364</v>
      </c>
      <c r="G157" s="714" t="s">
        <v>627</v>
      </c>
      <c r="H157" s="714" t="s">
        <v>636</v>
      </c>
      <c r="I157" s="714" t="s">
        <v>636</v>
      </c>
      <c r="J157" s="714" t="s">
        <v>629</v>
      </c>
      <c r="K157" s="714" t="s">
        <v>637</v>
      </c>
      <c r="L157" s="716">
        <v>92.949998327974342</v>
      </c>
      <c r="M157" s="716">
        <v>2</v>
      </c>
      <c r="N157" s="717">
        <v>185.89999665594868</v>
      </c>
    </row>
    <row r="158" spans="1:14" ht="14.4" customHeight="1" x14ac:dyDescent="0.3">
      <c r="A158" s="712" t="s">
        <v>591</v>
      </c>
      <c r="B158" s="713" t="s">
        <v>592</v>
      </c>
      <c r="C158" s="714" t="s">
        <v>604</v>
      </c>
      <c r="D158" s="715" t="s">
        <v>1363</v>
      </c>
      <c r="E158" s="714" t="s">
        <v>607</v>
      </c>
      <c r="F158" s="715" t="s">
        <v>1364</v>
      </c>
      <c r="G158" s="714" t="s">
        <v>627</v>
      </c>
      <c r="H158" s="714" t="s">
        <v>1125</v>
      </c>
      <c r="I158" s="714" t="s">
        <v>843</v>
      </c>
      <c r="J158" s="714" t="s">
        <v>1126</v>
      </c>
      <c r="K158" s="714" t="s">
        <v>1127</v>
      </c>
      <c r="L158" s="716">
        <v>75.526502686121589</v>
      </c>
      <c r="M158" s="716">
        <v>2</v>
      </c>
      <c r="N158" s="717">
        <v>151.05300537224318</v>
      </c>
    </row>
    <row r="159" spans="1:14" ht="14.4" customHeight="1" x14ac:dyDescent="0.3">
      <c r="A159" s="712" t="s">
        <v>591</v>
      </c>
      <c r="B159" s="713" t="s">
        <v>592</v>
      </c>
      <c r="C159" s="714" t="s">
        <v>604</v>
      </c>
      <c r="D159" s="715" t="s">
        <v>1363</v>
      </c>
      <c r="E159" s="714" t="s">
        <v>607</v>
      </c>
      <c r="F159" s="715" t="s">
        <v>1364</v>
      </c>
      <c r="G159" s="714" t="s">
        <v>627</v>
      </c>
      <c r="H159" s="714" t="s">
        <v>1128</v>
      </c>
      <c r="I159" s="714" t="s">
        <v>1129</v>
      </c>
      <c r="J159" s="714" t="s">
        <v>1130</v>
      </c>
      <c r="K159" s="714" t="s">
        <v>1002</v>
      </c>
      <c r="L159" s="716">
        <v>66.719449469552302</v>
      </c>
      <c r="M159" s="716">
        <v>4</v>
      </c>
      <c r="N159" s="717">
        <v>266.87779787820921</v>
      </c>
    </row>
    <row r="160" spans="1:14" ht="14.4" customHeight="1" x14ac:dyDescent="0.3">
      <c r="A160" s="712" t="s">
        <v>591</v>
      </c>
      <c r="B160" s="713" t="s">
        <v>592</v>
      </c>
      <c r="C160" s="714" t="s">
        <v>604</v>
      </c>
      <c r="D160" s="715" t="s">
        <v>1363</v>
      </c>
      <c r="E160" s="714" t="s">
        <v>607</v>
      </c>
      <c r="F160" s="715" t="s">
        <v>1364</v>
      </c>
      <c r="G160" s="714" t="s">
        <v>627</v>
      </c>
      <c r="H160" s="714" t="s">
        <v>1131</v>
      </c>
      <c r="I160" s="714" t="s">
        <v>1132</v>
      </c>
      <c r="J160" s="714" t="s">
        <v>1133</v>
      </c>
      <c r="K160" s="714" t="s">
        <v>1134</v>
      </c>
      <c r="L160" s="716">
        <v>28.190000000000008</v>
      </c>
      <c r="M160" s="716">
        <v>20</v>
      </c>
      <c r="N160" s="717">
        <v>563.80000000000018</v>
      </c>
    </row>
    <row r="161" spans="1:14" ht="14.4" customHeight="1" x14ac:dyDescent="0.3">
      <c r="A161" s="712" t="s">
        <v>591</v>
      </c>
      <c r="B161" s="713" t="s">
        <v>592</v>
      </c>
      <c r="C161" s="714" t="s">
        <v>604</v>
      </c>
      <c r="D161" s="715" t="s">
        <v>1363</v>
      </c>
      <c r="E161" s="714" t="s">
        <v>607</v>
      </c>
      <c r="F161" s="715" t="s">
        <v>1364</v>
      </c>
      <c r="G161" s="714" t="s">
        <v>627</v>
      </c>
      <c r="H161" s="714" t="s">
        <v>1135</v>
      </c>
      <c r="I161" s="714" t="s">
        <v>1136</v>
      </c>
      <c r="J161" s="714" t="s">
        <v>654</v>
      </c>
      <c r="K161" s="714" t="s">
        <v>643</v>
      </c>
      <c r="L161" s="716">
        <v>39.99</v>
      </c>
      <c r="M161" s="716">
        <v>6</v>
      </c>
      <c r="N161" s="717">
        <v>239.94000000000003</v>
      </c>
    </row>
    <row r="162" spans="1:14" ht="14.4" customHeight="1" x14ac:dyDescent="0.3">
      <c r="A162" s="712" t="s">
        <v>591</v>
      </c>
      <c r="B162" s="713" t="s">
        <v>592</v>
      </c>
      <c r="C162" s="714" t="s">
        <v>604</v>
      </c>
      <c r="D162" s="715" t="s">
        <v>1363</v>
      </c>
      <c r="E162" s="714" t="s">
        <v>607</v>
      </c>
      <c r="F162" s="715" t="s">
        <v>1364</v>
      </c>
      <c r="G162" s="714" t="s">
        <v>627</v>
      </c>
      <c r="H162" s="714" t="s">
        <v>1137</v>
      </c>
      <c r="I162" s="714" t="s">
        <v>1138</v>
      </c>
      <c r="J162" s="714" t="s">
        <v>1139</v>
      </c>
      <c r="K162" s="714" t="s">
        <v>1140</v>
      </c>
      <c r="L162" s="716">
        <v>40.220000000000006</v>
      </c>
      <c r="M162" s="716">
        <v>1</v>
      </c>
      <c r="N162" s="717">
        <v>40.220000000000006</v>
      </c>
    </row>
    <row r="163" spans="1:14" ht="14.4" customHeight="1" x14ac:dyDescent="0.3">
      <c r="A163" s="712" t="s">
        <v>591</v>
      </c>
      <c r="B163" s="713" t="s">
        <v>592</v>
      </c>
      <c r="C163" s="714" t="s">
        <v>604</v>
      </c>
      <c r="D163" s="715" t="s">
        <v>1363</v>
      </c>
      <c r="E163" s="714" t="s">
        <v>607</v>
      </c>
      <c r="F163" s="715" t="s">
        <v>1364</v>
      </c>
      <c r="G163" s="714" t="s">
        <v>627</v>
      </c>
      <c r="H163" s="714" t="s">
        <v>1141</v>
      </c>
      <c r="I163" s="714" t="s">
        <v>1142</v>
      </c>
      <c r="J163" s="714" t="s">
        <v>1143</v>
      </c>
      <c r="K163" s="714" t="s">
        <v>1144</v>
      </c>
      <c r="L163" s="716">
        <v>66.71999999999997</v>
      </c>
      <c r="M163" s="716">
        <v>4</v>
      </c>
      <c r="N163" s="717">
        <v>266.87999999999988</v>
      </c>
    </row>
    <row r="164" spans="1:14" ht="14.4" customHeight="1" x14ac:dyDescent="0.3">
      <c r="A164" s="712" t="s">
        <v>591</v>
      </c>
      <c r="B164" s="713" t="s">
        <v>592</v>
      </c>
      <c r="C164" s="714" t="s">
        <v>604</v>
      </c>
      <c r="D164" s="715" t="s">
        <v>1363</v>
      </c>
      <c r="E164" s="714" t="s">
        <v>607</v>
      </c>
      <c r="F164" s="715" t="s">
        <v>1364</v>
      </c>
      <c r="G164" s="714" t="s">
        <v>627</v>
      </c>
      <c r="H164" s="714" t="s">
        <v>1145</v>
      </c>
      <c r="I164" s="714" t="s">
        <v>1146</v>
      </c>
      <c r="J164" s="714" t="s">
        <v>1147</v>
      </c>
      <c r="K164" s="714" t="s">
        <v>1148</v>
      </c>
      <c r="L164" s="716">
        <v>57.370000000000005</v>
      </c>
      <c r="M164" s="716">
        <v>3</v>
      </c>
      <c r="N164" s="717">
        <v>172.11</v>
      </c>
    </row>
    <row r="165" spans="1:14" ht="14.4" customHeight="1" x14ac:dyDescent="0.3">
      <c r="A165" s="712" t="s">
        <v>591</v>
      </c>
      <c r="B165" s="713" t="s">
        <v>592</v>
      </c>
      <c r="C165" s="714" t="s">
        <v>604</v>
      </c>
      <c r="D165" s="715" t="s">
        <v>1363</v>
      </c>
      <c r="E165" s="714" t="s">
        <v>607</v>
      </c>
      <c r="F165" s="715" t="s">
        <v>1364</v>
      </c>
      <c r="G165" s="714" t="s">
        <v>627</v>
      </c>
      <c r="H165" s="714" t="s">
        <v>1149</v>
      </c>
      <c r="I165" s="714" t="s">
        <v>1150</v>
      </c>
      <c r="J165" s="714" t="s">
        <v>1151</v>
      </c>
      <c r="K165" s="714" t="s">
        <v>1152</v>
      </c>
      <c r="L165" s="716">
        <v>126.85000000000001</v>
      </c>
      <c r="M165" s="716">
        <v>2</v>
      </c>
      <c r="N165" s="717">
        <v>253.70000000000002</v>
      </c>
    </row>
    <row r="166" spans="1:14" ht="14.4" customHeight="1" x14ac:dyDescent="0.3">
      <c r="A166" s="712" t="s">
        <v>591</v>
      </c>
      <c r="B166" s="713" t="s">
        <v>592</v>
      </c>
      <c r="C166" s="714" t="s">
        <v>604</v>
      </c>
      <c r="D166" s="715" t="s">
        <v>1363</v>
      </c>
      <c r="E166" s="714" t="s">
        <v>607</v>
      </c>
      <c r="F166" s="715" t="s">
        <v>1364</v>
      </c>
      <c r="G166" s="714" t="s">
        <v>627</v>
      </c>
      <c r="H166" s="714" t="s">
        <v>1153</v>
      </c>
      <c r="I166" s="714" t="s">
        <v>1154</v>
      </c>
      <c r="J166" s="714" t="s">
        <v>1155</v>
      </c>
      <c r="K166" s="714" t="s">
        <v>1156</v>
      </c>
      <c r="L166" s="716">
        <v>66.72</v>
      </c>
      <c r="M166" s="716">
        <v>2</v>
      </c>
      <c r="N166" s="717">
        <v>133.44</v>
      </c>
    </row>
    <row r="167" spans="1:14" ht="14.4" customHeight="1" x14ac:dyDescent="0.3">
      <c r="A167" s="712" t="s">
        <v>591</v>
      </c>
      <c r="B167" s="713" t="s">
        <v>592</v>
      </c>
      <c r="C167" s="714" t="s">
        <v>604</v>
      </c>
      <c r="D167" s="715" t="s">
        <v>1363</v>
      </c>
      <c r="E167" s="714" t="s">
        <v>607</v>
      </c>
      <c r="F167" s="715" t="s">
        <v>1364</v>
      </c>
      <c r="G167" s="714" t="s">
        <v>627</v>
      </c>
      <c r="H167" s="714" t="s">
        <v>668</v>
      </c>
      <c r="I167" s="714" t="s">
        <v>669</v>
      </c>
      <c r="J167" s="714" t="s">
        <v>670</v>
      </c>
      <c r="K167" s="714" t="s">
        <v>671</v>
      </c>
      <c r="L167" s="716">
        <v>41.140000000000022</v>
      </c>
      <c r="M167" s="716">
        <v>1</v>
      </c>
      <c r="N167" s="717">
        <v>41.140000000000022</v>
      </c>
    </row>
    <row r="168" spans="1:14" ht="14.4" customHeight="1" x14ac:dyDescent="0.3">
      <c r="A168" s="712" t="s">
        <v>591</v>
      </c>
      <c r="B168" s="713" t="s">
        <v>592</v>
      </c>
      <c r="C168" s="714" t="s">
        <v>604</v>
      </c>
      <c r="D168" s="715" t="s">
        <v>1363</v>
      </c>
      <c r="E168" s="714" t="s">
        <v>607</v>
      </c>
      <c r="F168" s="715" t="s">
        <v>1364</v>
      </c>
      <c r="G168" s="714" t="s">
        <v>627</v>
      </c>
      <c r="H168" s="714" t="s">
        <v>1157</v>
      </c>
      <c r="I168" s="714" t="s">
        <v>1157</v>
      </c>
      <c r="J168" s="714" t="s">
        <v>1158</v>
      </c>
      <c r="K168" s="714" t="s">
        <v>1159</v>
      </c>
      <c r="L168" s="716">
        <v>36.529999999999994</v>
      </c>
      <c r="M168" s="716">
        <v>14</v>
      </c>
      <c r="N168" s="717">
        <v>511.41999999999996</v>
      </c>
    </row>
    <row r="169" spans="1:14" ht="14.4" customHeight="1" x14ac:dyDescent="0.3">
      <c r="A169" s="712" t="s">
        <v>591</v>
      </c>
      <c r="B169" s="713" t="s">
        <v>592</v>
      </c>
      <c r="C169" s="714" t="s">
        <v>604</v>
      </c>
      <c r="D169" s="715" t="s">
        <v>1363</v>
      </c>
      <c r="E169" s="714" t="s">
        <v>607</v>
      </c>
      <c r="F169" s="715" t="s">
        <v>1364</v>
      </c>
      <c r="G169" s="714" t="s">
        <v>627</v>
      </c>
      <c r="H169" s="714" t="s">
        <v>676</v>
      </c>
      <c r="I169" s="714" t="s">
        <v>677</v>
      </c>
      <c r="J169" s="714" t="s">
        <v>678</v>
      </c>
      <c r="K169" s="714" t="s">
        <v>679</v>
      </c>
      <c r="L169" s="716">
        <v>55.249999999999986</v>
      </c>
      <c r="M169" s="716">
        <v>1</v>
      </c>
      <c r="N169" s="717">
        <v>55.249999999999986</v>
      </c>
    </row>
    <row r="170" spans="1:14" ht="14.4" customHeight="1" x14ac:dyDescent="0.3">
      <c r="A170" s="712" t="s">
        <v>591</v>
      </c>
      <c r="B170" s="713" t="s">
        <v>592</v>
      </c>
      <c r="C170" s="714" t="s">
        <v>604</v>
      </c>
      <c r="D170" s="715" t="s">
        <v>1363</v>
      </c>
      <c r="E170" s="714" t="s">
        <v>607</v>
      </c>
      <c r="F170" s="715" t="s">
        <v>1364</v>
      </c>
      <c r="G170" s="714" t="s">
        <v>627</v>
      </c>
      <c r="H170" s="714" t="s">
        <v>680</v>
      </c>
      <c r="I170" s="714" t="s">
        <v>681</v>
      </c>
      <c r="J170" s="714" t="s">
        <v>682</v>
      </c>
      <c r="K170" s="714" t="s">
        <v>683</v>
      </c>
      <c r="L170" s="716">
        <v>216.68000000000004</v>
      </c>
      <c r="M170" s="716">
        <v>2</v>
      </c>
      <c r="N170" s="717">
        <v>433.36000000000007</v>
      </c>
    </row>
    <row r="171" spans="1:14" ht="14.4" customHeight="1" x14ac:dyDescent="0.3">
      <c r="A171" s="712" t="s">
        <v>591</v>
      </c>
      <c r="B171" s="713" t="s">
        <v>592</v>
      </c>
      <c r="C171" s="714" t="s">
        <v>604</v>
      </c>
      <c r="D171" s="715" t="s">
        <v>1363</v>
      </c>
      <c r="E171" s="714" t="s">
        <v>607</v>
      </c>
      <c r="F171" s="715" t="s">
        <v>1364</v>
      </c>
      <c r="G171" s="714" t="s">
        <v>627</v>
      </c>
      <c r="H171" s="714" t="s">
        <v>1160</v>
      </c>
      <c r="I171" s="714" t="s">
        <v>1161</v>
      </c>
      <c r="J171" s="714" t="s">
        <v>1162</v>
      </c>
      <c r="K171" s="714" t="s">
        <v>1163</v>
      </c>
      <c r="L171" s="716">
        <v>86.020081581951729</v>
      </c>
      <c r="M171" s="716">
        <v>1</v>
      </c>
      <c r="N171" s="717">
        <v>86.020081581951729</v>
      </c>
    </row>
    <row r="172" spans="1:14" ht="14.4" customHeight="1" x14ac:dyDescent="0.3">
      <c r="A172" s="712" t="s">
        <v>591</v>
      </c>
      <c r="B172" s="713" t="s">
        <v>592</v>
      </c>
      <c r="C172" s="714" t="s">
        <v>604</v>
      </c>
      <c r="D172" s="715" t="s">
        <v>1363</v>
      </c>
      <c r="E172" s="714" t="s">
        <v>607</v>
      </c>
      <c r="F172" s="715" t="s">
        <v>1364</v>
      </c>
      <c r="G172" s="714" t="s">
        <v>627</v>
      </c>
      <c r="H172" s="714" t="s">
        <v>1164</v>
      </c>
      <c r="I172" s="714" t="s">
        <v>1165</v>
      </c>
      <c r="J172" s="714" t="s">
        <v>1166</v>
      </c>
      <c r="K172" s="714" t="s">
        <v>1167</v>
      </c>
      <c r="L172" s="716">
        <v>54.98</v>
      </c>
      <c r="M172" s="716">
        <v>1</v>
      </c>
      <c r="N172" s="717">
        <v>54.98</v>
      </c>
    </row>
    <row r="173" spans="1:14" ht="14.4" customHeight="1" x14ac:dyDescent="0.3">
      <c r="A173" s="712" t="s">
        <v>591</v>
      </c>
      <c r="B173" s="713" t="s">
        <v>592</v>
      </c>
      <c r="C173" s="714" t="s">
        <v>604</v>
      </c>
      <c r="D173" s="715" t="s">
        <v>1363</v>
      </c>
      <c r="E173" s="714" t="s">
        <v>607</v>
      </c>
      <c r="F173" s="715" t="s">
        <v>1364</v>
      </c>
      <c r="G173" s="714" t="s">
        <v>627</v>
      </c>
      <c r="H173" s="714" t="s">
        <v>1168</v>
      </c>
      <c r="I173" s="714" t="s">
        <v>1169</v>
      </c>
      <c r="J173" s="714" t="s">
        <v>1170</v>
      </c>
      <c r="K173" s="714" t="s">
        <v>1171</v>
      </c>
      <c r="L173" s="716">
        <v>178.32000000000002</v>
      </c>
      <c r="M173" s="716">
        <v>1</v>
      </c>
      <c r="N173" s="717">
        <v>178.32000000000002</v>
      </c>
    </row>
    <row r="174" spans="1:14" ht="14.4" customHeight="1" x14ac:dyDescent="0.3">
      <c r="A174" s="712" t="s">
        <v>591</v>
      </c>
      <c r="B174" s="713" t="s">
        <v>592</v>
      </c>
      <c r="C174" s="714" t="s">
        <v>604</v>
      </c>
      <c r="D174" s="715" t="s">
        <v>1363</v>
      </c>
      <c r="E174" s="714" t="s">
        <v>607</v>
      </c>
      <c r="F174" s="715" t="s">
        <v>1364</v>
      </c>
      <c r="G174" s="714" t="s">
        <v>627</v>
      </c>
      <c r="H174" s="714" t="s">
        <v>1172</v>
      </c>
      <c r="I174" s="714" t="s">
        <v>1173</v>
      </c>
      <c r="J174" s="714" t="s">
        <v>1174</v>
      </c>
      <c r="K174" s="714" t="s">
        <v>1175</v>
      </c>
      <c r="L174" s="716">
        <v>74.220000000000013</v>
      </c>
      <c r="M174" s="716">
        <v>2</v>
      </c>
      <c r="N174" s="717">
        <v>148.44000000000003</v>
      </c>
    </row>
    <row r="175" spans="1:14" ht="14.4" customHeight="1" x14ac:dyDescent="0.3">
      <c r="A175" s="712" t="s">
        <v>591</v>
      </c>
      <c r="B175" s="713" t="s">
        <v>592</v>
      </c>
      <c r="C175" s="714" t="s">
        <v>604</v>
      </c>
      <c r="D175" s="715" t="s">
        <v>1363</v>
      </c>
      <c r="E175" s="714" t="s">
        <v>607</v>
      </c>
      <c r="F175" s="715" t="s">
        <v>1364</v>
      </c>
      <c r="G175" s="714" t="s">
        <v>627</v>
      </c>
      <c r="H175" s="714" t="s">
        <v>1176</v>
      </c>
      <c r="I175" s="714" t="s">
        <v>1177</v>
      </c>
      <c r="J175" s="714" t="s">
        <v>1178</v>
      </c>
      <c r="K175" s="714" t="s">
        <v>1179</v>
      </c>
      <c r="L175" s="716">
        <v>117.41</v>
      </c>
      <c r="M175" s="716">
        <v>1</v>
      </c>
      <c r="N175" s="717">
        <v>117.41</v>
      </c>
    </row>
    <row r="176" spans="1:14" ht="14.4" customHeight="1" x14ac:dyDescent="0.3">
      <c r="A176" s="712" t="s">
        <v>591</v>
      </c>
      <c r="B176" s="713" t="s">
        <v>592</v>
      </c>
      <c r="C176" s="714" t="s">
        <v>604</v>
      </c>
      <c r="D176" s="715" t="s">
        <v>1363</v>
      </c>
      <c r="E176" s="714" t="s">
        <v>607</v>
      </c>
      <c r="F176" s="715" t="s">
        <v>1364</v>
      </c>
      <c r="G176" s="714" t="s">
        <v>627</v>
      </c>
      <c r="H176" s="714" t="s">
        <v>1180</v>
      </c>
      <c r="I176" s="714" t="s">
        <v>1181</v>
      </c>
      <c r="J176" s="714" t="s">
        <v>1182</v>
      </c>
      <c r="K176" s="714" t="s">
        <v>1183</v>
      </c>
      <c r="L176" s="716">
        <v>126.35999999999997</v>
      </c>
      <c r="M176" s="716">
        <v>1</v>
      </c>
      <c r="N176" s="717">
        <v>126.35999999999997</v>
      </c>
    </row>
    <row r="177" spans="1:14" ht="14.4" customHeight="1" x14ac:dyDescent="0.3">
      <c r="A177" s="712" t="s">
        <v>591</v>
      </c>
      <c r="B177" s="713" t="s">
        <v>592</v>
      </c>
      <c r="C177" s="714" t="s">
        <v>604</v>
      </c>
      <c r="D177" s="715" t="s">
        <v>1363</v>
      </c>
      <c r="E177" s="714" t="s">
        <v>607</v>
      </c>
      <c r="F177" s="715" t="s">
        <v>1364</v>
      </c>
      <c r="G177" s="714" t="s">
        <v>627</v>
      </c>
      <c r="H177" s="714" t="s">
        <v>727</v>
      </c>
      <c r="I177" s="714" t="s">
        <v>728</v>
      </c>
      <c r="J177" s="714" t="s">
        <v>729</v>
      </c>
      <c r="K177" s="714" t="s">
        <v>730</v>
      </c>
      <c r="L177" s="716">
        <v>44.97000000000002</v>
      </c>
      <c r="M177" s="716">
        <v>2</v>
      </c>
      <c r="N177" s="717">
        <v>89.94000000000004</v>
      </c>
    </row>
    <row r="178" spans="1:14" ht="14.4" customHeight="1" x14ac:dyDescent="0.3">
      <c r="A178" s="712" t="s">
        <v>591</v>
      </c>
      <c r="B178" s="713" t="s">
        <v>592</v>
      </c>
      <c r="C178" s="714" t="s">
        <v>604</v>
      </c>
      <c r="D178" s="715" t="s">
        <v>1363</v>
      </c>
      <c r="E178" s="714" t="s">
        <v>607</v>
      </c>
      <c r="F178" s="715" t="s">
        <v>1364</v>
      </c>
      <c r="G178" s="714" t="s">
        <v>627</v>
      </c>
      <c r="H178" s="714" t="s">
        <v>1184</v>
      </c>
      <c r="I178" s="714" t="s">
        <v>800</v>
      </c>
      <c r="J178" s="714" t="s">
        <v>1185</v>
      </c>
      <c r="K178" s="714"/>
      <c r="L178" s="716">
        <v>218.20000000000005</v>
      </c>
      <c r="M178" s="716">
        <v>1</v>
      </c>
      <c r="N178" s="717">
        <v>218.20000000000005</v>
      </c>
    </row>
    <row r="179" spans="1:14" ht="14.4" customHeight="1" x14ac:dyDescent="0.3">
      <c r="A179" s="712" t="s">
        <v>591</v>
      </c>
      <c r="B179" s="713" t="s">
        <v>592</v>
      </c>
      <c r="C179" s="714" t="s">
        <v>604</v>
      </c>
      <c r="D179" s="715" t="s">
        <v>1363</v>
      </c>
      <c r="E179" s="714" t="s">
        <v>607</v>
      </c>
      <c r="F179" s="715" t="s">
        <v>1364</v>
      </c>
      <c r="G179" s="714" t="s">
        <v>627</v>
      </c>
      <c r="H179" s="714" t="s">
        <v>1186</v>
      </c>
      <c r="I179" s="714" t="s">
        <v>1187</v>
      </c>
      <c r="J179" s="714" t="s">
        <v>1188</v>
      </c>
      <c r="K179" s="714" t="s">
        <v>1189</v>
      </c>
      <c r="L179" s="716">
        <v>72.449999999999989</v>
      </c>
      <c r="M179" s="716">
        <v>1</v>
      </c>
      <c r="N179" s="717">
        <v>72.449999999999989</v>
      </c>
    </row>
    <row r="180" spans="1:14" ht="14.4" customHeight="1" x14ac:dyDescent="0.3">
      <c r="A180" s="712" t="s">
        <v>591</v>
      </c>
      <c r="B180" s="713" t="s">
        <v>592</v>
      </c>
      <c r="C180" s="714" t="s">
        <v>604</v>
      </c>
      <c r="D180" s="715" t="s">
        <v>1363</v>
      </c>
      <c r="E180" s="714" t="s">
        <v>607</v>
      </c>
      <c r="F180" s="715" t="s">
        <v>1364</v>
      </c>
      <c r="G180" s="714" t="s">
        <v>627</v>
      </c>
      <c r="H180" s="714" t="s">
        <v>746</v>
      </c>
      <c r="I180" s="714" t="s">
        <v>747</v>
      </c>
      <c r="J180" s="714" t="s">
        <v>748</v>
      </c>
      <c r="K180" s="714" t="s">
        <v>749</v>
      </c>
      <c r="L180" s="716">
        <v>67.390000000000015</v>
      </c>
      <c r="M180" s="716">
        <v>2</v>
      </c>
      <c r="N180" s="717">
        <v>134.78000000000003</v>
      </c>
    </row>
    <row r="181" spans="1:14" ht="14.4" customHeight="1" x14ac:dyDescent="0.3">
      <c r="A181" s="712" t="s">
        <v>591</v>
      </c>
      <c r="B181" s="713" t="s">
        <v>592</v>
      </c>
      <c r="C181" s="714" t="s">
        <v>604</v>
      </c>
      <c r="D181" s="715" t="s">
        <v>1363</v>
      </c>
      <c r="E181" s="714" t="s">
        <v>607</v>
      </c>
      <c r="F181" s="715" t="s">
        <v>1364</v>
      </c>
      <c r="G181" s="714" t="s">
        <v>627</v>
      </c>
      <c r="H181" s="714" t="s">
        <v>750</v>
      </c>
      <c r="I181" s="714" t="s">
        <v>751</v>
      </c>
      <c r="J181" s="714" t="s">
        <v>752</v>
      </c>
      <c r="K181" s="714" t="s">
        <v>753</v>
      </c>
      <c r="L181" s="716">
        <v>34.389118217747637</v>
      </c>
      <c r="M181" s="716">
        <v>1</v>
      </c>
      <c r="N181" s="717">
        <v>34.389118217747637</v>
      </c>
    </row>
    <row r="182" spans="1:14" ht="14.4" customHeight="1" x14ac:dyDescent="0.3">
      <c r="A182" s="712" t="s">
        <v>591</v>
      </c>
      <c r="B182" s="713" t="s">
        <v>592</v>
      </c>
      <c r="C182" s="714" t="s">
        <v>604</v>
      </c>
      <c r="D182" s="715" t="s">
        <v>1363</v>
      </c>
      <c r="E182" s="714" t="s">
        <v>607</v>
      </c>
      <c r="F182" s="715" t="s">
        <v>1364</v>
      </c>
      <c r="G182" s="714" t="s">
        <v>627</v>
      </c>
      <c r="H182" s="714" t="s">
        <v>1190</v>
      </c>
      <c r="I182" s="714" t="s">
        <v>1191</v>
      </c>
      <c r="J182" s="714" t="s">
        <v>1166</v>
      </c>
      <c r="K182" s="714" t="s">
        <v>1192</v>
      </c>
      <c r="L182" s="716">
        <v>58.2</v>
      </c>
      <c r="M182" s="716">
        <v>14</v>
      </c>
      <c r="N182" s="717">
        <v>814.80000000000007</v>
      </c>
    </row>
    <row r="183" spans="1:14" ht="14.4" customHeight="1" x14ac:dyDescent="0.3">
      <c r="A183" s="712" t="s">
        <v>591</v>
      </c>
      <c r="B183" s="713" t="s">
        <v>592</v>
      </c>
      <c r="C183" s="714" t="s">
        <v>604</v>
      </c>
      <c r="D183" s="715" t="s">
        <v>1363</v>
      </c>
      <c r="E183" s="714" t="s">
        <v>607</v>
      </c>
      <c r="F183" s="715" t="s">
        <v>1364</v>
      </c>
      <c r="G183" s="714" t="s">
        <v>627</v>
      </c>
      <c r="H183" s="714" t="s">
        <v>1193</v>
      </c>
      <c r="I183" s="714" t="s">
        <v>1194</v>
      </c>
      <c r="J183" s="714" t="s">
        <v>1195</v>
      </c>
      <c r="K183" s="714" t="s">
        <v>1196</v>
      </c>
      <c r="L183" s="716">
        <v>34.670000000000009</v>
      </c>
      <c r="M183" s="716">
        <v>1</v>
      </c>
      <c r="N183" s="717">
        <v>34.670000000000009</v>
      </c>
    </row>
    <row r="184" spans="1:14" ht="14.4" customHeight="1" x14ac:dyDescent="0.3">
      <c r="A184" s="712" t="s">
        <v>591</v>
      </c>
      <c r="B184" s="713" t="s">
        <v>592</v>
      </c>
      <c r="C184" s="714" t="s">
        <v>604</v>
      </c>
      <c r="D184" s="715" t="s">
        <v>1363</v>
      </c>
      <c r="E184" s="714" t="s">
        <v>607</v>
      </c>
      <c r="F184" s="715" t="s">
        <v>1364</v>
      </c>
      <c r="G184" s="714" t="s">
        <v>627</v>
      </c>
      <c r="H184" s="714" t="s">
        <v>758</v>
      </c>
      <c r="I184" s="714" t="s">
        <v>759</v>
      </c>
      <c r="J184" s="714" t="s">
        <v>760</v>
      </c>
      <c r="K184" s="714" t="s">
        <v>761</v>
      </c>
      <c r="L184" s="716">
        <v>28.409984793391391</v>
      </c>
      <c r="M184" s="716">
        <v>8</v>
      </c>
      <c r="N184" s="717">
        <v>227.27987834713113</v>
      </c>
    </row>
    <row r="185" spans="1:14" ht="14.4" customHeight="1" x14ac:dyDescent="0.3">
      <c r="A185" s="712" t="s">
        <v>591</v>
      </c>
      <c r="B185" s="713" t="s">
        <v>592</v>
      </c>
      <c r="C185" s="714" t="s">
        <v>604</v>
      </c>
      <c r="D185" s="715" t="s">
        <v>1363</v>
      </c>
      <c r="E185" s="714" t="s">
        <v>607</v>
      </c>
      <c r="F185" s="715" t="s">
        <v>1364</v>
      </c>
      <c r="G185" s="714" t="s">
        <v>627</v>
      </c>
      <c r="H185" s="714" t="s">
        <v>762</v>
      </c>
      <c r="I185" s="714" t="s">
        <v>763</v>
      </c>
      <c r="J185" s="714" t="s">
        <v>764</v>
      </c>
      <c r="K185" s="714" t="s">
        <v>765</v>
      </c>
      <c r="L185" s="716">
        <v>175.03916759130016</v>
      </c>
      <c r="M185" s="716">
        <v>2</v>
      </c>
      <c r="N185" s="717">
        <v>350.07833518260031</v>
      </c>
    </row>
    <row r="186" spans="1:14" ht="14.4" customHeight="1" x14ac:dyDescent="0.3">
      <c r="A186" s="712" t="s">
        <v>591</v>
      </c>
      <c r="B186" s="713" t="s">
        <v>592</v>
      </c>
      <c r="C186" s="714" t="s">
        <v>604</v>
      </c>
      <c r="D186" s="715" t="s">
        <v>1363</v>
      </c>
      <c r="E186" s="714" t="s">
        <v>607</v>
      </c>
      <c r="F186" s="715" t="s">
        <v>1364</v>
      </c>
      <c r="G186" s="714" t="s">
        <v>627</v>
      </c>
      <c r="H186" s="714" t="s">
        <v>1197</v>
      </c>
      <c r="I186" s="714" t="s">
        <v>1198</v>
      </c>
      <c r="J186" s="714" t="s">
        <v>1199</v>
      </c>
      <c r="K186" s="714" t="s">
        <v>1091</v>
      </c>
      <c r="L186" s="716">
        <v>125.69999999999997</v>
      </c>
      <c r="M186" s="716">
        <v>9</v>
      </c>
      <c r="N186" s="717">
        <v>1131.2999999999997</v>
      </c>
    </row>
    <row r="187" spans="1:14" ht="14.4" customHeight="1" x14ac:dyDescent="0.3">
      <c r="A187" s="712" t="s">
        <v>591</v>
      </c>
      <c r="B187" s="713" t="s">
        <v>592</v>
      </c>
      <c r="C187" s="714" t="s">
        <v>604</v>
      </c>
      <c r="D187" s="715" t="s">
        <v>1363</v>
      </c>
      <c r="E187" s="714" t="s">
        <v>607</v>
      </c>
      <c r="F187" s="715" t="s">
        <v>1364</v>
      </c>
      <c r="G187" s="714" t="s">
        <v>627</v>
      </c>
      <c r="H187" s="714" t="s">
        <v>1200</v>
      </c>
      <c r="I187" s="714" t="s">
        <v>1201</v>
      </c>
      <c r="J187" s="714" t="s">
        <v>1202</v>
      </c>
      <c r="K187" s="714" t="s">
        <v>1203</v>
      </c>
      <c r="L187" s="716">
        <v>79.44</v>
      </c>
      <c r="M187" s="716">
        <v>1</v>
      </c>
      <c r="N187" s="717">
        <v>79.44</v>
      </c>
    </row>
    <row r="188" spans="1:14" ht="14.4" customHeight="1" x14ac:dyDescent="0.3">
      <c r="A188" s="712" t="s">
        <v>591</v>
      </c>
      <c r="B188" s="713" t="s">
        <v>592</v>
      </c>
      <c r="C188" s="714" t="s">
        <v>604</v>
      </c>
      <c r="D188" s="715" t="s">
        <v>1363</v>
      </c>
      <c r="E188" s="714" t="s">
        <v>607</v>
      </c>
      <c r="F188" s="715" t="s">
        <v>1364</v>
      </c>
      <c r="G188" s="714" t="s">
        <v>627</v>
      </c>
      <c r="H188" s="714" t="s">
        <v>1204</v>
      </c>
      <c r="I188" s="714" t="s">
        <v>1205</v>
      </c>
      <c r="J188" s="714" t="s">
        <v>1206</v>
      </c>
      <c r="K188" s="714" t="s">
        <v>1207</v>
      </c>
      <c r="L188" s="716">
        <v>113.97</v>
      </c>
      <c r="M188" s="716">
        <v>1</v>
      </c>
      <c r="N188" s="717">
        <v>113.97</v>
      </c>
    </row>
    <row r="189" spans="1:14" ht="14.4" customHeight="1" x14ac:dyDescent="0.3">
      <c r="A189" s="712" t="s">
        <v>591</v>
      </c>
      <c r="B189" s="713" t="s">
        <v>592</v>
      </c>
      <c r="C189" s="714" t="s">
        <v>604</v>
      </c>
      <c r="D189" s="715" t="s">
        <v>1363</v>
      </c>
      <c r="E189" s="714" t="s">
        <v>607</v>
      </c>
      <c r="F189" s="715" t="s">
        <v>1364</v>
      </c>
      <c r="G189" s="714" t="s">
        <v>627</v>
      </c>
      <c r="H189" s="714" t="s">
        <v>1208</v>
      </c>
      <c r="I189" s="714" t="s">
        <v>1209</v>
      </c>
      <c r="J189" s="714" t="s">
        <v>1210</v>
      </c>
      <c r="K189" s="714" t="s">
        <v>1211</v>
      </c>
      <c r="L189" s="716">
        <v>242.00000064106021</v>
      </c>
      <c r="M189" s="716">
        <v>20</v>
      </c>
      <c r="N189" s="717">
        <v>4840.0000128212041</v>
      </c>
    </row>
    <row r="190" spans="1:14" ht="14.4" customHeight="1" x14ac:dyDescent="0.3">
      <c r="A190" s="712" t="s">
        <v>591</v>
      </c>
      <c r="B190" s="713" t="s">
        <v>592</v>
      </c>
      <c r="C190" s="714" t="s">
        <v>604</v>
      </c>
      <c r="D190" s="715" t="s">
        <v>1363</v>
      </c>
      <c r="E190" s="714" t="s">
        <v>607</v>
      </c>
      <c r="F190" s="715" t="s">
        <v>1364</v>
      </c>
      <c r="G190" s="714" t="s">
        <v>627</v>
      </c>
      <c r="H190" s="714" t="s">
        <v>788</v>
      </c>
      <c r="I190" s="714" t="s">
        <v>789</v>
      </c>
      <c r="J190" s="714" t="s">
        <v>790</v>
      </c>
      <c r="K190" s="714" t="s">
        <v>791</v>
      </c>
      <c r="L190" s="716">
        <v>52.39</v>
      </c>
      <c r="M190" s="716">
        <v>2</v>
      </c>
      <c r="N190" s="717">
        <v>104.78</v>
      </c>
    </row>
    <row r="191" spans="1:14" ht="14.4" customHeight="1" x14ac:dyDescent="0.3">
      <c r="A191" s="712" t="s">
        <v>591</v>
      </c>
      <c r="B191" s="713" t="s">
        <v>592</v>
      </c>
      <c r="C191" s="714" t="s">
        <v>604</v>
      </c>
      <c r="D191" s="715" t="s">
        <v>1363</v>
      </c>
      <c r="E191" s="714" t="s">
        <v>607</v>
      </c>
      <c r="F191" s="715" t="s">
        <v>1364</v>
      </c>
      <c r="G191" s="714" t="s">
        <v>627</v>
      </c>
      <c r="H191" s="714" t="s">
        <v>795</v>
      </c>
      <c r="I191" s="714" t="s">
        <v>796</v>
      </c>
      <c r="J191" s="714" t="s">
        <v>797</v>
      </c>
      <c r="K191" s="714" t="s">
        <v>798</v>
      </c>
      <c r="L191" s="716">
        <v>46.71</v>
      </c>
      <c r="M191" s="716">
        <v>2</v>
      </c>
      <c r="N191" s="717">
        <v>93.42</v>
      </c>
    </row>
    <row r="192" spans="1:14" ht="14.4" customHeight="1" x14ac:dyDescent="0.3">
      <c r="A192" s="712" t="s">
        <v>591</v>
      </c>
      <c r="B192" s="713" t="s">
        <v>592</v>
      </c>
      <c r="C192" s="714" t="s">
        <v>604</v>
      </c>
      <c r="D192" s="715" t="s">
        <v>1363</v>
      </c>
      <c r="E192" s="714" t="s">
        <v>607</v>
      </c>
      <c r="F192" s="715" t="s">
        <v>1364</v>
      </c>
      <c r="G192" s="714" t="s">
        <v>627</v>
      </c>
      <c r="H192" s="714" t="s">
        <v>802</v>
      </c>
      <c r="I192" s="714" t="s">
        <v>800</v>
      </c>
      <c r="J192" s="714" t="s">
        <v>803</v>
      </c>
      <c r="K192" s="714"/>
      <c r="L192" s="716">
        <v>169.92</v>
      </c>
      <c r="M192" s="716">
        <v>3</v>
      </c>
      <c r="N192" s="717">
        <v>509.76</v>
      </c>
    </row>
    <row r="193" spans="1:14" ht="14.4" customHeight="1" x14ac:dyDescent="0.3">
      <c r="A193" s="712" t="s">
        <v>591</v>
      </c>
      <c r="B193" s="713" t="s">
        <v>592</v>
      </c>
      <c r="C193" s="714" t="s">
        <v>604</v>
      </c>
      <c r="D193" s="715" t="s">
        <v>1363</v>
      </c>
      <c r="E193" s="714" t="s">
        <v>607</v>
      </c>
      <c r="F193" s="715" t="s">
        <v>1364</v>
      </c>
      <c r="G193" s="714" t="s">
        <v>627</v>
      </c>
      <c r="H193" s="714" t="s">
        <v>1212</v>
      </c>
      <c r="I193" s="714" t="s">
        <v>1213</v>
      </c>
      <c r="J193" s="714" t="s">
        <v>1214</v>
      </c>
      <c r="K193" s="714" t="s">
        <v>1215</v>
      </c>
      <c r="L193" s="716">
        <v>152.26249999999996</v>
      </c>
      <c r="M193" s="716">
        <v>1</v>
      </c>
      <c r="N193" s="717">
        <v>152.26249999999996</v>
      </c>
    </row>
    <row r="194" spans="1:14" ht="14.4" customHeight="1" x14ac:dyDescent="0.3">
      <c r="A194" s="712" t="s">
        <v>591</v>
      </c>
      <c r="B194" s="713" t="s">
        <v>592</v>
      </c>
      <c r="C194" s="714" t="s">
        <v>604</v>
      </c>
      <c r="D194" s="715" t="s">
        <v>1363</v>
      </c>
      <c r="E194" s="714" t="s">
        <v>607</v>
      </c>
      <c r="F194" s="715" t="s">
        <v>1364</v>
      </c>
      <c r="G194" s="714" t="s">
        <v>627</v>
      </c>
      <c r="H194" s="714" t="s">
        <v>1216</v>
      </c>
      <c r="I194" s="714" t="s">
        <v>1217</v>
      </c>
      <c r="J194" s="714" t="s">
        <v>1218</v>
      </c>
      <c r="K194" s="714" t="s">
        <v>1219</v>
      </c>
      <c r="L194" s="716">
        <v>254.97997843321329</v>
      </c>
      <c r="M194" s="716">
        <v>2</v>
      </c>
      <c r="N194" s="717">
        <v>509.95995686642658</v>
      </c>
    </row>
    <row r="195" spans="1:14" ht="14.4" customHeight="1" x14ac:dyDescent="0.3">
      <c r="A195" s="712" t="s">
        <v>591</v>
      </c>
      <c r="B195" s="713" t="s">
        <v>592</v>
      </c>
      <c r="C195" s="714" t="s">
        <v>604</v>
      </c>
      <c r="D195" s="715" t="s">
        <v>1363</v>
      </c>
      <c r="E195" s="714" t="s">
        <v>607</v>
      </c>
      <c r="F195" s="715" t="s">
        <v>1364</v>
      </c>
      <c r="G195" s="714" t="s">
        <v>627</v>
      </c>
      <c r="H195" s="714" t="s">
        <v>1220</v>
      </c>
      <c r="I195" s="714" t="s">
        <v>1221</v>
      </c>
      <c r="J195" s="714" t="s">
        <v>610</v>
      </c>
      <c r="K195" s="714" t="s">
        <v>1222</v>
      </c>
      <c r="L195" s="716">
        <v>85.75</v>
      </c>
      <c r="M195" s="716">
        <v>9</v>
      </c>
      <c r="N195" s="717">
        <v>771.75</v>
      </c>
    </row>
    <row r="196" spans="1:14" ht="14.4" customHeight="1" x14ac:dyDescent="0.3">
      <c r="A196" s="712" t="s">
        <v>591</v>
      </c>
      <c r="B196" s="713" t="s">
        <v>592</v>
      </c>
      <c r="C196" s="714" t="s">
        <v>604</v>
      </c>
      <c r="D196" s="715" t="s">
        <v>1363</v>
      </c>
      <c r="E196" s="714" t="s">
        <v>607</v>
      </c>
      <c r="F196" s="715" t="s">
        <v>1364</v>
      </c>
      <c r="G196" s="714" t="s">
        <v>627</v>
      </c>
      <c r="H196" s="714" t="s">
        <v>1223</v>
      </c>
      <c r="I196" s="714" t="s">
        <v>1224</v>
      </c>
      <c r="J196" s="714" t="s">
        <v>1225</v>
      </c>
      <c r="K196" s="714" t="s">
        <v>1226</v>
      </c>
      <c r="L196" s="716">
        <v>97.59</v>
      </c>
      <c r="M196" s="716">
        <v>1</v>
      </c>
      <c r="N196" s="717">
        <v>97.59</v>
      </c>
    </row>
    <row r="197" spans="1:14" ht="14.4" customHeight="1" x14ac:dyDescent="0.3">
      <c r="A197" s="712" t="s">
        <v>591</v>
      </c>
      <c r="B197" s="713" t="s">
        <v>592</v>
      </c>
      <c r="C197" s="714" t="s">
        <v>604</v>
      </c>
      <c r="D197" s="715" t="s">
        <v>1363</v>
      </c>
      <c r="E197" s="714" t="s">
        <v>607</v>
      </c>
      <c r="F197" s="715" t="s">
        <v>1364</v>
      </c>
      <c r="G197" s="714" t="s">
        <v>627</v>
      </c>
      <c r="H197" s="714" t="s">
        <v>814</v>
      </c>
      <c r="I197" s="714" t="s">
        <v>815</v>
      </c>
      <c r="J197" s="714" t="s">
        <v>816</v>
      </c>
      <c r="K197" s="714" t="s">
        <v>817</v>
      </c>
      <c r="L197" s="716">
        <v>149.64005630870761</v>
      </c>
      <c r="M197" s="716">
        <v>5</v>
      </c>
      <c r="N197" s="717">
        <v>748.20028154353804</v>
      </c>
    </row>
    <row r="198" spans="1:14" ht="14.4" customHeight="1" x14ac:dyDescent="0.3">
      <c r="A198" s="712" t="s">
        <v>591</v>
      </c>
      <c r="B198" s="713" t="s">
        <v>592</v>
      </c>
      <c r="C198" s="714" t="s">
        <v>604</v>
      </c>
      <c r="D198" s="715" t="s">
        <v>1363</v>
      </c>
      <c r="E198" s="714" t="s">
        <v>607</v>
      </c>
      <c r="F198" s="715" t="s">
        <v>1364</v>
      </c>
      <c r="G198" s="714" t="s">
        <v>627</v>
      </c>
      <c r="H198" s="714" t="s">
        <v>818</v>
      </c>
      <c r="I198" s="714" t="s">
        <v>819</v>
      </c>
      <c r="J198" s="714" t="s">
        <v>820</v>
      </c>
      <c r="K198" s="714" t="s">
        <v>821</v>
      </c>
      <c r="L198" s="716">
        <v>46.618729144495653</v>
      </c>
      <c r="M198" s="716">
        <v>11</v>
      </c>
      <c r="N198" s="717">
        <v>512.80602058945215</v>
      </c>
    </row>
    <row r="199" spans="1:14" ht="14.4" customHeight="1" x14ac:dyDescent="0.3">
      <c r="A199" s="712" t="s">
        <v>591</v>
      </c>
      <c r="B199" s="713" t="s">
        <v>592</v>
      </c>
      <c r="C199" s="714" t="s">
        <v>604</v>
      </c>
      <c r="D199" s="715" t="s">
        <v>1363</v>
      </c>
      <c r="E199" s="714" t="s">
        <v>607</v>
      </c>
      <c r="F199" s="715" t="s">
        <v>1364</v>
      </c>
      <c r="G199" s="714" t="s">
        <v>627</v>
      </c>
      <c r="H199" s="714" t="s">
        <v>822</v>
      </c>
      <c r="I199" s="714" t="s">
        <v>823</v>
      </c>
      <c r="J199" s="714" t="s">
        <v>824</v>
      </c>
      <c r="K199" s="714" t="s">
        <v>825</v>
      </c>
      <c r="L199" s="716">
        <v>105.81</v>
      </c>
      <c r="M199" s="716">
        <v>9</v>
      </c>
      <c r="N199" s="717">
        <v>952.29</v>
      </c>
    </row>
    <row r="200" spans="1:14" ht="14.4" customHeight="1" x14ac:dyDescent="0.3">
      <c r="A200" s="712" t="s">
        <v>591</v>
      </c>
      <c r="B200" s="713" t="s">
        <v>592</v>
      </c>
      <c r="C200" s="714" t="s">
        <v>604</v>
      </c>
      <c r="D200" s="715" t="s">
        <v>1363</v>
      </c>
      <c r="E200" s="714" t="s">
        <v>607</v>
      </c>
      <c r="F200" s="715" t="s">
        <v>1364</v>
      </c>
      <c r="G200" s="714" t="s">
        <v>627</v>
      </c>
      <c r="H200" s="714" t="s">
        <v>1227</v>
      </c>
      <c r="I200" s="714" t="s">
        <v>1228</v>
      </c>
      <c r="J200" s="714" t="s">
        <v>1229</v>
      </c>
      <c r="K200" s="714" t="s">
        <v>655</v>
      </c>
      <c r="L200" s="716">
        <v>105.49000000000001</v>
      </c>
      <c r="M200" s="716">
        <v>2</v>
      </c>
      <c r="N200" s="717">
        <v>210.98000000000002</v>
      </c>
    </row>
    <row r="201" spans="1:14" ht="14.4" customHeight="1" x14ac:dyDescent="0.3">
      <c r="A201" s="712" t="s">
        <v>591</v>
      </c>
      <c r="B201" s="713" t="s">
        <v>592</v>
      </c>
      <c r="C201" s="714" t="s">
        <v>604</v>
      </c>
      <c r="D201" s="715" t="s">
        <v>1363</v>
      </c>
      <c r="E201" s="714" t="s">
        <v>607</v>
      </c>
      <c r="F201" s="715" t="s">
        <v>1364</v>
      </c>
      <c r="G201" s="714" t="s">
        <v>627</v>
      </c>
      <c r="H201" s="714" t="s">
        <v>834</v>
      </c>
      <c r="I201" s="714" t="s">
        <v>835</v>
      </c>
      <c r="J201" s="714" t="s">
        <v>836</v>
      </c>
      <c r="K201" s="714" t="s">
        <v>837</v>
      </c>
      <c r="L201" s="716">
        <v>111.518</v>
      </c>
      <c r="M201" s="716">
        <v>10</v>
      </c>
      <c r="N201" s="717">
        <v>1115.18</v>
      </c>
    </row>
    <row r="202" spans="1:14" ht="14.4" customHeight="1" x14ac:dyDescent="0.3">
      <c r="A202" s="712" t="s">
        <v>591</v>
      </c>
      <c r="B202" s="713" t="s">
        <v>592</v>
      </c>
      <c r="C202" s="714" t="s">
        <v>604</v>
      </c>
      <c r="D202" s="715" t="s">
        <v>1363</v>
      </c>
      <c r="E202" s="714" t="s">
        <v>607</v>
      </c>
      <c r="F202" s="715" t="s">
        <v>1364</v>
      </c>
      <c r="G202" s="714" t="s">
        <v>627</v>
      </c>
      <c r="H202" s="714" t="s">
        <v>1230</v>
      </c>
      <c r="I202" s="714" t="s">
        <v>1231</v>
      </c>
      <c r="J202" s="714" t="s">
        <v>1232</v>
      </c>
      <c r="K202" s="714" t="s">
        <v>1233</v>
      </c>
      <c r="L202" s="716">
        <v>118.79000000000006</v>
      </c>
      <c r="M202" s="716">
        <v>1</v>
      </c>
      <c r="N202" s="717">
        <v>118.79000000000006</v>
      </c>
    </row>
    <row r="203" spans="1:14" ht="14.4" customHeight="1" x14ac:dyDescent="0.3">
      <c r="A203" s="712" t="s">
        <v>591</v>
      </c>
      <c r="B203" s="713" t="s">
        <v>592</v>
      </c>
      <c r="C203" s="714" t="s">
        <v>604</v>
      </c>
      <c r="D203" s="715" t="s">
        <v>1363</v>
      </c>
      <c r="E203" s="714" t="s">
        <v>607</v>
      </c>
      <c r="F203" s="715" t="s">
        <v>1364</v>
      </c>
      <c r="G203" s="714" t="s">
        <v>627</v>
      </c>
      <c r="H203" s="714" t="s">
        <v>1234</v>
      </c>
      <c r="I203" s="714" t="s">
        <v>1235</v>
      </c>
      <c r="J203" s="714" t="s">
        <v>1236</v>
      </c>
      <c r="K203" s="714" t="s">
        <v>1237</v>
      </c>
      <c r="L203" s="716">
        <v>275.31</v>
      </c>
      <c r="M203" s="716">
        <v>2</v>
      </c>
      <c r="N203" s="717">
        <v>550.62</v>
      </c>
    </row>
    <row r="204" spans="1:14" ht="14.4" customHeight="1" x14ac:dyDescent="0.3">
      <c r="A204" s="712" t="s">
        <v>591</v>
      </c>
      <c r="B204" s="713" t="s">
        <v>592</v>
      </c>
      <c r="C204" s="714" t="s">
        <v>604</v>
      </c>
      <c r="D204" s="715" t="s">
        <v>1363</v>
      </c>
      <c r="E204" s="714" t="s">
        <v>607</v>
      </c>
      <c r="F204" s="715" t="s">
        <v>1364</v>
      </c>
      <c r="G204" s="714" t="s">
        <v>627</v>
      </c>
      <c r="H204" s="714" t="s">
        <v>1238</v>
      </c>
      <c r="I204" s="714" t="s">
        <v>1239</v>
      </c>
      <c r="J204" s="714" t="s">
        <v>1240</v>
      </c>
      <c r="K204" s="714" t="s">
        <v>1241</v>
      </c>
      <c r="L204" s="716">
        <v>142.35000000000002</v>
      </c>
      <c r="M204" s="716">
        <v>2</v>
      </c>
      <c r="N204" s="717">
        <v>284.70000000000005</v>
      </c>
    </row>
    <row r="205" spans="1:14" ht="14.4" customHeight="1" x14ac:dyDescent="0.3">
      <c r="A205" s="712" t="s">
        <v>591</v>
      </c>
      <c r="B205" s="713" t="s">
        <v>592</v>
      </c>
      <c r="C205" s="714" t="s">
        <v>604</v>
      </c>
      <c r="D205" s="715" t="s">
        <v>1363</v>
      </c>
      <c r="E205" s="714" t="s">
        <v>607</v>
      </c>
      <c r="F205" s="715" t="s">
        <v>1364</v>
      </c>
      <c r="G205" s="714" t="s">
        <v>627</v>
      </c>
      <c r="H205" s="714" t="s">
        <v>1242</v>
      </c>
      <c r="I205" s="714" t="s">
        <v>1243</v>
      </c>
      <c r="J205" s="714" t="s">
        <v>1244</v>
      </c>
      <c r="K205" s="714" t="s">
        <v>1245</v>
      </c>
      <c r="L205" s="716">
        <v>33.679999999999993</v>
      </c>
      <c r="M205" s="716">
        <v>6</v>
      </c>
      <c r="N205" s="717">
        <v>202.07999999999996</v>
      </c>
    </row>
    <row r="206" spans="1:14" ht="14.4" customHeight="1" x14ac:dyDescent="0.3">
      <c r="A206" s="712" t="s">
        <v>591</v>
      </c>
      <c r="B206" s="713" t="s">
        <v>592</v>
      </c>
      <c r="C206" s="714" t="s">
        <v>604</v>
      </c>
      <c r="D206" s="715" t="s">
        <v>1363</v>
      </c>
      <c r="E206" s="714" t="s">
        <v>607</v>
      </c>
      <c r="F206" s="715" t="s">
        <v>1364</v>
      </c>
      <c r="G206" s="714" t="s">
        <v>627</v>
      </c>
      <c r="H206" s="714" t="s">
        <v>1246</v>
      </c>
      <c r="I206" s="714" t="s">
        <v>1247</v>
      </c>
      <c r="J206" s="714" t="s">
        <v>1248</v>
      </c>
      <c r="K206" s="714" t="s">
        <v>1249</v>
      </c>
      <c r="L206" s="716">
        <v>975.59999999999991</v>
      </c>
      <c r="M206" s="716">
        <v>1</v>
      </c>
      <c r="N206" s="717">
        <v>975.59999999999991</v>
      </c>
    </row>
    <row r="207" spans="1:14" ht="14.4" customHeight="1" x14ac:dyDescent="0.3">
      <c r="A207" s="712" t="s">
        <v>591</v>
      </c>
      <c r="B207" s="713" t="s">
        <v>592</v>
      </c>
      <c r="C207" s="714" t="s">
        <v>604</v>
      </c>
      <c r="D207" s="715" t="s">
        <v>1363</v>
      </c>
      <c r="E207" s="714" t="s">
        <v>607</v>
      </c>
      <c r="F207" s="715" t="s">
        <v>1364</v>
      </c>
      <c r="G207" s="714" t="s">
        <v>627</v>
      </c>
      <c r="H207" s="714" t="s">
        <v>1250</v>
      </c>
      <c r="I207" s="714" t="s">
        <v>1251</v>
      </c>
      <c r="J207" s="714" t="s">
        <v>1252</v>
      </c>
      <c r="K207" s="714" t="s">
        <v>1253</v>
      </c>
      <c r="L207" s="716">
        <v>26.769999999999985</v>
      </c>
      <c r="M207" s="716">
        <v>1</v>
      </c>
      <c r="N207" s="717">
        <v>26.769999999999985</v>
      </c>
    </row>
    <row r="208" spans="1:14" ht="14.4" customHeight="1" x14ac:dyDescent="0.3">
      <c r="A208" s="712" t="s">
        <v>591</v>
      </c>
      <c r="B208" s="713" t="s">
        <v>592</v>
      </c>
      <c r="C208" s="714" t="s">
        <v>604</v>
      </c>
      <c r="D208" s="715" t="s">
        <v>1363</v>
      </c>
      <c r="E208" s="714" t="s">
        <v>607</v>
      </c>
      <c r="F208" s="715" t="s">
        <v>1364</v>
      </c>
      <c r="G208" s="714" t="s">
        <v>627</v>
      </c>
      <c r="H208" s="714" t="s">
        <v>1254</v>
      </c>
      <c r="I208" s="714" t="s">
        <v>1255</v>
      </c>
      <c r="J208" s="714" t="s">
        <v>1256</v>
      </c>
      <c r="K208" s="714" t="s">
        <v>1257</v>
      </c>
      <c r="L208" s="716">
        <v>216.83999999999995</v>
      </c>
      <c r="M208" s="716">
        <v>1</v>
      </c>
      <c r="N208" s="717">
        <v>216.83999999999995</v>
      </c>
    </row>
    <row r="209" spans="1:14" ht="14.4" customHeight="1" x14ac:dyDescent="0.3">
      <c r="A209" s="712" t="s">
        <v>591</v>
      </c>
      <c r="B209" s="713" t="s">
        <v>592</v>
      </c>
      <c r="C209" s="714" t="s">
        <v>604</v>
      </c>
      <c r="D209" s="715" t="s">
        <v>1363</v>
      </c>
      <c r="E209" s="714" t="s">
        <v>607</v>
      </c>
      <c r="F209" s="715" t="s">
        <v>1364</v>
      </c>
      <c r="G209" s="714" t="s">
        <v>627</v>
      </c>
      <c r="H209" s="714" t="s">
        <v>1258</v>
      </c>
      <c r="I209" s="714" t="s">
        <v>1259</v>
      </c>
      <c r="J209" s="714" t="s">
        <v>1260</v>
      </c>
      <c r="K209" s="714" t="s">
        <v>1261</v>
      </c>
      <c r="L209" s="716">
        <v>78.400074355092045</v>
      </c>
      <c r="M209" s="716">
        <v>1</v>
      </c>
      <c r="N209" s="717">
        <v>78.400074355092045</v>
      </c>
    </row>
    <row r="210" spans="1:14" ht="14.4" customHeight="1" x14ac:dyDescent="0.3">
      <c r="A210" s="712" t="s">
        <v>591</v>
      </c>
      <c r="B210" s="713" t="s">
        <v>592</v>
      </c>
      <c r="C210" s="714" t="s">
        <v>604</v>
      </c>
      <c r="D210" s="715" t="s">
        <v>1363</v>
      </c>
      <c r="E210" s="714" t="s">
        <v>607</v>
      </c>
      <c r="F210" s="715" t="s">
        <v>1364</v>
      </c>
      <c r="G210" s="714" t="s">
        <v>627</v>
      </c>
      <c r="H210" s="714" t="s">
        <v>1262</v>
      </c>
      <c r="I210" s="714" t="s">
        <v>1262</v>
      </c>
      <c r="J210" s="714" t="s">
        <v>1263</v>
      </c>
      <c r="K210" s="714" t="s">
        <v>1264</v>
      </c>
      <c r="L210" s="716">
        <v>62.8</v>
      </c>
      <c r="M210" s="716">
        <v>1</v>
      </c>
      <c r="N210" s="717">
        <v>62.8</v>
      </c>
    </row>
    <row r="211" spans="1:14" ht="14.4" customHeight="1" x14ac:dyDescent="0.3">
      <c r="A211" s="712" t="s">
        <v>591</v>
      </c>
      <c r="B211" s="713" t="s">
        <v>592</v>
      </c>
      <c r="C211" s="714" t="s">
        <v>604</v>
      </c>
      <c r="D211" s="715" t="s">
        <v>1363</v>
      </c>
      <c r="E211" s="714" t="s">
        <v>607</v>
      </c>
      <c r="F211" s="715" t="s">
        <v>1364</v>
      </c>
      <c r="G211" s="714" t="s">
        <v>627</v>
      </c>
      <c r="H211" s="714" t="s">
        <v>1265</v>
      </c>
      <c r="I211" s="714" t="s">
        <v>1265</v>
      </c>
      <c r="J211" s="714" t="s">
        <v>1266</v>
      </c>
      <c r="K211" s="714" t="s">
        <v>1267</v>
      </c>
      <c r="L211" s="716">
        <v>417.99979399784638</v>
      </c>
      <c r="M211" s="716">
        <v>1</v>
      </c>
      <c r="N211" s="717">
        <v>417.99979399784638</v>
      </c>
    </row>
    <row r="212" spans="1:14" ht="14.4" customHeight="1" x14ac:dyDescent="0.3">
      <c r="A212" s="712" t="s">
        <v>591</v>
      </c>
      <c r="B212" s="713" t="s">
        <v>592</v>
      </c>
      <c r="C212" s="714" t="s">
        <v>604</v>
      </c>
      <c r="D212" s="715" t="s">
        <v>1363</v>
      </c>
      <c r="E212" s="714" t="s">
        <v>607</v>
      </c>
      <c r="F212" s="715" t="s">
        <v>1364</v>
      </c>
      <c r="G212" s="714" t="s">
        <v>627</v>
      </c>
      <c r="H212" s="714" t="s">
        <v>1268</v>
      </c>
      <c r="I212" s="714" t="s">
        <v>1268</v>
      </c>
      <c r="J212" s="714" t="s">
        <v>1269</v>
      </c>
      <c r="K212" s="714" t="s">
        <v>1270</v>
      </c>
      <c r="L212" s="716">
        <v>60.17</v>
      </c>
      <c r="M212" s="716">
        <v>1</v>
      </c>
      <c r="N212" s="717">
        <v>60.17</v>
      </c>
    </row>
    <row r="213" spans="1:14" ht="14.4" customHeight="1" x14ac:dyDescent="0.3">
      <c r="A213" s="712" t="s">
        <v>591</v>
      </c>
      <c r="B213" s="713" t="s">
        <v>592</v>
      </c>
      <c r="C213" s="714" t="s">
        <v>604</v>
      </c>
      <c r="D213" s="715" t="s">
        <v>1363</v>
      </c>
      <c r="E213" s="714" t="s">
        <v>607</v>
      </c>
      <c r="F213" s="715" t="s">
        <v>1364</v>
      </c>
      <c r="G213" s="714" t="s">
        <v>627</v>
      </c>
      <c r="H213" s="714" t="s">
        <v>1271</v>
      </c>
      <c r="I213" s="714" t="s">
        <v>1271</v>
      </c>
      <c r="J213" s="714" t="s">
        <v>748</v>
      </c>
      <c r="K213" s="714" t="s">
        <v>1272</v>
      </c>
      <c r="L213" s="716">
        <v>131.10999999999999</v>
      </c>
      <c r="M213" s="716">
        <v>1</v>
      </c>
      <c r="N213" s="717">
        <v>131.10999999999999</v>
      </c>
    </row>
    <row r="214" spans="1:14" ht="14.4" customHeight="1" x14ac:dyDescent="0.3">
      <c r="A214" s="712" t="s">
        <v>591</v>
      </c>
      <c r="B214" s="713" t="s">
        <v>592</v>
      </c>
      <c r="C214" s="714" t="s">
        <v>604</v>
      </c>
      <c r="D214" s="715" t="s">
        <v>1363</v>
      </c>
      <c r="E214" s="714" t="s">
        <v>607</v>
      </c>
      <c r="F214" s="715" t="s">
        <v>1364</v>
      </c>
      <c r="G214" s="714" t="s">
        <v>627</v>
      </c>
      <c r="H214" s="714" t="s">
        <v>1273</v>
      </c>
      <c r="I214" s="714" t="s">
        <v>1273</v>
      </c>
      <c r="J214" s="714" t="s">
        <v>1274</v>
      </c>
      <c r="K214" s="714" t="s">
        <v>1275</v>
      </c>
      <c r="L214" s="716">
        <v>57.620000000000019</v>
      </c>
      <c r="M214" s="716">
        <v>1</v>
      </c>
      <c r="N214" s="717">
        <v>57.620000000000019</v>
      </c>
    </row>
    <row r="215" spans="1:14" ht="14.4" customHeight="1" x14ac:dyDescent="0.3">
      <c r="A215" s="712" t="s">
        <v>591</v>
      </c>
      <c r="B215" s="713" t="s">
        <v>592</v>
      </c>
      <c r="C215" s="714" t="s">
        <v>604</v>
      </c>
      <c r="D215" s="715" t="s">
        <v>1363</v>
      </c>
      <c r="E215" s="714" t="s">
        <v>607</v>
      </c>
      <c r="F215" s="715" t="s">
        <v>1364</v>
      </c>
      <c r="G215" s="714" t="s">
        <v>627</v>
      </c>
      <c r="H215" s="714" t="s">
        <v>1276</v>
      </c>
      <c r="I215" s="714" t="s">
        <v>1276</v>
      </c>
      <c r="J215" s="714" t="s">
        <v>1277</v>
      </c>
      <c r="K215" s="714" t="s">
        <v>883</v>
      </c>
      <c r="L215" s="716">
        <v>231.72</v>
      </c>
      <c r="M215" s="716">
        <v>1</v>
      </c>
      <c r="N215" s="717">
        <v>231.72</v>
      </c>
    </row>
    <row r="216" spans="1:14" ht="14.4" customHeight="1" x14ac:dyDescent="0.3">
      <c r="A216" s="712" t="s">
        <v>591</v>
      </c>
      <c r="B216" s="713" t="s">
        <v>592</v>
      </c>
      <c r="C216" s="714" t="s">
        <v>604</v>
      </c>
      <c r="D216" s="715" t="s">
        <v>1363</v>
      </c>
      <c r="E216" s="714" t="s">
        <v>607</v>
      </c>
      <c r="F216" s="715" t="s">
        <v>1364</v>
      </c>
      <c r="G216" s="714" t="s">
        <v>627</v>
      </c>
      <c r="H216" s="714" t="s">
        <v>1278</v>
      </c>
      <c r="I216" s="714" t="s">
        <v>1279</v>
      </c>
      <c r="J216" s="714" t="s">
        <v>1280</v>
      </c>
      <c r="K216" s="714" t="s">
        <v>1281</v>
      </c>
      <c r="L216" s="716">
        <v>33.700000000000017</v>
      </c>
      <c r="M216" s="716">
        <v>1</v>
      </c>
      <c r="N216" s="717">
        <v>33.700000000000017</v>
      </c>
    </row>
    <row r="217" spans="1:14" ht="14.4" customHeight="1" x14ac:dyDescent="0.3">
      <c r="A217" s="712" t="s">
        <v>591</v>
      </c>
      <c r="B217" s="713" t="s">
        <v>592</v>
      </c>
      <c r="C217" s="714" t="s">
        <v>604</v>
      </c>
      <c r="D217" s="715" t="s">
        <v>1363</v>
      </c>
      <c r="E217" s="714" t="s">
        <v>607</v>
      </c>
      <c r="F217" s="715" t="s">
        <v>1364</v>
      </c>
      <c r="G217" s="714" t="s">
        <v>627</v>
      </c>
      <c r="H217" s="714" t="s">
        <v>1282</v>
      </c>
      <c r="I217" s="714" t="s">
        <v>1282</v>
      </c>
      <c r="J217" s="714" t="s">
        <v>1274</v>
      </c>
      <c r="K217" s="714" t="s">
        <v>1283</v>
      </c>
      <c r="L217" s="716">
        <v>25.99000000000002</v>
      </c>
      <c r="M217" s="716">
        <v>1</v>
      </c>
      <c r="N217" s="717">
        <v>25.99000000000002</v>
      </c>
    </row>
    <row r="218" spans="1:14" ht="14.4" customHeight="1" x14ac:dyDescent="0.3">
      <c r="A218" s="712" t="s">
        <v>591</v>
      </c>
      <c r="B218" s="713" t="s">
        <v>592</v>
      </c>
      <c r="C218" s="714" t="s">
        <v>604</v>
      </c>
      <c r="D218" s="715" t="s">
        <v>1363</v>
      </c>
      <c r="E218" s="714" t="s">
        <v>607</v>
      </c>
      <c r="F218" s="715" t="s">
        <v>1364</v>
      </c>
      <c r="G218" s="714" t="s">
        <v>627</v>
      </c>
      <c r="H218" s="714" t="s">
        <v>1284</v>
      </c>
      <c r="I218" s="714" t="s">
        <v>800</v>
      </c>
      <c r="J218" s="714" t="s">
        <v>1285</v>
      </c>
      <c r="K218" s="714"/>
      <c r="L218" s="716">
        <v>123.71999999999997</v>
      </c>
      <c r="M218" s="716">
        <v>2</v>
      </c>
      <c r="N218" s="717">
        <v>247.43999999999994</v>
      </c>
    </row>
    <row r="219" spans="1:14" ht="14.4" customHeight="1" x14ac:dyDescent="0.3">
      <c r="A219" s="712" t="s">
        <v>591</v>
      </c>
      <c r="B219" s="713" t="s">
        <v>592</v>
      </c>
      <c r="C219" s="714" t="s">
        <v>604</v>
      </c>
      <c r="D219" s="715" t="s">
        <v>1363</v>
      </c>
      <c r="E219" s="714" t="s">
        <v>607</v>
      </c>
      <c r="F219" s="715" t="s">
        <v>1364</v>
      </c>
      <c r="G219" s="714" t="s">
        <v>627</v>
      </c>
      <c r="H219" s="714" t="s">
        <v>1286</v>
      </c>
      <c r="I219" s="714" t="s">
        <v>1286</v>
      </c>
      <c r="J219" s="714" t="s">
        <v>1287</v>
      </c>
      <c r="K219" s="714" t="s">
        <v>1288</v>
      </c>
      <c r="L219" s="716">
        <v>169.79</v>
      </c>
      <c r="M219" s="716">
        <v>1</v>
      </c>
      <c r="N219" s="717">
        <v>169.79</v>
      </c>
    </row>
    <row r="220" spans="1:14" ht="14.4" customHeight="1" x14ac:dyDescent="0.3">
      <c r="A220" s="712" t="s">
        <v>591</v>
      </c>
      <c r="B220" s="713" t="s">
        <v>592</v>
      </c>
      <c r="C220" s="714" t="s">
        <v>604</v>
      </c>
      <c r="D220" s="715" t="s">
        <v>1363</v>
      </c>
      <c r="E220" s="714" t="s">
        <v>607</v>
      </c>
      <c r="F220" s="715" t="s">
        <v>1364</v>
      </c>
      <c r="G220" s="714" t="s">
        <v>627</v>
      </c>
      <c r="H220" s="714" t="s">
        <v>903</v>
      </c>
      <c r="I220" s="714" t="s">
        <v>903</v>
      </c>
      <c r="J220" s="714" t="s">
        <v>904</v>
      </c>
      <c r="K220" s="714" t="s">
        <v>905</v>
      </c>
      <c r="L220" s="716">
        <v>100.59973458223757</v>
      </c>
      <c r="M220" s="716">
        <v>4</v>
      </c>
      <c r="N220" s="717">
        <v>402.39893832895029</v>
      </c>
    </row>
    <row r="221" spans="1:14" ht="14.4" customHeight="1" x14ac:dyDescent="0.3">
      <c r="A221" s="712" t="s">
        <v>591</v>
      </c>
      <c r="B221" s="713" t="s">
        <v>592</v>
      </c>
      <c r="C221" s="714" t="s">
        <v>604</v>
      </c>
      <c r="D221" s="715" t="s">
        <v>1363</v>
      </c>
      <c r="E221" s="714" t="s">
        <v>607</v>
      </c>
      <c r="F221" s="715" t="s">
        <v>1364</v>
      </c>
      <c r="G221" s="714" t="s">
        <v>627</v>
      </c>
      <c r="H221" s="714" t="s">
        <v>1289</v>
      </c>
      <c r="I221" s="714" t="s">
        <v>1289</v>
      </c>
      <c r="J221" s="714" t="s">
        <v>907</v>
      </c>
      <c r="K221" s="714" t="s">
        <v>1290</v>
      </c>
      <c r="L221" s="716">
        <v>72.879947987439365</v>
      </c>
      <c r="M221" s="716">
        <v>3</v>
      </c>
      <c r="N221" s="717">
        <v>218.63984396231808</v>
      </c>
    </row>
    <row r="222" spans="1:14" ht="14.4" customHeight="1" x14ac:dyDescent="0.3">
      <c r="A222" s="712" t="s">
        <v>591</v>
      </c>
      <c r="B222" s="713" t="s">
        <v>592</v>
      </c>
      <c r="C222" s="714" t="s">
        <v>604</v>
      </c>
      <c r="D222" s="715" t="s">
        <v>1363</v>
      </c>
      <c r="E222" s="714" t="s">
        <v>607</v>
      </c>
      <c r="F222" s="715" t="s">
        <v>1364</v>
      </c>
      <c r="G222" s="714" t="s">
        <v>627</v>
      </c>
      <c r="H222" s="714" t="s">
        <v>906</v>
      </c>
      <c r="I222" s="714" t="s">
        <v>906</v>
      </c>
      <c r="J222" s="714" t="s">
        <v>907</v>
      </c>
      <c r="K222" s="714" t="s">
        <v>908</v>
      </c>
      <c r="L222" s="716">
        <v>28.600000000000009</v>
      </c>
      <c r="M222" s="716">
        <v>2</v>
      </c>
      <c r="N222" s="717">
        <v>57.200000000000017</v>
      </c>
    </row>
    <row r="223" spans="1:14" ht="14.4" customHeight="1" x14ac:dyDescent="0.3">
      <c r="A223" s="712" t="s">
        <v>591</v>
      </c>
      <c r="B223" s="713" t="s">
        <v>592</v>
      </c>
      <c r="C223" s="714" t="s">
        <v>604</v>
      </c>
      <c r="D223" s="715" t="s">
        <v>1363</v>
      </c>
      <c r="E223" s="714" t="s">
        <v>607</v>
      </c>
      <c r="F223" s="715" t="s">
        <v>1364</v>
      </c>
      <c r="G223" s="714" t="s">
        <v>627</v>
      </c>
      <c r="H223" s="714" t="s">
        <v>909</v>
      </c>
      <c r="I223" s="714" t="s">
        <v>909</v>
      </c>
      <c r="J223" s="714" t="s">
        <v>910</v>
      </c>
      <c r="K223" s="714" t="s">
        <v>911</v>
      </c>
      <c r="L223" s="716">
        <v>26.950000000000006</v>
      </c>
      <c r="M223" s="716">
        <v>4</v>
      </c>
      <c r="N223" s="717">
        <v>107.80000000000003</v>
      </c>
    </row>
    <row r="224" spans="1:14" ht="14.4" customHeight="1" x14ac:dyDescent="0.3">
      <c r="A224" s="712" t="s">
        <v>591</v>
      </c>
      <c r="B224" s="713" t="s">
        <v>592</v>
      </c>
      <c r="C224" s="714" t="s">
        <v>604</v>
      </c>
      <c r="D224" s="715" t="s">
        <v>1363</v>
      </c>
      <c r="E224" s="714" t="s">
        <v>607</v>
      </c>
      <c r="F224" s="715" t="s">
        <v>1364</v>
      </c>
      <c r="G224" s="714" t="s">
        <v>627</v>
      </c>
      <c r="H224" s="714" t="s">
        <v>1291</v>
      </c>
      <c r="I224" s="714" t="s">
        <v>1291</v>
      </c>
      <c r="J224" s="714" t="s">
        <v>756</v>
      </c>
      <c r="K224" s="714" t="s">
        <v>1292</v>
      </c>
      <c r="L224" s="716">
        <v>158.47999999999996</v>
      </c>
      <c r="M224" s="716">
        <v>2</v>
      </c>
      <c r="N224" s="717">
        <v>316.95999999999992</v>
      </c>
    </row>
    <row r="225" spans="1:14" ht="14.4" customHeight="1" x14ac:dyDescent="0.3">
      <c r="A225" s="712" t="s">
        <v>591</v>
      </c>
      <c r="B225" s="713" t="s">
        <v>592</v>
      </c>
      <c r="C225" s="714" t="s">
        <v>604</v>
      </c>
      <c r="D225" s="715" t="s">
        <v>1363</v>
      </c>
      <c r="E225" s="714" t="s">
        <v>607</v>
      </c>
      <c r="F225" s="715" t="s">
        <v>1364</v>
      </c>
      <c r="G225" s="714" t="s">
        <v>627</v>
      </c>
      <c r="H225" s="714" t="s">
        <v>1293</v>
      </c>
      <c r="I225" s="714" t="s">
        <v>1293</v>
      </c>
      <c r="J225" s="714" t="s">
        <v>1294</v>
      </c>
      <c r="K225" s="714" t="s">
        <v>1295</v>
      </c>
      <c r="L225" s="716">
        <v>309.45999999999998</v>
      </c>
      <c r="M225" s="716">
        <v>1</v>
      </c>
      <c r="N225" s="717">
        <v>309.45999999999998</v>
      </c>
    </row>
    <row r="226" spans="1:14" ht="14.4" customHeight="1" x14ac:dyDescent="0.3">
      <c r="A226" s="712" t="s">
        <v>591</v>
      </c>
      <c r="B226" s="713" t="s">
        <v>592</v>
      </c>
      <c r="C226" s="714" t="s">
        <v>604</v>
      </c>
      <c r="D226" s="715" t="s">
        <v>1363</v>
      </c>
      <c r="E226" s="714" t="s">
        <v>607</v>
      </c>
      <c r="F226" s="715" t="s">
        <v>1364</v>
      </c>
      <c r="G226" s="714" t="s">
        <v>627</v>
      </c>
      <c r="H226" s="714" t="s">
        <v>1296</v>
      </c>
      <c r="I226" s="714" t="s">
        <v>1296</v>
      </c>
      <c r="J226" s="714" t="s">
        <v>1297</v>
      </c>
      <c r="K226" s="714" t="s">
        <v>1298</v>
      </c>
      <c r="L226" s="716">
        <v>71.290000000000006</v>
      </c>
      <c r="M226" s="716">
        <v>4</v>
      </c>
      <c r="N226" s="717">
        <v>285.16000000000003</v>
      </c>
    </row>
    <row r="227" spans="1:14" ht="14.4" customHeight="1" x14ac:dyDescent="0.3">
      <c r="A227" s="712" t="s">
        <v>591</v>
      </c>
      <c r="B227" s="713" t="s">
        <v>592</v>
      </c>
      <c r="C227" s="714" t="s">
        <v>604</v>
      </c>
      <c r="D227" s="715" t="s">
        <v>1363</v>
      </c>
      <c r="E227" s="714" t="s">
        <v>607</v>
      </c>
      <c r="F227" s="715" t="s">
        <v>1364</v>
      </c>
      <c r="G227" s="714" t="s">
        <v>627</v>
      </c>
      <c r="H227" s="714" t="s">
        <v>1299</v>
      </c>
      <c r="I227" s="714" t="s">
        <v>1299</v>
      </c>
      <c r="J227" s="714" t="s">
        <v>1300</v>
      </c>
      <c r="K227" s="714" t="s">
        <v>1301</v>
      </c>
      <c r="L227" s="716">
        <v>19.25</v>
      </c>
      <c r="M227" s="716">
        <v>10</v>
      </c>
      <c r="N227" s="717">
        <v>192.5</v>
      </c>
    </row>
    <row r="228" spans="1:14" ht="14.4" customHeight="1" x14ac:dyDescent="0.3">
      <c r="A228" s="712" t="s">
        <v>591</v>
      </c>
      <c r="B228" s="713" t="s">
        <v>592</v>
      </c>
      <c r="C228" s="714" t="s">
        <v>604</v>
      </c>
      <c r="D228" s="715" t="s">
        <v>1363</v>
      </c>
      <c r="E228" s="714" t="s">
        <v>607</v>
      </c>
      <c r="F228" s="715" t="s">
        <v>1364</v>
      </c>
      <c r="G228" s="714" t="s">
        <v>912</v>
      </c>
      <c r="H228" s="714" t="s">
        <v>1302</v>
      </c>
      <c r="I228" s="714" t="s">
        <v>1303</v>
      </c>
      <c r="J228" s="714" t="s">
        <v>1304</v>
      </c>
      <c r="K228" s="714" t="s">
        <v>1305</v>
      </c>
      <c r="L228" s="716">
        <v>45.19</v>
      </c>
      <c r="M228" s="716">
        <v>2</v>
      </c>
      <c r="N228" s="717">
        <v>90.38</v>
      </c>
    </row>
    <row r="229" spans="1:14" ht="14.4" customHeight="1" x14ac:dyDescent="0.3">
      <c r="A229" s="712" t="s">
        <v>591</v>
      </c>
      <c r="B229" s="713" t="s">
        <v>592</v>
      </c>
      <c r="C229" s="714" t="s">
        <v>604</v>
      </c>
      <c r="D229" s="715" t="s">
        <v>1363</v>
      </c>
      <c r="E229" s="714" t="s">
        <v>607</v>
      </c>
      <c r="F229" s="715" t="s">
        <v>1364</v>
      </c>
      <c r="G229" s="714" t="s">
        <v>912</v>
      </c>
      <c r="H229" s="714" t="s">
        <v>924</v>
      </c>
      <c r="I229" s="714" t="s">
        <v>925</v>
      </c>
      <c r="J229" s="714" t="s">
        <v>926</v>
      </c>
      <c r="K229" s="714" t="s">
        <v>927</v>
      </c>
      <c r="L229" s="716">
        <v>42.579999999999991</v>
      </c>
      <c r="M229" s="716">
        <v>1</v>
      </c>
      <c r="N229" s="717">
        <v>42.579999999999991</v>
      </c>
    </row>
    <row r="230" spans="1:14" ht="14.4" customHeight="1" x14ac:dyDescent="0.3">
      <c r="A230" s="712" t="s">
        <v>591</v>
      </c>
      <c r="B230" s="713" t="s">
        <v>592</v>
      </c>
      <c r="C230" s="714" t="s">
        <v>604</v>
      </c>
      <c r="D230" s="715" t="s">
        <v>1363</v>
      </c>
      <c r="E230" s="714" t="s">
        <v>607</v>
      </c>
      <c r="F230" s="715" t="s">
        <v>1364</v>
      </c>
      <c r="G230" s="714" t="s">
        <v>912</v>
      </c>
      <c r="H230" s="714" t="s">
        <v>1306</v>
      </c>
      <c r="I230" s="714" t="s">
        <v>1307</v>
      </c>
      <c r="J230" s="714" t="s">
        <v>926</v>
      </c>
      <c r="K230" s="714" t="s">
        <v>1308</v>
      </c>
      <c r="L230" s="716">
        <v>149.03</v>
      </c>
      <c r="M230" s="716">
        <v>1</v>
      </c>
      <c r="N230" s="717">
        <v>149.03</v>
      </c>
    </row>
    <row r="231" spans="1:14" ht="14.4" customHeight="1" x14ac:dyDescent="0.3">
      <c r="A231" s="712" t="s">
        <v>591</v>
      </c>
      <c r="B231" s="713" t="s">
        <v>592</v>
      </c>
      <c r="C231" s="714" t="s">
        <v>604</v>
      </c>
      <c r="D231" s="715" t="s">
        <v>1363</v>
      </c>
      <c r="E231" s="714" t="s">
        <v>607</v>
      </c>
      <c r="F231" s="715" t="s">
        <v>1364</v>
      </c>
      <c r="G231" s="714" t="s">
        <v>912</v>
      </c>
      <c r="H231" s="714" t="s">
        <v>928</v>
      </c>
      <c r="I231" s="714" t="s">
        <v>929</v>
      </c>
      <c r="J231" s="714" t="s">
        <v>930</v>
      </c>
      <c r="K231" s="714" t="s">
        <v>931</v>
      </c>
      <c r="L231" s="716">
        <v>44.59</v>
      </c>
      <c r="M231" s="716">
        <v>5</v>
      </c>
      <c r="N231" s="717">
        <v>222.95000000000002</v>
      </c>
    </row>
    <row r="232" spans="1:14" ht="14.4" customHeight="1" x14ac:dyDescent="0.3">
      <c r="A232" s="712" t="s">
        <v>591</v>
      </c>
      <c r="B232" s="713" t="s">
        <v>592</v>
      </c>
      <c r="C232" s="714" t="s">
        <v>604</v>
      </c>
      <c r="D232" s="715" t="s">
        <v>1363</v>
      </c>
      <c r="E232" s="714" t="s">
        <v>607</v>
      </c>
      <c r="F232" s="715" t="s">
        <v>1364</v>
      </c>
      <c r="G232" s="714" t="s">
        <v>912</v>
      </c>
      <c r="H232" s="714" t="s">
        <v>1309</v>
      </c>
      <c r="I232" s="714" t="s">
        <v>1310</v>
      </c>
      <c r="J232" s="714" t="s">
        <v>934</v>
      </c>
      <c r="K232" s="714" t="s">
        <v>1311</v>
      </c>
      <c r="L232" s="716">
        <v>29.27</v>
      </c>
      <c r="M232" s="716">
        <v>1</v>
      </c>
      <c r="N232" s="717">
        <v>29.27</v>
      </c>
    </row>
    <row r="233" spans="1:14" ht="14.4" customHeight="1" x14ac:dyDescent="0.3">
      <c r="A233" s="712" t="s">
        <v>591</v>
      </c>
      <c r="B233" s="713" t="s">
        <v>592</v>
      </c>
      <c r="C233" s="714" t="s">
        <v>604</v>
      </c>
      <c r="D233" s="715" t="s">
        <v>1363</v>
      </c>
      <c r="E233" s="714" t="s">
        <v>607</v>
      </c>
      <c r="F233" s="715" t="s">
        <v>1364</v>
      </c>
      <c r="G233" s="714" t="s">
        <v>912</v>
      </c>
      <c r="H233" s="714" t="s">
        <v>1312</v>
      </c>
      <c r="I233" s="714" t="s">
        <v>1312</v>
      </c>
      <c r="J233" s="714" t="s">
        <v>1313</v>
      </c>
      <c r="K233" s="714" t="s">
        <v>1314</v>
      </c>
      <c r="L233" s="716">
        <v>66.399999999999991</v>
      </c>
      <c r="M233" s="716">
        <v>1</v>
      </c>
      <c r="N233" s="717">
        <v>66.399999999999991</v>
      </c>
    </row>
    <row r="234" spans="1:14" ht="14.4" customHeight="1" x14ac:dyDescent="0.3">
      <c r="A234" s="712" t="s">
        <v>591</v>
      </c>
      <c r="B234" s="713" t="s">
        <v>592</v>
      </c>
      <c r="C234" s="714" t="s">
        <v>604</v>
      </c>
      <c r="D234" s="715" t="s">
        <v>1363</v>
      </c>
      <c r="E234" s="714" t="s">
        <v>607</v>
      </c>
      <c r="F234" s="715" t="s">
        <v>1364</v>
      </c>
      <c r="G234" s="714" t="s">
        <v>912</v>
      </c>
      <c r="H234" s="714" t="s">
        <v>1315</v>
      </c>
      <c r="I234" s="714" t="s">
        <v>1316</v>
      </c>
      <c r="J234" s="714" t="s">
        <v>1304</v>
      </c>
      <c r="K234" s="714" t="s">
        <v>1317</v>
      </c>
      <c r="L234" s="716">
        <v>129.32999999999998</v>
      </c>
      <c r="M234" s="716">
        <v>1</v>
      </c>
      <c r="N234" s="717">
        <v>129.32999999999998</v>
      </c>
    </row>
    <row r="235" spans="1:14" ht="14.4" customHeight="1" x14ac:dyDescent="0.3">
      <c r="A235" s="712" t="s">
        <v>591</v>
      </c>
      <c r="B235" s="713" t="s">
        <v>592</v>
      </c>
      <c r="C235" s="714" t="s">
        <v>604</v>
      </c>
      <c r="D235" s="715" t="s">
        <v>1363</v>
      </c>
      <c r="E235" s="714" t="s">
        <v>607</v>
      </c>
      <c r="F235" s="715" t="s">
        <v>1364</v>
      </c>
      <c r="G235" s="714" t="s">
        <v>912</v>
      </c>
      <c r="H235" s="714" t="s">
        <v>1318</v>
      </c>
      <c r="I235" s="714" t="s">
        <v>1319</v>
      </c>
      <c r="J235" s="714" t="s">
        <v>1320</v>
      </c>
      <c r="K235" s="714" t="s">
        <v>883</v>
      </c>
      <c r="L235" s="716">
        <v>182.93000000000006</v>
      </c>
      <c r="M235" s="716">
        <v>1</v>
      </c>
      <c r="N235" s="717">
        <v>182.93000000000006</v>
      </c>
    </row>
    <row r="236" spans="1:14" ht="14.4" customHeight="1" x14ac:dyDescent="0.3">
      <c r="A236" s="712" t="s">
        <v>591</v>
      </c>
      <c r="B236" s="713" t="s">
        <v>592</v>
      </c>
      <c r="C236" s="714" t="s">
        <v>604</v>
      </c>
      <c r="D236" s="715" t="s">
        <v>1363</v>
      </c>
      <c r="E236" s="714" t="s">
        <v>607</v>
      </c>
      <c r="F236" s="715" t="s">
        <v>1364</v>
      </c>
      <c r="G236" s="714" t="s">
        <v>912</v>
      </c>
      <c r="H236" s="714" t="s">
        <v>1321</v>
      </c>
      <c r="I236" s="714" t="s">
        <v>1322</v>
      </c>
      <c r="J236" s="714" t="s">
        <v>1323</v>
      </c>
      <c r="K236" s="714" t="s">
        <v>1324</v>
      </c>
      <c r="L236" s="716">
        <v>48.400045902888444</v>
      </c>
      <c r="M236" s="716">
        <v>3</v>
      </c>
      <c r="N236" s="717">
        <v>145.20013770866532</v>
      </c>
    </row>
    <row r="237" spans="1:14" ht="14.4" customHeight="1" x14ac:dyDescent="0.3">
      <c r="A237" s="712" t="s">
        <v>591</v>
      </c>
      <c r="B237" s="713" t="s">
        <v>592</v>
      </c>
      <c r="C237" s="714" t="s">
        <v>604</v>
      </c>
      <c r="D237" s="715" t="s">
        <v>1363</v>
      </c>
      <c r="E237" s="714" t="s">
        <v>607</v>
      </c>
      <c r="F237" s="715" t="s">
        <v>1364</v>
      </c>
      <c r="G237" s="714" t="s">
        <v>912</v>
      </c>
      <c r="H237" s="714" t="s">
        <v>1325</v>
      </c>
      <c r="I237" s="714" t="s">
        <v>1326</v>
      </c>
      <c r="J237" s="714" t="s">
        <v>1327</v>
      </c>
      <c r="K237" s="714" t="s">
        <v>1328</v>
      </c>
      <c r="L237" s="716">
        <v>409.59000000000009</v>
      </c>
      <c r="M237" s="716">
        <v>1</v>
      </c>
      <c r="N237" s="717">
        <v>409.59000000000009</v>
      </c>
    </row>
    <row r="238" spans="1:14" ht="14.4" customHeight="1" x14ac:dyDescent="0.3">
      <c r="A238" s="712" t="s">
        <v>591</v>
      </c>
      <c r="B238" s="713" t="s">
        <v>592</v>
      </c>
      <c r="C238" s="714" t="s">
        <v>604</v>
      </c>
      <c r="D238" s="715" t="s">
        <v>1363</v>
      </c>
      <c r="E238" s="714" t="s">
        <v>607</v>
      </c>
      <c r="F238" s="715" t="s">
        <v>1364</v>
      </c>
      <c r="G238" s="714" t="s">
        <v>912</v>
      </c>
      <c r="H238" s="714" t="s">
        <v>951</v>
      </c>
      <c r="I238" s="714" t="s">
        <v>952</v>
      </c>
      <c r="J238" s="714" t="s">
        <v>930</v>
      </c>
      <c r="K238" s="714" t="s">
        <v>953</v>
      </c>
      <c r="L238" s="716">
        <v>56.88000000000001</v>
      </c>
      <c r="M238" s="716">
        <v>5</v>
      </c>
      <c r="N238" s="717">
        <v>284.40000000000003</v>
      </c>
    </row>
    <row r="239" spans="1:14" ht="14.4" customHeight="1" x14ac:dyDescent="0.3">
      <c r="A239" s="712" t="s">
        <v>591</v>
      </c>
      <c r="B239" s="713" t="s">
        <v>592</v>
      </c>
      <c r="C239" s="714" t="s">
        <v>604</v>
      </c>
      <c r="D239" s="715" t="s">
        <v>1363</v>
      </c>
      <c r="E239" s="714" t="s">
        <v>607</v>
      </c>
      <c r="F239" s="715" t="s">
        <v>1364</v>
      </c>
      <c r="G239" s="714" t="s">
        <v>912</v>
      </c>
      <c r="H239" s="714" t="s">
        <v>958</v>
      </c>
      <c r="I239" s="714" t="s">
        <v>959</v>
      </c>
      <c r="J239" s="714" t="s">
        <v>960</v>
      </c>
      <c r="K239" s="714" t="s">
        <v>961</v>
      </c>
      <c r="L239" s="716">
        <v>78.290000000000006</v>
      </c>
      <c r="M239" s="716">
        <v>1</v>
      </c>
      <c r="N239" s="717">
        <v>78.290000000000006</v>
      </c>
    </row>
    <row r="240" spans="1:14" ht="14.4" customHeight="1" x14ac:dyDescent="0.3">
      <c r="A240" s="712" t="s">
        <v>591</v>
      </c>
      <c r="B240" s="713" t="s">
        <v>592</v>
      </c>
      <c r="C240" s="714" t="s">
        <v>604</v>
      </c>
      <c r="D240" s="715" t="s">
        <v>1363</v>
      </c>
      <c r="E240" s="714" t="s">
        <v>607</v>
      </c>
      <c r="F240" s="715" t="s">
        <v>1364</v>
      </c>
      <c r="G240" s="714" t="s">
        <v>912</v>
      </c>
      <c r="H240" s="714" t="s">
        <v>962</v>
      </c>
      <c r="I240" s="714" t="s">
        <v>963</v>
      </c>
      <c r="J240" s="714" t="s">
        <v>964</v>
      </c>
      <c r="K240" s="714" t="s">
        <v>965</v>
      </c>
      <c r="L240" s="716">
        <v>325.15999999999991</v>
      </c>
      <c r="M240" s="716">
        <v>32</v>
      </c>
      <c r="N240" s="717">
        <v>10405.119999999997</v>
      </c>
    </row>
    <row r="241" spans="1:14" ht="14.4" customHeight="1" x14ac:dyDescent="0.3">
      <c r="A241" s="712" t="s">
        <v>591</v>
      </c>
      <c r="B241" s="713" t="s">
        <v>592</v>
      </c>
      <c r="C241" s="714" t="s">
        <v>604</v>
      </c>
      <c r="D241" s="715" t="s">
        <v>1363</v>
      </c>
      <c r="E241" s="714" t="s">
        <v>607</v>
      </c>
      <c r="F241" s="715" t="s">
        <v>1364</v>
      </c>
      <c r="G241" s="714" t="s">
        <v>912</v>
      </c>
      <c r="H241" s="714" t="s">
        <v>1329</v>
      </c>
      <c r="I241" s="714" t="s">
        <v>1330</v>
      </c>
      <c r="J241" s="714" t="s">
        <v>1331</v>
      </c>
      <c r="K241" s="714" t="s">
        <v>1332</v>
      </c>
      <c r="L241" s="716">
        <v>94.929999999999993</v>
      </c>
      <c r="M241" s="716">
        <v>1</v>
      </c>
      <c r="N241" s="717">
        <v>94.929999999999993</v>
      </c>
    </row>
    <row r="242" spans="1:14" ht="14.4" customHeight="1" x14ac:dyDescent="0.3">
      <c r="A242" s="712" t="s">
        <v>591</v>
      </c>
      <c r="B242" s="713" t="s">
        <v>592</v>
      </c>
      <c r="C242" s="714" t="s">
        <v>604</v>
      </c>
      <c r="D242" s="715" t="s">
        <v>1363</v>
      </c>
      <c r="E242" s="714" t="s">
        <v>607</v>
      </c>
      <c r="F242" s="715" t="s">
        <v>1364</v>
      </c>
      <c r="G242" s="714" t="s">
        <v>912</v>
      </c>
      <c r="H242" s="714" t="s">
        <v>1333</v>
      </c>
      <c r="I242" s="714" t="s">
        <v>1333</v>
      </c>
      <c r="J242" s="714" t="s">
        <v>1334</v>
      </c>
      <c r="K242" s="714" t="s">
        <v>1335</v>
      </c>
      <c r="L242" s="716">
        <v>49.720000000000013</v>
      </c>
      <c r="M242" s="716">
        <v>1</v>
      </c>
      <c r="N242" s="717">
        <v>49.720000000000013</v>
      </c>
    </row>
    <row r="243" spans="1:14" ht="14.4" customHeight="1" x14ac:dyDescent="0.3">
      <c r="A243" s="712" t="s">
        <v>591</v>
      </c>
      <c r="B243" s="713" t="s">
        <v>592</v>
      </c>
      <c r="C243" s="714" t="s">
        <v>604</v>
      </c>
      <c r="D243" s="715" t="s">
        <v>1363</v>
      </c>
      <c r="E243" s="714" t="s">
        <v>607</v>
      </c>
      <c r="F243" s="715" t="s">
        <v>1364</v>
      </c>
      <c r="G243" s="714" t="s">
        <v>912</v>
      </c>
      <c r="H243" s="714" t="s">
        <v>973</v>
      </c>
      <c r="I243" s="714" t="s">
        <v>973</v>
      </c>
      <c r="J243" s="714" t="s">
        <v>974</v>
      </c>
      <c r="K243" s="714" t="s">
        <v>975</v>
      </c>
      <c r="L243" s="716">
        <v>3300</v>
      </c>
      <c r="M243" s="716">
        <v>3</v>
      </c>
      <c r="N243" s="717">
        <v>9900</v>
      </c>
    </row>
    <row r="244" spans="1:14" ht="14.4" customHeight="1" x14ac:dyDescent="0.3">
      <c r="A244" s="712" t="s">
        <v>591</v>
      </c>
      <c r="B244" s="713" t="s">
        <v>592</v>
      </c>
      <c r="C244" s="714" t="s">
        <v>604</v>
      </c>
      <c r="D244" s="715" t="s">
        <v>1363</v>
      </c>
      <c r="E244" s="714" t="s">
        <v>607</v>
      </c>
      <c r="F244" s="715" t="s">
        <v>1364</v>
      </c>
      <c r="G244" s="714" t="s">
        <v>912</v>
      </c>
      <c r="H244" s="714" t="s">
        <v>979</v>
      </c>
      <c r="I244" s="714" t="s">
        <v>979</v>
      </c>
      <c r="J244" s="714" t="s">
        <v>980</v>
      </c>
      <c r="K244" s="714" t="s">
        <v>981</v>
      </c>
      <c r="L244" s="716">
        <v>67.575889986727702</v>
      </c>
      <c r="M244" s="716">
        <v>100</v>
      </c>
      <c r="N244" s="717">
        <v>6757.5889986727698</v>
      </c>
    </row>
    <row r="245" spans="1:14" ht="14.4" customHeight="1" x14ac:dyDescent="0.3">
      <c r="A245" s="712" t="s">
        <v>591</v>
      </c>
      <c r="B245" s="713" t="s">
        <v>592</v>
      </c>
      <c r="C245" s="714" t="s">
        <v>604</v>
      </c>
      <c r="D245" s="715" t="s">
        <v>1363</v>
      </c>
      <c r="E245" s="714" t="s">
        <v>1336</v>
      </c>
      <c r="F245" s="715" t="s">
        <v>1368</v>
      </c>
      <c r="G245" s="714" t="s">
        <v>912</v>
      </c>
      <c r="H245" s="714" t="s">
        <v>1337</v>
      </c>
      <c r="I245" s="714" t="s">
        <v>1338</v>
      </c>
      <c r="J245" s="714" t="s">
        <v>1339</v>
      </c>
      <c r="K245" s="714" t="s">
        <v>1340</v>
      </c>
      <c r="L245" s="716">
        <v>156.49</v>
      </c>
      <c r="M245" s="716">
        <v>5</v>
      </c>
      <c r="N245" s="717">
        <v>782.45</v>
      </c>
    </row>
    <row r="246" spans="1:14" ht="14.4" customHeight="1" x14ac:dyDescent="0.3">
      <c r="A246" s="712" t="s">
        <v>591</v>
      </c>
      <c r="B246" s="713" t="s">
        <v>592</v>
      </c>
      <c r="C246" s="714" t="s">
        <v>604</v>
      </c>
      <c r="D246" s="715" t="s">
        <v>1363</v>
      </c>
      <c r="E246" s="714" t="s">
        <v>994</v>
      </c>
      <c r="F246" s="715" t="s">
        <v>1365</v>
      </c>
      <c r="G246" s="714" t="s">
        <v>627</v>
      </c>
      <c r="H246" s="714" t="s">
        <v>995</v>
      </c>
      <c r="I246" s="714" t="s">
        <v>996</v>
      </c>
      <c r="J246" s="714" t="s">
        <v>997</v>
      </c>
      <c r="K246" s="714" t="s">
        <v>998</v>
      </c>
      <c r="L246" s="716">
        <v>51.039999999999985</v>
      </c>
      <c r="M246" s="716">
        <v>3</v>
      </c>
      <c r="N246" s="717">
        <v>153.11999999999995</v>
      </c>
    </row>
    <row r="247" spans="1:14" ht="14.4" customHeight="1" x14ac:dyDescent="0.3">
      <c r="A247" s="712" t="s">
        <v>591</v>
      </c>
      <c r="B247" s="713" t="s">
        <v>592</v>
      </c>
      <c r="C247" s="714" t="s">
        <v>604</v>
      </c>
      <c r="D247" s="715" t="s">
        <v>1363</v>
      </c>
      <c r="E247" s="714" t="s">
        <v>994</v>
      </c>
      <c r="F247" s="715" t="s">
        <v>1365</v>
      </c>
      <c r="G247" s="714" t="s">
        <v>627</v>
      </c>
      <c r="H247" s="714" t="s">
        <v>999</v>
      </c>
      <c r="I247" s="714" t="s">
        <v>1000</v>
      </c>
      <c r="J247" s="714" t="s">
        <v>1001</v>
      </c>
      <c r="K247" s="714" t="s">
        <v>1002</v>
      </c>
      <c r="L247" s="716">
        <v>67.740000000000009</v>
      </c>
      <c r="M247" s="716">
        <v>2</v>
      </c>
      <c r="N247" s="717">
        <v>135.48000000000002</v>
      </c>
    </row>
    <row r="248" spans="1:14" ht="14.4" customHeight="1" x14ac:dyDescent="0.3">
      <c r="A248" s="712" t="s">
        <v>591</v>
      </c>
      <c r="B248" s="713" t="s">
        <v>592</v>
      </c>
      <c r="C248" s="714" t="s">
        <v>604</v>
      </c>
      <c r="D248" s="715" t="s">
        <v>1363</v>
      </c>
      <c r="E248" s="714" t="s">
        <v>994</v>
      </c>
      <c r="F248" s="715" t="s">
        <v>1365</v>
      </c>
      <c r="G248" s="714" t="s">
        <v>627</v>
      </c>
      <c r="H248" s="714" t="s">
        <v>1015</v>
      </c>
      <c r="I248" s="714" t="s">
        <v>1016</v>
      </c>
      <c r="J248" s="714" t="s">
        <v>1017</v>
      </c>
      <c r="K248" s="714" t="s">
        <v>1018</v>
      </c>
      <c r="L248" s="716">
        <v>23.560018784044082</v>
      </c>
      <c r="M248" s="716">
        <v>240</v>
      </c>
      <c r="N248" s="717">
        <v>5654.4045081705799</v>
      </c>
    </row>
    <row r="249" spans="1:14" ht="14.4" customHeight="1" x14ac:dyDescent="0.3">
      <c r="A249" s="712" t="s">
        <v>591</v>
      </c>
      <c r="B249" s="713" t="s">
        <v>592</v>
      </c>
      <c r="C249" s="714" t="s">
        <v>604</v>
      </c>
      <c r="D249" s="715" t="s">
        <v>1363</v>
      </c>
      <c r="E249" s="714" t="s">
        <v>994</v>
      </c>
      <c r="F249" s="715" t="s">
        <v>1365</v>
      </c>
      <c r="G249" s="714" t="s">
        <v>627</v>
      </c>
      <c r="H249" s="714" t="s">
        <v>1341</v>
      </c>
      <c r="I249" s="714" t="s">
        <v>1342</v>
      </c>
      <c r="J249" s="714" t="s">
        <v>1343</v>
      </c>
      <c r="K249" s="714" t="s">
        <v>1344</v>
      </c>
      <c r="L249" s="716">
        <v>608.71012875512417</v>
      </c>
      <c r="M249" s="716">
        <v>1.2</v>
      </c>
      <c r="N249" s="717">
        <v>730.45215450614899</v>
      </c>
    </row>
    <row r="250" spans="1:14" ht="14.4" customHeight="1" x14ac:dyDescent="0.3">
      <c r="A250" s="712" t="s">
        <v>591</v>
      </c>
      <c r="B250" s="713" t="s">
        <v>592</v>
      </c>
      <c r="C250" s="714" t="s">
        <v>604</v>
      </c>
      <c r="D250" s="715" t="s">
        <v>1363</v>
      </c>
      <c r="E250" s="714" t="s">
        <v>994</v>
      </c>
      <c r="F250" s="715" t="s">
        <v>1365</v>
      </c>
      <c r="G250" s="714" t="s">
        <v>627</v>
      </c>
      <c r="H250" s="714" t="s">
        <v>1030</v>
      </c>
      <c r="I250" s="714" t="s">
        <v>1031</v>
      </c>
      <c r="J250" s="714" t="s">
        <v>1032</v>
      </c>
      <c r="K250" s="714" t="s">
        <v>1033</v>
      </c>
      <c r="L250" s="716">
        <v>181.5</v>
      </c>
      <c r="M250" s="716">
        <v>22.8</v>
      </c>
      <c r="N250" s="717">
        <v>4138.2</v>
      </c>
    </row>
    <row r="251" spans="1:14" ht="14.4" customHeight="1" x14ac:dyDescent="0.3">
      <c r="A251" s="712" t="s">
        <v>591</v>
      </c>
      <c r="B251" s="713" t="s">
        <v>592</v>
      </c>
      <c r="C251" s="714" t="s">
        <v>604</v>
      </c>
      <c r="D251" s="715" t="s">
        <v>1363</v>
      </c>
      <c r="E251" s="714" t="s">
        <v>994</v>
      </c>
      <c r="F251" s="715" t="s">
        <v>1365</v>
      </c>
      <c r="G251" s="714" t="s">
        <v>627</v>
      </c>
      <c r="H251" s="714" t="s">
        <v>1345</v>
      </c>
      <c r="I251" s="714" t="s">
        <v>1346</v>
      </c>
      <c r="J251" s="714" t="s">
        <v>1347</v>
      </c>
      <c r="K251" s="714" t="s">
        <v>1348</v>
      </c>
      <c r="L251" s="716">
        <v>674.31349999999998</v>
      </c>
      <c r="M251" s="716">
        <v>0.5</v>
      </c>
      <c r="N251" s="717">
        <v>337.15674999999999</v>
      </c>
    </row>
    <row r="252" spans="1:14" ht="14.4" customHeight="1" x14ac:dyDescent="0.3">
      <c r="A252" s="712" t="s">
        <v>591</v>
      </c>
      <c r="B252" s="713" t="s">
        <v>592</v>
      </c>
      <c r="C252" s="714" t="s">
        <v>604</v>
      </c>
      <c r="D252" s="715" t="s">
        <v>1363</v>
      </c>
      <c r="E252" s="714" t="s">
        <v>994</v>
      </c>
      <c r="F252" s="715" t="s">
        <v>1365</v>
      </c>
      <c r="G252" s="714" t="s">
        <v>627</v>
      </c>
      <c r="H252" s="714" t="s">
        <v>1034</v>
      </c>
      <c r="I252" s="714" t="s">
        <v>1034</v>
      </c>
      <c r="J252" s="714" t="s">
        <v>1035</v>
      </c>
      <c r="K252" s="714" t="s">
        <v>1036</v>
      </c>
      <c r="L252" s="716">
        <v>517</v>
      </c>
      <c r="M252" s="716">
        <v>1.8</v>
      </c>
      <c r="N252" s="717">
        <v>930.6</v>
      </c>
    </row>
    <row r="253" spans="1:14" ht="14.4" customHeight="1" x14ac:dyDescent="0.3">
      <c r="A253" s="712" t="s">
        <v>591</v>
      </c>
      <c r="B253" s="713" t="s">
        <v>592</v>
      </c>
      <c r="C253" s="714" t="s">
        <v>604</v>
      </c>
      <c r="D253" s="715" t="s">
        <v>1363</v>
      </c>
      <c r="E253" s="714" t="s">
        <v>994</v>
      </c>
      <c r="F253" s="715" t="s">
        <v>1365</v>
      </c>
      <c r="G253" s="714" t="s">
        <v>627</v>
      </c>
      <c r="H253" s="714" t="s">
        <v>1349</v>
      </c>
      <c r="I253" s="714" t="s">
        <v>1350</v>
      </c>
      <c r="J253" s="714" t="s">
        <v>1351</v>
      </c>
      <c r="K253" s="714" t="s">
        <v>1352</v>
      </c>
      <c r="L253" s="716">
        <v>233.72</v>
      </c>
      <c r="M253" s="716">
        <v>2</v>
      </c>
      <c r="N253" s="717">
        <v>467.44</v>
      </c>
    </row>
    <row r="254" spans="1:14" ht="14.4" customHeight="1" x14ac:dyDescent="0.3">
      <c r="A254" s="712" t="s">
        <v>591</v>
      </c>
      <c r="B254" s="713" t="s">
        <v>592</v>
      </c>
      <c r="C254" s="714" t="s">
        <v>604</v>
      </c>
      <c r="D254" s="715" t="s">
        <v>1363</v>
      </c>
      <c r="E254" s="714" t="s">
        <v>994</v>
      </c>
      <c r="F254" s="715" t="s">
        <v>1365</v>
      </c>
      <c r="G254" s="714" t="s">
        <v>627</v>
      </c>
      <c r="H254" s="714" t="s">
        <v>1044</v>
      </c>
      <c r="I254" s="714" t="s">
        <v>1044</v>
      </c>
      <c r="J254" s="714" t="s">
        <v>1045</v>
      </c>
      <c r="K254" s="714" t="s">
        <v>1046</v>
      </c>
      <c r="L254" s="716">
        <v>462</v>
      </c>
      <c r="M254" s="716">
        <v>3.8</v>
      </c>
      <c r="N254" s="717">
        <v>1755.6</v>
      </c>
    </row>
    <row r="255" spans="1:14" ht="14.4" customHeight="1" x14ac:dyDescent="0.3">
      <c r="A255" s="712" t="s">
        <v>591</v>
      </c>
      <c r="B255" s="713" t="s">
        <v>592</v>
      </c>
      <c r="C255" s="714" t="s">
        <v>604</v>
      </c>
      <c r="D255" s="715" t="s">
        <v>1363</v>
      </c>
      <c r="E255" s="714" t="s">
        <v>994</v>
      </c>
      <c r="F255" s="715" t="s">
        <v>1365</v>
      </c>
      <c r="G255" s="714" t="s">
        <v>627</v>
      </c>
      <c r="H255" s="714" t="s">
        <v>1047</v>
      </c>
      <c r="I255" s="714" t="s">
        <v>1047</v>
      </c>
      <c r="J255" s="714" t="s">
        <v>1048</v>
      </c>
      <c r="K255" s="714" t="s">
        <v>1049</v>
      </c>
      <c r="L255" s="716">
        <v>156.60018146043123</v>
      </c>
      <c r="M255" s="716">
        <v>2.4</v>
      </c>
      <c r="N255" s="717">
        <v>375.84043550503492</v>
      </c>
    </row>
    <row r="256" spans="1:14" ht="14.4" customHeight="1" x14ac:dyDescent="0.3">
      <c r="A256" s="712" t="s">
        <v>591</v>
      </c>
      <c r="B256" s="713" t="s">
        <v>592</v>
      </c>
      <c r="C256" s="714" t="s">
        <v>604</v>
      </c>
      <c r="D256" s="715" t="s">
        <v>1363</v>
      </c>
      <c r="E256" s="714" t="s">
        <v>994</v>
      </c>
      <c r="F256" s="715" t="s">
        <v>1365</v>
      </c>
      <c r="G256" s="714" t="s">
        <v>627</v>
      </c>
      <c r="H256" s="714" t="s">
        <v>1056</v>
      </c>
      <c r="I256" s="714" t="s">
        <v>1057</v>
      </c>
      <c r="J256" s="714" t="s">
        <v>1058</v>
      </c>
      <c r="K256" s="714" t="s">
        <v>1059</v>
      </c>
      <c r="L256" s="716">
        <v>264</v>
      </c>
      <c r="M256" s="716">
        <v>3.8</v>
      </c>
      <c r="N256" s="717">
        <v>1003.2</v>
      </c>
    </row>
    <row r="257" spans="1:14" ht="14.4" customHeight="1" x14ac:dyDescent="0.3">
      <c r="A257" s="712" t="s">
        <v>591</v>
      </c>
      <c r="B257" s="713" t="s">
        <v>592</v>
      </c>
      <c r="C257" s="714" t="s">
        <v>604</v>
      </c>
      <c r="D257" s="715" t="s">
        <v>1363</v>
      </c>
      <c r="E257" s="714" t="s">
        <v>994</v>
      </c>
      <c r="F257" s="715" t="s">
        <v>1365</v>
      </c>
      <c r="G257" s="714" t="s">
        <v>912</v>
      </c>
      <c r="H257" s="714" t="s">
        <v>1067</v>
      </c>
      <c r="I257" s="714" t="s">
        <v>1068</v>
      </c>
      <c r="J257" s="714" t="s">
        <v>1069</v>
      </c>
      <c r="K257" s="714" t="s">
        <v>1070</v>
      </c>
      <c r="L257" s="716">
        <v>111.32</v>
      </c>
      <c r="M257" s="716">
        <v>3</v>
      </c>
      <c r="N257" s="717">
        <v>333.96</v>
      </c>
    </row>
    <row r="258" spans="1:14" ht="14.4" customHeight="1" x14ac:dyDescent="0.3">
      <c r="A258" s="712" t="s">
        <v>591</v>
      </c>
      <c r="B258" s="713" t="s">
        <v>592</v>
      </c>
      <c r="C258" s="714" t="s">
        <v>604</v>
      </c>
      <c r="D258" s="715" t="s">
        <v>1363</v>
      </c>
      <c r="E258" s="714" t="s">
        <v>994</v>
      </c>
      <c r="F258" s="715" t="s">
        <v>1365</v>
      </c>
      <c r="G258" s="714" t="s">
        <v>912</v>
      </c>
      <c r="H258" s="714" t="s">
        <v>1353</v>
      </c>
      <c r="I258" s="714" t="s">
        <v>1353</v>
      </c>
      <c r="J258" s="714" t="s">
        <v>1354</v>
      </c>
      <c r="K258" s="714" t="s">
        <v>1355</v>
      </c>
      <c r="L258" s="716">
        <v>91.206666666666663</v>
      </c>
      <c r="M258" s="716">
        <v>18</v>
      </c>
      <c r="N258" s="717">
        <v>1641.72</v>
      </c>
    </row>
    <row r="259" spans="1:14" ht="14.4" customHeight="1" x14ac:dyDescent="0.3">
      <c r="A259" s="712" t="s">
        <v>591</v>
      </c>
      <c r="B259" s="713" t="s">
        <v>592</v>
      </c>
      <c r="C259" s="714" t="s">
        <v>604</v>
      </c>
      <c r="D259" s="715" t="s">
        <v>1363</v>
      </c>
      <c r="E259" s="714" t="s">
        <v>1079</v>
      </c>
      <c r="F259" s="715" t="s">
        <v>1366</v>
      </c>
      <c r="G259" s="714" t="s">
        <v>912</v>
      </c>
      <c r="H259" s="714" t="s">
        <v>1356</v>
      </c>
      <c r="I259" s="714" t="s">
        <v>1356</v>
      </c>
      <c r="J259" s="714" t="s">
        <v>1081</v>
      </c>
      <c r="K259" s="714" t="s">
        <v>1357</v>
      </c>
      <c r="L259" s="716">
        <v>308</v>
      </c>
      <c r="M259" s="716">
        <v>1.8</v>
      </c>
      <c r="N259" s="717">
        <v>554.4</v>
      </c>
    </row>
    <row r="260" spans="1:14" ht="14.4" customHeight="1" thickBot="1" x14ac:dyDescent="0.35">
      <c r="A260" s="718" t="s">
        <v>591</v>
      </c>
      <c r="B260" s="719" t="s">
        <v>592</v>
      </c>
      <c r="C260" s="720" t="s">
        <v>604</v>
      </c>
      <c r="D260" s="721" t="s">
        <v>1363</v>
      </c>
      <c r="E260" s="720" t="s">
        <v>1358</v>
      </c>
      <c r="F260" s="721" t="s">
        <v>1369</v>
      </c>
      <c r="G260" s="720"/>
      <c r="H260" s="720"/>
      <c r="I260" s="720" t="s">
        <v>1359</v>
      </c>
      <c r="J260" s="720" t="s">
        <v>1360</v>
      </c>
      <c r="K260" s="720"/>
      <c r="L260" s="722">
        <v>8846.7440000000006</v>
      </c>
      <c r="M260" s="722">
        <v>5</v>
      </c>
      <c r="N260" s="723">
        <v>44233.72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4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16384" width="8.88671875" style="247"/>
  </cols>
  <sheetData>
    <row r="1" spans="1:6" ht="37.200000000000003" customHeight="1" thickBot="1" x14ac:dyDescent="0.4">
      <c r="A1" s="556" t="s">
        <v>206</v>
      </c>
      <c r="B1" s="557"/>
      <c r="C1" s="557"/>
      <c r="D1" s="557"/>
      <c r="E1" s="557"/>
      <c r="F1" s="557"/>
    </row>
    <row r="2" spans="1:6" ht="14.4" customHeight="1" thickBot="1" x14ac:dyDescent="0.35">
      <c r="A2" s="374" t="s">
        <v>353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8" t="s">
        <v>161</v>
      </c>
      <c r="C3" s="559"/>
      <c r="D3" s="560" t="s">
        <v>160</v>
      </c>
      <c r="E3" s="559"/>
      <c r="F3" s="105" t="s">
        <v>3</v>
      </c>
    </row>
    <row r="4" spans="1:6" ht="14.4" customHeight="1" thickBot="1" x14ac:dyDescent="0.35">
      <c r="A4" s="724" t="s">
        <v>185</v>
      </c>
      <c r="B4" s="725" t="s">
        <v>14</v>
      </c>
      <c r="C4" s="726" t="s">
        <v>2</v>
      </c>
      <c r="D4" s="725" t="s">
        <v>14</v>
      </c>
      <c r="E4" s="726" t="s">
        <v>2</v>
      </c>
      <c r="F4" s="727" t="s">
        <v>14</v>
      </c>
    </row>
    <row r="5" spans="1:6" ht="14.4" customHeight="1" x14ac:dyDescent="0.3">
      <c r="A5" s="738" t="s">
        <v>1370</v>
      </c>
      <c r="B5" s="710">
        <v>1915.5599999999995</v>
      </c>
      <c r="C5" s="728">
        <v>3.6483987499130635E-2</v>
      </c>
      <c r="D5" s="710">
        <v>50588.569381297617</v>
      </c>
      <c r="E5" s="728">
        <v>0.96351601250086938</v>
      </c>
      <c r="F5" s="711">
        <v>52504.129381297615</v>
      </c>
    </row>
    <row r="6" spans="1:6" ht="14.4" customHeight="1" thickBot="1" x14ac:dyDescent="0.35">
      <c r="A6" s="739" t="s">
        <v>1371</v>
      </c>
      <c r="B6" s="731">
        <v>814.22999999999979</v>
      </c>
      <c r="C6" s="732">
        <v>2.9561345900365268E-2</v>
      </c>
      <c r="D6" s="731">
        <v>26729.509136381439</v>
      </c>
      <c r="E6" s="732">
        <v>0.9704386540996347</v>
      </c>
      <c r="F6" s="733">
        <v>27543.739136381439</v>
      </c>
    </row>
    <row r="7" spans="1:6" ht="14.4" customHeight="1" thickBot="1" x14ac:dyDescent="0.35">
      <c r="A7" s="734" t="s">
        <v>3</v>
      </c>
      <c r="B7" s="735">
        <v>2729.7899999999991</v>
      </c>
      <c r="C7" s="736">
        <v>3.410196986565743E-2</v>
      </c>
      <c r="D7" s="735">
        <v>77318.078517679052</v>
      </c>
      <c r="E7" s="736">
        <v>0.96589803013434261</v>
      </c>
      <c r="F7" s="737">
        <v>80047.868517679046</v>
      </c>
    </row>
    <row r="8" spans="1:6" ht="14.4" customHeight="1" thickBot="1" x14ac:dyDescent="0.35"/>
    <row r="9" spans="1:6" ht="14.4" customHeight="1" x14ac:dyDescent="0.3">
      <c r="A9" s="738" t="s">
        <v>1372</v>
      </c>
      <c r="B9" s="710">
        <v>2273.0399999999991</v>
      </c>
      <c r="C9" s="728">
        <v>0.56329735034347395</v>
      </c>
      <c r="D9" s="710">
        <v>1762.2</v>
      </c>
      <c r="E9" s="728">
        <v>0.43670264965652617</v>
      </c>
      <c r="F9" s="711">
        <v>4035.2399999999989</v>
      </c>
    </row>
    <row r="10" spans="1:6" ht="14.4" customHeight="1" x14ac:dyDescent="0.3">
      <c r="A10" s="741" t="s">
        <v>1373</v>
      </c>
      <c r="B10" s="716">
        <v>330.00000000000011</v>
      </c>
      <c r="C10" s="729">
        <v>1</v>
      </c>
      <c r="D10" s="716"/>
      <c r="E10" s="729">
        <v>0</v>
      </c>
      <c r="F10" s="717">
        <v>330.00000000000011</v>
      </c>
    </row>
    <row r="11" spans="1:6" ht="14.4" customHeight="1" x14ac:dyDescent="0.3">
      <c r="A11" s="741" t="s">
        <v>1374</v>
      </c>
      <c r="B11" s="716">
        <v>79.759999999999991</v>
      </c>
      <c r="C11" s="729">
        <v>0.42310752745212454</v>
      </c>
      <c r="D11" s="716">
        <v>108.75</v>
      </c>
      <c r="E11" s="729">
        <v>0.57689247254787546</v>
      </c>
      <c r="F11" s="717">
        <v>188.51</v>
      </c>
    </row>
    <row r="12" spans="1:6" ht="14.4" customHeight="1" x14ac:dyDescent="0.3">
      <c r="A12" s="741" t="s">
        <v>1375</v>
      </c>
      <c r="B12" s="716">
        <v>46.989999999999995</v>
      </c>
      <c r="C12" s="729">
        <v>1</v>
      </c>
      <c r="D12" s="716"/>
      <c r="E12" s="729">
        <v>0</v>
      </c>
      <c r="F12" s="717">
        <v>46.989999999999995</v>
      </c>
    </row>
    <row r="13" spans="1:6" ht="14.4" customHeight="1" x14ac:dyDescent="0.3">
      <c r="A13" s="741" t="s">
        <v>1376</v>
      </c>
      <c r="B13" s="716"/>
      <c r="C13" s="729">
        <v>0</v>
      </c>
      <c r="D13" s="716">
        <v>112.04</v>
      </c>
      <c r="E13" s="729">
        <v>1</v>
      </c>
      <c r="F13" s="717">
        <v>112.04</v>
      </c>
    </row>
    <row r="14" spans="1:6" ht="14.4" customHeight="1" x14ac:dyDescent="0.3">
      <c r="A14" s="741" t="s">
        <v>1377</v>
      </c>
      <c r="B14" s="716"/>
      <c r="C14" s="729">
        <v>0</v>
      </c>
      <c r="D14" s="716">
        <v>24.930000000000007</v>
      </c>
      <c r="E14" s="729">
        <v>1</v>
      </c>
      <c r="F14" s="717">
        <v>24.930000000000007</v>
      </c>
    </row>
    <row r="15" spans="1:6" ht="14.4" customHeight="1" x14ac:dyDescent="0.3">
      <c r="A15" s="741" t="s">
        <v>1378</v>
      </c>
      <c r="B15" s="716"/>
      <c r="C15" s="729">
        <v>0</v>
      </c>
      <c r="D15" s="716">
        <v>409.59000000000009</v>
      </c>
      <c r="E15" s="729">
        <v>1</v>
      </c>
      <c r="F15" s="717">
        <v>409.59000000000009</v>
      </c>
    </row>
    <row r="16" spans="1:6" ht="14.4" customHeight="1" x14ac:dyDescent="0.3">
      <c r="A16" s="741" t="s">
        <v>1379</v>
      </c>
      <c r="B16" s="716"/>
      <c r="C16" s="729">
        <v>0</v>
      </c>
      <c r="D16" s="716">
        <v>219.70999999999998</v>
      </c>
      <c r="E16" s="729">
        <v>1</v>
      </c>
      <c r="F16" s="717">
        <v>219.70999999999998</v>
      </c>
    </row>
    <row r="17" spans="1:6" ht="14.4" customHeight="1" x14ac:dyDescent="0.3">
      <c r="A17" s="741" t="s">
        <v>1380</v>
      </c>
      <c r="B17" s="716"/>
      <c r="C17" s="729">
        <v>0</v>
      </c>
      <c r="D17" s="716">
        <v>666.05</v>
      </c>
      <c r="E17" s="729">
        <v>1</v>
      </c>
      <c r="F17" s="717">
        <v>666.05</v>
      </c>
    </row>
    <row r="18" spans="1:6" ht="14.4" customHeight="1" x14ac:dyDescent="0.3">
      <c r="A18" s="741" t="s">
        <v>1381</v>
      </c>
      <c r="B18" s="716"/>
      <c r="C18" s="729">
        <v>0</v>
      </c>
      <c r="D18" s="716">
        <v>234.19</v>
      </c>
      <c r="E18" s="729">
        <v>1</v>
      </c>
      <c r="F18" s="717">
        <v>234.19</v>
      </c>
    </row>
    <row r="19" spans="1:6" ht="14.4" customHeight="1" x14ac:dyDescent="0.3">
      <c r="A19" s="741" t="s">
        <v>1382</v>
      </c>
      <c r="B19" s="716"/>
      <c r="C19" s="729">
        <v>0</v>
      </c>
      <c r="D19" s="716">
        <v>33461.622147918402</v>
      </c>
      <c r="E19" s="729">
        <v>1</v>
      </c>
      <c r="F19" s="717">
        <v>33461.622147918402</v>
      </c>
    </row>
    <row r="20" spans="1:6" ht="14.4" customHeight="1" x14ac:dyDescent="0.3">
      <c r="A20" s="741" t="s">
        <v>1383</v>
      </c>
      <c r="B20" s="716"/>
      <c r="C20" s="729">
        <v>0</v>
      </c>
      <c r="D20" s="716">
        <v>36.61999999999999</v>
      </c>
      <c r="E20" s="729">
        <v>1</v>
      </c>
      <c r="F20" s="717">
        <v>36.61999999999999</v>
      </c>
    </row>
    <row r="21" spans="1:6" ht="14.4" customHeight="1" x14ac:dyDescent="0.3">
      <c r="A21" s="741" t="s">
        <v>1384</v>
      </c>
      <c r="B21" s="716"/>
      <c r="C21" s="729">
        <v>0</v>
      </c>
      <c r="D21" s="716">
        <v>782.45</v>
      </c>
      <c r="E21" s="729">
        <v>1</v>
      </c>
      <c r="F21" s="717">
        <v>782.45</v>
      </c>
    </row>
    <row r="22" spans="1:6" ht="14.4" customHeight="1" x14ac:dyDescent="0.3">
      <c r="A22" s="741" t="s">
        <v>1385</v>
      </c>
      <c r="B22" s="716"/>
      <c r="C22" s="729">
        <v>0</v>
      </c>
      <c r="D22" s="716">
        <v>14.879999999999997</v>
      </c>
      <c r="E22" s="729">
        <v>1</v>
      </c>
      <c r="F22" s="717">
        <v>14.879999999999997</v>
      </c>
    </row>
    <row r="23" spans="1:6" ht="14.4" customHeight="1" x14ac:dyDescent="0.3">
      <c r="A23" s="741" t="s">
        <v>1386</v>
      </c>
      <c r="B23" s="716"/>
      <c r="C23" s="729">
        <v>0</v>
      </c>
      <c r="D23" s="716">
        <v>440.55</v>
      </c>
      <c r="E23" s="729">
        <v>1</v>
      </c>
      <c r="F23" s="717">
        <v>440.55</v>
      </c>
    </row>
    <row r="24" spans="1:6" ht="14.4" customHeight="1" x14ac:dyDescent="0.3">
      <c r="A24" s="741" t="s">
        <v>1387</v>
      </c>
      <c r="B24" s="716"/>
      <c r="C24" s="729">
        <v>0</v>
      </c>
      <c r="D24" s="716">
        <v>182.93000000000006</v>
      </c>
      <c r="E24" s="729">
        <v>1</v>
      </c>
      <c r="F24" s="717">
        <v>182.93000000000006</v>
      </c>
    </row>
    <row r="25" spans="1:6" ht="14.4" customHeight="1" x14ac:dyDescent="0.3">
      <c r="A25" s="741" t="s">
        <v>1388</v>
      </c>
      <c r="B25" s="716"/>
      <c r="C25" s="729">
        <v>0</v>
      </c>
      <c r="D25" s="716">
        <v>145.20013770866532</v>
      </c>
      <c r="E25" s="729">
        <v>1</v>
      </c>
      <c r="F25" s="717">
        <v>145.20013770866532</v>
      </c>
    </row>
    <row r="26" spans="1:6" ht="14.4" customHeight="1" x14ac:dyDescent="0.3">
      <c r="A26" s="741" t="s">
        <v>1389</v>
      </c>
      <c r="B26" s="716"/>
      <c r="C26" s="729">
        <v>0</v>
      </c>
      <c r="D26" s="716">
        <v>9754.7999999999993</v>
      </c>
      <c r="E26" s="729">
        <v>1</v>
      </c>
      <c r="F26" s="717">
        <v>9754.7999999999993</v>
      </c>
    </row>
    <row r="27" spans="1:6" ht="14.4" customHeight="1" x14ac:dyDescent="0.3">
      <c r="A27" s="741" t="s">
        <v>1390</v>
      </c>
      <c r="B27" s="716"/>
      <c r="C27" s="729">
        <v>0</v>
      </c>
      <c r="D27" s="716">
        <v>2389.2756132375625</v>
      </c>
      <c r="E27" s="729">
        <v>1</v>
      </c>
      <c r="F27" s="717">
        <v>2389.2756132375625</v>
      </c>
    </row>
    <row r="28" spans="1:6" ht="14.4" customHeight="1" x14ac:dyDescent="0.3">
      <c r="A28" s="741" t="s">
        <v>1391</v>
      </c>
      <c r="B28" s="716"/>
      <c r="C28" s="729">
        <v>0</v>
      </c>
      <c r="D28" s="716">
        <v>66.730000000000018</v>
      </c>
      <c r="E28" s="729">
        <v>1</v>
      </c>
      <c r="F28" s="717">
        <v>66.730000000000018</v>
      </c>
    </row>
    <row r="29" spans="1:6" ht="14.4" customHeight="1" x14ac:dyDescent="0.3">
      <c r="A29" s="741" t="s">
        <v>1392</v>
      </c>
      <c r="B29" s="716"/>
      <c r="C29" s="729">
        <v>0</v>
      </c>
      <c r="D29" s="716">
        <v>99.979999999999976</v>
      </c>
      <c r="E29" s="729">
        <v>1</v>
      </c>
      <c r="F29" s="717">
        <v>99.979999999999976</v>
      </c>
    </row>
    <row r="30" spans="1:6" ht="14.4" customHeight="1" x14ac:dyDescent="0.3">
      <c r="A30" s="741" t="s">
        <v>1393</v>
      </c>
      <c r="B30" s="716"/>
      <c r="C30" s="729">
        <v>0</v>
      </c>
      <c r="D30" s="716">
        <v>386.17</v>
      </c>
      <c r="E30" s="729">
        <v>1</v>
      </c>
      <c r="F30" s="717">
        <v>386.17</v>
      </c>
    </row>
    <row r="31" spans="1:6" ht="14.4" customHeight="1" x14ac:dyDescent="0.3">
      <c r="A31" s="741" t="s">
        <v>1394</v>
      </c>
      <c r="B31" s="716"/>
      <c r="C31" s="729">
        <v>0</v>
      </c>
      <c r="D31" s="716">
        <v>63.401620141643761</v>
      </c>
      <c r="E31" s="729">
        <v>1</v>
      </c>
      <c r="F31" s="717">
        <v>63.401620141643761</v>
      </c>
    </row>
    <row r="32" spans="1:6" ht="14.4" customHeight="1" x14ac:dyDescent="0.3">
      <c r="A32" s="741" t="s">
        <v>1395</v>
      </c>
      <c r="B32" s="716"/>
      <c r="C32" s="729">
        <v>0</v>
      </c>
      <c r="D32" s="716">
        <v>98.79</v>
      </c>
      <c r="E32" s="729">
        <v>1</v>
      </c>
      <c r="F32" s="717">
        <v>98.79</v>
      </c>
    </row>
    <row r="33" spans="1:6" ht="14.4" customHeight="1" x14ac:dyDescent="0.3">
      <c r="A33" s="741" t="s">
        <v>1396</v>
      </c>
      <c r="B33" s="716"/>
      <c r="C33" s="729">
        <v>0</v>
      </c>
      <c r="D33" s="716">
        <v>50.17</v>
      </c>
      <c r="E33" s="729">
        <v>1</v>
      </c>
      <c r="F33" s="717">
        <v>50.17</v>
      </c>
    </row>
    <row r="34" spans="1:6" ht="14.4" customHeight="1" x14ac:dyDescent="0.3">
      <c r="A34" s="741" t="s">
        <v>1397</v>
      </c>
      <c r="B34" s="716"/>
      <c r="C34" s="729">
        <v>0</v>
      </c>
      <c r="D34" s="716">
        <v>301.22999999999996</v>
      </c>
      <c r="E34" s="729">
        <v>1</v>
      </c>
      <c r="F34" s="717">
        <v>301.22999999999996</v>
      </c>
    </row>
    <row r="35" spans="1:6" ht="14.4" customHeight="1" x14ac:dyDescent="0.3">
      <c r="A35" s="741" t="s">
        <v>1398</v>
      </c>
      <c r="B35" s="716"/>
      <c r="C35" s="729">
        <v>0</v>
      </c>
      <c r="D35" s="716">
        <v>89.710000000000022</v>
      </c>
      <c r="E35" s="729">
        <v>1</v>
      </c>
      <c r="F35" s="717">
        <v>89.710000000000022</v>
      </c>
    </row>
    <row r="36" spans="1:6" ht="14.4" customHeight="1" x14ac:dyDescent="0.3">
      <c r="A36" s="741" t="s">
        <v>1399</v>
      </c>
      <c r="B36" s="716"/>
      <c r="C36" s="729">
        <v>0</v>
      </c>
      <c r="D36" s="716">
        <v>14895.539999999997</v>
      </c>
      <c r="E36" s="729">
        <v>1</v>
      </c>
      <c r="F36" s="717">
        <v>14895.539999999997</v>
      </c>
    </row>
    <row r="37" spans="1:6" ht="14.4" customHeight="1" x14ac:dyDescent="0.3">
      <c r="A37" s="741" t="s">
        <v>1400</v>
      </c>
      <c r="B37" s="716"/>
      <c r="C37" s="729">
        <v>0</v>
      </c>
      <c r="D37" s="716">
        <v>66.399999999999991</v>
      </c>
      <c r="E37" s="729">
        <v>1</v>
      </c>
      <c r="F37" s="717">
        <v>66.399999999999991</v>
      </c>
    </row>
    <row r="38" spans="1:6" ht="14.4" customHeight="1" x14ac:dyDescent="0.3">
      <c r="A38" s="741" t="s">
        <v>1401</v>
      </c>
      <c r="B38" s="716"/>
      <c r="C38" s="729">
        <v>0</v>
      </c>
      <c r="D38" s="716">
        <v>1240.1199999999999</v>
      </c>
      <c r="E38" s="729">
        <v>1</v>
      </c>
      <c r="F38" s="717">
        <v>1240.1199999999999</v>
      </c>
    </row>
    <row r="39" spans="1:6" ht="14.4" customHeight="1" x14ac:dyDescent="0.3">
      <c r="A39" s="741" t="s">
        <v>1402</v>
      </c>
      <c r="B39" s="716"/>
      <c r="C39" s="729">
        <v>0</v>
      </c>
      <c r="D39" s="716">
        <v>7572.3289986727705</v>
      </c>
      <c r="E39" s="729">
        <v>1</v>
      </c>
      <c r="F39" s="717">
        <v>7572.3289986727705</v>
      </c>
    </row>
    <row r="40" spans="1:6" ht="14.4" customHeight="1" thickBot="1" x14ac:dyDescent="0.35">
      <c r="A40" s="739" t="s">
        <v>1403</v>
      </c>
      <c r="B40" s="731"/>
      <c r="C40" s="732">
        <v>0</v>
      </c>
      <c r="D40" s="731">
        <v>1641.7200000000003</v>
      </c>
      <c r="E40" s="732">
        <v>1</v>
      </c>
      <c r="F40" s="733">
        <v>1641.7200000000003</v>
      </c>
    </row>
    <row r="41" spans="1:6" ht="14.4" customHeight="1" thickBot="1" x14ac:dyDescent="0.35">
      <c r="A41" s="734" t="s">
        <v>3</v>
      </c>
      <c r="B41" s="735">
        <v>2729.7899999999991</v>
      </c>
      <c r="C41" s="736">
        <v>3.410196986565743E-2</v>
      </c>
      <c r="D41" s="735">
        <v>77318.078517679038</v>
      </c>
      <c r="E41" s="736">
        <v>0.9658980301343425</v>
      </c>
      <c r="F41" s="737">
        <v>80047.868517679046</v>
      </c>
    </row>
  </sheetData>
  <mergeCells count="3">
    <mergeCell ref="A1:F1"/>
    <mergeCell ref="B3:C3"/>
    <mergeCell ref="D3:E3"/>
  </mergeCells>
  <conditionalFormatting sqref="C5:C1048576">
    <cfRule type="cellIs" dxfId="6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3</vt:i4>
      </vt:variant>
    </vt:vector>
  </HeadingPairs>
  <TitlesOfParts>
    <vt:vector size="35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2017-03-31T13:13:27Z</dcterms:modified>
</cp:coreProperties>
</file>